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0308" yWindow="-12" windowWidth="10200" windowHeight="8736" tabRatio="638"/>
  </bookViews>
  <sheets>
    <sheet name="Personal File" sheetId="20" r:id="rId1"/>
    <sheet name="Skills" sheetId="15" r:id="rId2"/>
    <sheet name="Feats" sheetId="17" r:id="rId3"/>
    <sheet name="Martial" sheetId="6" r:id="rId4"/>
    <sheet name="Equipment" sheetId="19" r:id="rId5"/>
    <sheet name="Animal" sheetId="21" r:id="rId6"/>
  </sheets>
  <externalReferences>
    <externalReference r:id="rId7"/>
  </externalReferences>
  <definedNames>
    <definedName name="NoShade">'[1]Spell Sheet'!$FH$1</definedName>
    <definedName name="_xlnm.Print_Area" localSheetId="5">Animal!$A$1:$H$12</definedName>
    <definedName name="_xlnm.Print_Area" localSheetId="4">Equipment!#REF!</definedName>
    <definedName name="_xlnm.Print_Area" localSheetId="2">Feats!#REF!</definedName>
    <definedName name="_xlnm.Print_Area" localSheetId="3">Martial!#REF!</definedName>
    <definedName name="_xlnm.Print_Area" localSheetId="1">Skills!$A$1:$K$29</definedName>
  </definedNames>
  <calcPr calcId="145621"/>
</workbook>
</file>

<file path=xl/calcChain.xml><?xml version="1.0" encoding="utf-8"?>
<calcChain xmlns="http://schemas.openxmlformats.org/spreadsheetml/2006/main">
  <c r="G8" i="17" l="1"/>
  <c r="F41" i="15"/>
  <c r="B6" i="20"/>
  <c r="B8" i="20" l="1"/>
  <c r="F4" i="15" l="1"/>
  <c r="B10" i="20" l="1"/>
  <c r="M23" i="6" l="1"/>
  <c r="M24" i="6"/>
  <c r="I5" i="6" l="1"/>
  <c r="G16" i="6" l="1"/>
  <c r="M16" i="6" s="1"/>
  <c r="I11" i="6"/>
  <c r="D11" i="6"/>
  <c r="G24" i="6" l="1"/>
  <c r="G23" i="6"/>
  <c r="I3" i="6" l="1"/>
  <c r="I4" i="6"/>
  <c r="I13" i="6" l="1"/>
  <c r="D13" i="6"/>
  <c r="D14" i="6" l="1"/>
  <c r="D12" i="6"/>
  <c r="D10" i="6"/>
  <c r="I6" i="6" l="1"/>
  <c r="I14" i="6" l="1"/>
  <c r="F14" i="6"/>
  <c r="I10" i="6" l="1"/>
  <c r="I12" i="6"/>
  <c r="F10" i="6"/>
  <c r="H40" i="15" l="1"/>
  <c r="I6" i="17" l="1"/>
  <c r="H6" i="17"/>
  <c r="J6" i="17"/>
  <c r="G6" i="17"/>
  <c r="H24" i="15" l="1"/>
  <c r="C4" i="21" l="1"/>
  <c r="C5" i="21"/>
  <c r="C6" i="21"/>
  <c r="C7" i="21"/>
  <c r="C8" i="21"/>
  <c r="C9" i="21"/>
  <c r="H3" i="15" l="1"/>
  <c r="H4" i="15"/>
  <c r="H5" i="15"/>
  <c r="H6" i="15"/>
  <c r="H7" i="15"/>
  <c r="H8" i="15"/>
  <c r="H9" i="15"/>
  <c r="H10" i="15"/>
  <c r="H11" i="15"/>
  <c r="H12" i="15"/>
  <c r="I12" i="15" s="1"/>
  <c r="H13" i="15"/>
  <c r="H14" i="15"/>
  <c r="I14" i="15" s="1"/>
  <c r="H15" i="15"/>
  <c r="H16" i="15"/>
  <c r="H17" i="15"/>
  <c r="H18" i="15"/>
  <c r="H19" i="15"/>
  <c r="H20" i="15"/>
  <c r="H21" i="15"/>
  <c r="H22" i="15"/>
  <c r="H23" i="15"/>
  <c r="H25" i="15"/>
  <c r="H26" i="15"/>
  <c r="I26" i="15" s="1"/>
  <c r="H27" i="15"/>
  <c r="H28" i="15"/>
  <c r="H29" i="15"/>
  <c r="I29" i="15" s="1"/>
  <c r="H30" i="15"/>
  <c r="I30" i="15" s="1"/>
  <c r="H31" i="15"/>
  <c r="H32" i="15"/>
  <c r="H33" i="15"/>
  <c r="H34" i="15"/>
  <c r="H35" i="15"/>
  <c r="I35" i="15" s="1"/>
  <c r="H36" i="15"/>
  <c r="I36" i="15" s="1"/>
  <c r="H37" i="15"/>
  <c r="I37" i="15" s="1"/>
  <c r="H38" i="15"/>
  <c r="H39" i="15"/>
  <c r="F16" i="6" l="1"/>
  <c r="M29" i="6" l="1"/>
  <c r="M32" i="6" l="1"/>
  <c r="I16" i="6" l="1"/>
  <c r="I7" i="6"/>
  <c r="B44" i="15" l="1"/>
  <c r="C13" i="20" l="1"/>
  <c r="C12" i="20"/>
  <c r="C4" i="17" s="1"/>
  <c r="C11" i="20"/>
  <c r="E55" i="15" s="1"/>
  <c r="C10" i="20"/>
  <c r="E10" i="20" s="1"/>
  <c r="C9" i="20"/>
  <c r="E11" i="20" s="1"/>
  <c r="C8" i="20"/>
  <c r="E50" i="15" l="1"/>
  <c r="E54" i="15"/>
  <c r="E51" i="15"/>
  <c r="E53" i="15"/>
  <c r="E52" i="15"/>
  <c r="E13" i="20"/>
  <c r="E12" i="20" s="1"/>
  <c r="H11" i="6"/>
  <c r="J11" i="6" s="1"/>
  <c r="H13" i="6"/>
  <c r="J13" i="6" s="1"/>
  <c r="H10" i="6"/>
  <c r="H12" i="6"/>
  <c r="H14" i="6"/>
  <c r="H5" i="6"/>
  <c r="J5" i="6" s="1"/>
  <c r="C11" i="6"/>
  <c r="C12" i="6"/>
  <c r="C13" i="6"/>
  <c r="C10" i="6"/>
  <c r="C14" i="6"/>
  <c r="H3" i="6"/>
  <c r="J3" i="6" s="1"/>
  <c r="D24" i="15"/>
  <c r="E24" i="15" s="1"/>
  <c r="G24" i="15" s="1"/>
  <c r="I24" i="15" s="1"/>
  <c r="H6" i="6"/>
  <c r="J6" i="6" s="1"/>
  <c r="D23" i="15"/>
  <c r="E23" i="15" s="1"/>
  <c r="G23" i="15" s="1"/>
  <c r="I23" i="15" s="1"/>
  <c r="D9" i="15"/>
  <c r="E9" i="15" s="1"/>
  <c r="G9" i="15" s="1"/>
  <c r="I9" i="15" s="1"/>
  <c r="C3" i="17"/>
  <c r="D5" i="15"/>
  <c r="D27" i="15"/>
  <c r="E27" i="15" s="1"/>
  <c r="G27" i="15" s="1"/>
  <c r="I27" i="15" s="1"/>
  <c r="D31" i="15"/>
  <c r="E31" i="15" s="1"/>
  <c r="G31" i="15" s="1"/>
  <c r="I31" i="15" s="1"/>
  <c r="D38" i="15"/>
  <c r="E38" i="15" s="1"/>
  <c r="G38" i="15" s="1"/>
  <c r="I38" i="15" s="1"/>
  <c r="D20" i="15"/>
  <c r="E20" i="15" s="1"/>
  <c r="G20" i="15" s="1"/>
  <c r="I20" i="15" s="1"/>
  <c r="D34" i="15"/>
  <c r="E34" i="15" s="1"/>
  <c r="G34" i="15" s="1"/>
  <c r="I34" i="15" s="1"/>
  <c r="D39" i="15"/>
  <c r="E39" i="15" s="1"/>
  <c r="G39" i="15" s="1"/>
  <c r="I39" i="15" s="1"/>
  <c r="D15" i="15"/>
  <c r="E15" i="15" s="1"/>
  <c r="G15" i="15" s="1"/>
  <c r="I15" i="15" s="1"/>
  <c r="D19" i="15"/>
  <c r="E19" i="15" s="1"/>
  <c r="G19" i="15" s="1"/>
  <c r="I19" i="15" s="1"/>
  <c r="D8" i="15"/>
  <c r="E8" i="15" s="1"/>
  <c r="G8" i="15" s="1"/>
  <c r="I8" i="15" s="1"/>
  <c r="D13" i="15"/>
  <c r="E13" i="15" s="1"/>
  <c r="G13" i="15" s="1"/>
  <c r="I13" i="15" s="1"/>
  <c r="D18" i="15"/>
  <c r="E18" i="15" s="1"/>
  <c r="G18" i="15" s="1"/>
  <c r="I18" i="15" s="1"/>
  <c r="D22" i="15"/>
  <c r="E22" i="15" s="1"/>
  <c r="G22" i="15" s="1"/>
  <c r="I22" i="15" s="1"/>
  <c r="D30" i="15"/>
  <c r="E30" i="15" s="1"/>
  <c r="J12" i="6"/>
  <c r="J14" i="6"/>
  <c r="J10" i="6"/>
  <c r="D21" i="15"/>
  <c r="E21" i="15" s="1"/>
  <c r="G21" i="15" s="1"/>
  <c r="I21" i="15" s="1"/>
  <c r="D29" i="15"/>
  <c r="E29" i="15" s="1"/>
  <c r="D32" i="15"/>
  <c r="E32" i="15" s="1"/>
  <c r="G32" i="15" s="1"/>
  <c r="I32" i="15" s="1"/>
  <c r="D4" i="15"/>
  <c r="D16" i="15"/>
  <c r="E16" i="15" s="1"/>
  <c r="G16" i="15" s="1"/>
  <c r="I16" i="15" s="1"/>
  <c r="D28" i="15"/>
  <c r="E28" i="15" s="1"/>
  <c r="G28" i="15" s="1"/>
  <c r="I28" i="15" s="1"/>
  <c r="D7" i="15"/>
  <c r="E7" i="15" s="1"/>
  <c r="G7" i="15" s="1"/>
  <c r="I7" i="15" s="1"/>
  <c r="D35" i="15"/>
  <c r="E35" i="15" s="1"/>
  <c r="D3" i="15"/>
  <c r="D10" i="15"/>
  <c r="E10" i="15" s="1"/>
  <c r="G10" i="15" s="1"/>
  <c r="I10" i="15" s="1"/>
  <c r="D42" i="15"/>
  <c r="E42" i="15" s="1"/>
  <c r="D17" i="15"/>
  <c r="E17" i="15" s="1"/>
  <c r="G17" i="15" s="1"/>
  <c r="I17" i="15" s="1"/>
  <c r="D33" i="15"/>
  <c r="E33" i="15" s="1"/>
  <c r="G33" i="15" s="1"/>
  <c r="I33" i="15" s="1"/>
  <c r="D37" i="15"/>
  <c r="E37" i="15" s="1"/>
  <c r="D12" i="15"/>
  <c r="E12" i="15" s="1"/>
  <c r="D14" i="15"/>
  <c r="E14" i="15" s="1"/>
  <c r="D26" i="15"/>
  <c r="E26" i="15" s="1"/>
  <c r="D25" i="15"/>
  <c r="E25" i="15" s="1"/>
  <c r="G25" i="15" s="1"/>
  <c r="I25" i="15" s="1"/>
  <c r="D36" i="15"/>
  <c r="E36" i="15" s="1"/>
  <c r="D6" i="15"/>
  <c r="E6" i="15" s="1"/>
  <c r="G6" i="15" s="1"/>
  <c r="I6" i="15" s="1"/>
  <c r="D11" i="15"/>
  <c r="E11" i="15" s="1"/>
  <c r="G11" i="15" s="1"/>
  <c r="I11" i="15" s="1"/>
  <c r="E46" i="15"/>
  <c r="E45" i="15"/>
  <c r="E44" i="15" s="1"/>
  <c r="E48" i="15"/>
  <c r="H16" i="6"/>
  <c r="J16" i="6" s="1"/>
  <c r="B7" i="20"/>
  <c r="C7" i="6"/>
  <c r="H7" i="6"/>
  <c r="J7" i="6" s="1"/>
  <c r="D40" i="15"/>
  <c r="E40" i="15" s="1"/>
  <c r="G40" i="15" s="1"/>
  <c r="D41" i="15"/>
  <c r="E41" i="15" s="1"/>
  <c r="D43" i="15"/>
  <c r="E43" i="15" s="1"/>
  <c r="G43" i="15" s="1"/>
  <c r="H43" i="15"/>
  <c r="H42" i="15"/>
  <c r="I42" i="15" s="1"/>
  <c r="H41" i="15"/>
  <c r="I41" i="15" s="1"/>
  <c r="H4" i="6" l="1"/>
  <c r="J4" i="6" s="1"/>
  <c r="E3" i="15"/>
  <c r="G3" i="15"/>
  <c r="I3" i="15" s="1"/>
  <c r="E4" i="15"/>
  <c r="G4" i="15"/>
  <c r="I4" i="15" s="1"/>
  <c r="E5" i="15"/>
  <c r="G5" i="15"/>
  <c r="I5" i="15" s="1"/>
  <c r="I40" i="15"/>
  <c r="I43" i="15"/>
  <c r="C16" i="19"/>
  <c r="E9" i="20"/>
  <c r="G16" i="19"/>
  <c r="G20" i="19"/>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
bless +1
shaken -2</t>
        </r>
      </text>
    </comment>
    <comment ref="B8" authorId="0">
      <text>
        <r>
          <rPr>
            <i/>
            <sz val="12"/>
            <color indexed="81"/>
            <rFont val="Times New Roman"/>
            <family val="1"/>
          </rPr>
          <t>Armbands of Strength +2</t>
        </r>
      </text>
    </comment>
    <comment ref="E8" authorId="0">
      <text>
        <r>
          <rPr>
            <sz val="12"/>
            <color indexed="81"/>
            <rFont val="Times New Roman"/>
            <family val="1"/>
          </rPr>
          <t>See PHB 162</t>
        </r>
      </text>
    </comment>
    <comment ref="E10" authorId="0">
      <text>
        <r>
          <rPr>
            <sz val="12"/>
            <color indexed="81"/>
            <rFont val="Times New Roman"/>
            <family val="1"/>
          </rPr>
          <t>[(3{5} * 8 Centaur) * 75%]
+ [(5 * 8 Ranger) * 75%]
+ (8{10} * 1 Con)</t>
        </r>
      </text>
    </comment>
    <comment ref="E11" authorId="0">
      <text>
        <r>
          <rPr>
            <sz val="12"/>
            <color indexed="81"/>
            <rFont val="Times New Roman"/>
            <family val="1"/>
          </rPr>
          <t>haste +1</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Mithral Chain Barding -2</t>
        </r>
      </text>
    </comment>
    <comment ref="F9" authorId="0">
      <text>
        <r>
          <rPr>
            <sz val="12"/>
            <color indexed="81"/>
            <rFont val="Times New Roman"/>
            <family val="1"/>
          </rPr>
          <t>Mithral Chain Barding -2</t>
        </r>
      </text>
    </comment>
    <comment ref="F16" authorId="0">
      <text>
        <r>
          <rPr>
            <sz val="12"/>
            <color indexed="81"/>
            <rFont val="Times New Roman"/>
            <family val="1"/>
          </rPr>
          <t>Mithral Chain Barding -2</t>
        </r>
      </text>
    </comment>
    <comment ref="F20" authorId="0">
      <text>
        <r>
          <rPr>
            <sz val="12"/>
            <color indexed="81"/>
            <rFont val="Times New Roman"/>
            <family val="1"/>
          </rPr>
          <t>Mithral Chain Barding -2</t>
        </r>
      </text>
    </comment>
    <comment ref="F21" authorId="0">
      <text>
        <r>
          <rPr>
            <sz val="12"/>
            <color indexed="81"/>
            <rFont val="Times New Roman"/>
            <family val="1"/>
          </rPr>
          <t>Mithral Chain Barding -2</t>
        </r>
      </text>
    </comment>
    <comment ref="F23" authorId="0">
      <text>
        <r>
          <rPr>
            <sz val="12"/>
            <color indexed="81"/>
            <rFont val="Times New Roman"/>
            <family val="1"/>
          </rPr>
          <t>Mithral Chain Barding -2</t>
        </r>
      </text>
    </comment>
    <comment ref="F24" authorId="0">
      <text>
        <r>
          <rPr>
            <sz val="12"/>
            <color indexed="81"/>
            <rFont val="Times New Roman"/>
            <family val="1"/>
          </rPr>
          <t>Survival Synergy +2</t>
        </r>
      </text>
    </comment>
    <comment ref="F25" authorId="0">
      <text>
        <r>
          <rPr>
            <sz val="12"/>
            <color indexed="81"/>
            <rFont val="Times New Roman"/>
            <family val="1"/>
          </rPr>
          <t>Survival Synergy +2</t>
        </r>
      </text>
    </comment>
    <comment ref="F28" authorId="0">
      <text>
        <r>
          <rPr>
            <sz val="12"/>
            <color indexed="81"/>
            <rFont val="Times New Roman"/>
            <family val="1"/>
          </rPr>
          <t>Mithral Chain Barding -2</t>
        </r>
      </text>
    </comment>
    <comment ref="F35" authorId="0">
      <text>
        <r>
          <rPr>
            <sz val="12"/>
            <color indexed="81"/>
            <rFont val="Times New Roman"/>
            <family val="1"/>
          </rPr>
          <t>Mithral Chain Barding -2</t>
        </r>
      </text>
    </comment>
    <comment ref="F39" authorId="0">
      <text>
        <r>
          <rPr>
            <sz val="12"/>
            <color indexed="81"/>
            <rFont val="Times New Roman"/>
            <family val="1"/>
          </rPr>
          <t>Mithral Chain Barding -2</t>
        </r>
      </text>
    </comment>
    <comment ref="J39" authorId="0">
      <text>
        <r>
          <rPr>
            <sz val="12"/>
            <color indexed="81"/>
            <rFont val="Times New Roman"/>
            <family val="1"/>
          </rPr>
          <t>Synergy from Know:  Dungn.</t>
        </r>
      </text>
    </comment>
    <comment ref="F41" authorId="0">
      <text>
        <r>
          <rPr>
            <sz val="12"/>
            <color indexed="81"/>
            <rFont val="Times New Roman"/>
            <family val="1"/>
          </rPr>
          <t>Mithral Chain Barding -2
Jump synergy +2</t>
        </r>
      </text>
    </comment>
  </commentList>
</comments>
</file>

<file path=xl/comments3.xml><?xml version="1.0" encoding="utf-8"?>
<comments xmlns="http://schemas.openxmlformats.org/spreadsheetml/2006/main">
  <authors>
    <author>Alexis Álvarez</author>
  </authors>
  <commentList>
    <comment ref="N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N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5"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L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8"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9" authorId="0">
      <text>
        <r>
          <rPr>
            <sz val="12"/>
            <color indexed="81"/>
            <rFont val="Times New Roman"/>
            <family val="1"/>
          </rPr>
          <t xml:space="preserve">At 6th level, a ranger’s aptitude in his chosen combat style (archery or two-weapon combat) improves.  If he selected archery at 2nd level, he is treated as having the Manyshot feat (page 97), even if he does not have the normal prerequisites for that feat.
If the ranger selected two-weapon combat at 2nd level, he is treated as having the Improved Two-Weapon Fighting feat (page 96), even if he does not have the normal prerequisites for that feat.  As before, the benefits of the ranger’s chosen style apply only when he wears light or no armor.  He loses all benefits of his combat style when wearing medium or heavy armor.
PHB 48
You can fire multiple arrows simultaneously against a nearby target.
</t>
        </r>
        <r>
          <rPr>
            <b/>
            <sz val="12"/>
            <color indexed="81"/>
            <rFont val="Times New Roman"/>
            <family val="1"/>
          </rPr>
          <t>Prerequisites:</t>
        </r>
        <r>
          <rPr>
            <sz val="12"/>
            <color indexed="81"/>
            <rFont val="Times New Roman"/>
            <family val="1"/>
          </rPr>
          <t xml:space="preserve">  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97</t>
        </r>
      </text>
    </comment>
    <comment ref="L11"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L1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L13"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10"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0" authorId="0">
      <text>
        <r>
          <rPr>
            <sz val="12"/>
            <color indexed="81"/>
            <rFont val="Times New Roman"/>
            <family val="1"/>
          </rPr>
          <t>Far Shot feat</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A14"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4" authorId="0">
      <text>
        <r>
          <rPr>
            <sz val="12"/>
            <color indexed="81"/>
            <rFont val="Times New Roman"/>
            <family val="1"/>
          </rPr>
          <t>Far Shot feat</t>
        </r>
      </text>
    </comment>
    <comment ref="H14" authorId="0">
      <text>
        <r>
          <rPr>
            <i/>
            <sz val="12"/>
            <color indexed="81"/>
            <rFont val="Times New Roman"/>
            <family val="1"/>
          </rPr>
          <t>includes weapon focus +1</t>
        </r>
      </text>
    </comment>
    <comment ref="F16" authorId="0">
      <text>
        <r>
          <rPr>
            <sz val="12"/>
            <color indexed="81"/>
            <rFont val="Times New Roman"/>
            <family val="1"/>
          </rPr>
          <t>Far Shot feat</t>
        </r>
      </text>
    </comment>
  </commentList>
</comments>
</file>

<file path=xl/comments5.xml><?xml version="1.0" encoding="utf-8"?>
<comments xmlns="http://schemas.openxmlformats.org/spreadsheetml/2006/main">
  <authors>
    <author>Alexis Álvarez</author>
  </authors>
  <commentLis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8"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9"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15"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<sst xmlns="http://schemas.openxmlformats.org/spreadsheetml/2006/main" count="403" uniqueCount="244">
  <si>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</si>
  <si>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</si>
  <si>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</si>
  <si>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</si>
  <si>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</si>
  <si>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</si>
  <si>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</si>
  <si>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</si>
  <si>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</si>
  <si>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</si>
  <si>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</si>
  <si>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</si>
  <si>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</si>
  <si>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</si>
  <si>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</si>
  <si>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</si>
  <si>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</si>
  <si>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</si>
  <si>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</si>
  <si>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</si>
  <si>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</si>
  <si>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</si>
  <si>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</si>
  <si>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</si>
  <si>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</si>
  <si>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</si>
  <si>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</si>
  <si>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</si>
  <si>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</si>
  <si>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</si>
  <si>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</si>
  <si>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</si>
  <si>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</si>
  <si>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</si>
  <si>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</si>
  <si>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</si>
  <si>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</si>
  <si>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</si>
  <si>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</si>
  <si>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</si>
  <si>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</si>
  <si>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</si>
  <si>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</si>
  <si>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</si>
  <si>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</si>
  <si>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</si>
  <si>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</si>
  <si>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</si>
  <si>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</si>
  <si>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</si>
  <si>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</si>
  <si>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</si>
  <si>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</si>
  <si>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</si>
  <si>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</si>
  <si>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</si>
  <si>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</si>
  <si>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</si>
  <si>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</si>
  <si>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</si>
  <si>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</si>
  <si>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</si>
  <si>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</si>
  <si>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</si>
  <si>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</si>
  <si>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</si>
  <si>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</si>
  <si>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</si>
  <si>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</si>
  <si>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</si>
  <si>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</si>
  <si>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</si>
  <si>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</si>
  <si>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</si>
  <si>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</si>
  <si>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</si>
  <si>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</si>
  <si>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</si>
  <si>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</si>
  <si>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</si>
  <si>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</si>
  <si>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</si>
  <si>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</si>
  <si>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</si>
  <si>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</si>
  <si>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</si>
  <si>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</si>
  <si>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</si>
  <si>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</si>
  <si>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</si>
  <si>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Religion</t>
  </si>
  <si>
    <t>Centaur</t>
  </si>
  <si>
    <t>+2 Natural Armor</t>
  </si>
  <si>
    <t>Centaur Outfit</t>
  </si>
  <si>
    <t>Chaotic Neutral</t>
  </si>
  <si>
    <t>Male</t>
  </si>
  <si>
    <t>x3</t>
  </si>
  <si>
    <t>Waterskin</t>
  </si>
  <si>
    <t>Sleight of Hand</t>
  </si>
  <si>
    <t>Survival</t>
  </si>
  <si>
    <t>Aegis</t>
  </si>
  <si>
    <t>Played by Wayne Willis</t>
  </si>
  <si>
    <t>Roll</t>
  </si>
  <si>
    <t>Centaur Features</t>
  </si>
  <si>
    <t>Feats</t>
  </si>
  <si>
    <t>Weapon Proficiencies</t>
  </si>
  <si>
    <t>2 Hooves 1d4</t>
  </si>
  <si>
    <t>Sylvan, Common, Elven</t>
  </si>
  <si>
    <t>1d4</t>
  </si>
  <si>
    <t>x2</t>
  </si>
  <si>
    <t>FF AC:</t>
  </si>
  <si>
    <t>Profession:  [type]</t>
  </si>
  <si>
    <t>Perform:  [type]</t>
  </si>
  <si>
    <t>Craft:  [type]</t>
  </si>
  <si>
    <t>1st:  Point Blank Shot</t>
  </si>
  <si>
    <t>Backpack</t>
  </si>
  <si>
    <t>Flint &amp; Steel</t>
  </si>
  <si>
    <t>Blanket</t>
  </si>
  <si>
    <t>40’</t>
  </si>
  <si>
    <t>Initiative:</t>
  </si>
  <si>
    <t>Actual Speed:</t>
  </si>
  <si>
    <t>Atk</t>
  </si>
  <si>
    <t>Darkvision 60’</t>
  </si>
  <si>
    <t>Attack Bonus:</t>
  </si>
  <si>
    <t>Gold Pieces</t>
  </si>
  <si>
    <t>Weight</t>
  </si>
  <si>
    <t>seven</t>
  </si>
  <si>
    <t>Value</t>
  </si>
  <si>
    <t>Everburning Torch</t>
  </si>
  <si>
    <t>Total Equity:</t>
  </si>
  <si>
    <t>Skill/Save</t>
  </si>
  <si>
    <t>Centaur 1</t>
  </si>
  <si>
    <t>Centaur 2</t>
  </si>
  <si>
    <t>Centaur 3</t>
  </si>
  <si>
    <t>Centaur 4</t>
  </si>
  <si>
    <t>Heavy Lance &amp; Composite Longbow</t>
  </si>
  <si>
    <t>1 use/day</t>
  </si>
  <si>
    <t>2</t>
  </si>
  <si>
    <t>4th:  Precise Shot</t>
  </si>
  <si>
    <t>Ranger</t>
  </si>
  <si>
    <t>Ranger Features</t>
  </si>
  <si>
    <t>Track</t>
  </si>
  <si>
    <t>Wild Empathy</t>
  </si>
  <si>
    <t>Ranger 1</t>
  </si>
  <si>
    <t>Favored Enemy:  Dragon</t>
  </si>
  <si>
    <t>Arrows</t>
  </si>
  <si>
    <t>1d6</t>
  </si>
  <si>
    <t>Combat Style:  Archery</t>
  </si>
  <si>
    <t>Ranger 2</t>
  </si>
  <si>
    <t>Equity on this page:</t>
  </si>
  <si>
    <t>+0</t>
  </si>
  <si>
    <t>-</t>
  </si>
  <si>
    <t>Greataxe +1</t>
  </si>
  <si>
    <t>Brooch of Stability</t>
  </si>
  <si>
    <t>HPs don't drop to -10</t>
  </si>
  <si>
    <t>Scrolls and Potions</t>
  </si>
  <si>
    <t>Level</t>
  </si>
  <si>
    <t>CLev</t>
  </si>
  <si>
    <t>Cloak of Resistance +1</t>
  </si>
  <si>
    <t>Sack</t>
  </si>
  <si>
    <t>Everlasting Rations</t>
  </si>
  <si>
    <t>1d12</t>
  </si>
  <si>
    <t>+4+1</t>
  </si>
  <si>
    <t>Slashing</t>
  </si>
  <si>
    <t>Endurance</t>
  </si>
  <si>
    <t>6th:  Far Shot</t>
  </si>
  <si>
    <t>Touch AC:</t>
  </si>
  <si>
    <r>
      <t xml:space="preserve">Potion of </t>
    </r>
    <r>
      <rPr>
        <i/>
        <sz val="12"/>
        <rFont val="Times New Roman"/>
        <family val="1"/>
      </rPr>
      <t>Cure Moderate Wounds</t>
    </r>
  </si>
  <si>
    <t>Ranger 3</t>
  </si>
  <si>
    <t>Ranger 4</t>
  </si>
  <si>
    <t>Will:</t>
  </si>
  <si>
    <t>5</t>
  </si>
  <si>
    <t>Ref:</t>
  </si>
  <si>
    <t>Fort:</t>
  </si>
  <si>
    <t>BAB:</t>
  </si>
  <si>
    <t>AC:</t>
  </si>
  <si>
    <t>Speed:</t>
  </si>
  <si>
    <t>Medium</t>
  </si>
  <si>
    <t>Size:</t>
  </si>
  <si>
    <t>Animal Companion</t>
  </si>
  <si>
    <t>Wolf</t>
  </si>
  <si>
    <t>+2</t>
  </si>
  <si>
    <t>50’</t>
  </si>
  <si>
    <t>14</t>
  </si>
  <si>
    <t>Gray</t>
  </si>
  <si>
    <t>Color:</t>
  </si>
  <si>
    <t>Spell</t>
  </si>
  <si>
    <t>Knowledge:  Dungeoneering</t>
  </si>
  <si>
    <t>DC</t>
  </si>
  <si>
    <t>Cast?</t>
  </si>
  <si>
    <t>Prayers per Day</t>
  </si>
  <si>
    <t>Daily Spells by Level</t>
  </si>
  <si>
    <t>0th</t>
  </si>
  <si>
    <t>1st</t>
  </si>
  <si>
    <t>2nd</t>
  </si>
  <si>
    <t>4th</t>
  </si>
  <si>
    <t>Total Daily Spells</t>
  </si>
  <si>
    <t>Ranger Spells</t>
  </si>
  <si>
    <t>Wisdom Bonus</t>
  </si>
  <si>
    <t>Summon Nature’s Ally I</t>
  </si>
  <si>
    <t>¨</t>
  </si>
  <si>
    <t>Daily Spells</t>
  </si>
  <si>
    <t>Simple Weapons, Light Armor, Shields</t>
  </si>
  <si>
    <t>-2</t>
  </si>
  <si>
    <t>Tika</t>
  </si>
  <si>
    <t>Female</t>
  </si>
  <si>
    <t>+2 while underground</t>
  </si>
  <si>
    <t>Grapple</t>
  </si>
  <si>
    <t>+1 within 30’</t>
  </si>
  <si>
    <t>Ranger 5</t>
  </si>
  <si>
    <t>Favored Enemy:  Undead</t>
  </si>
  <si>
    <t>9th:  Weapon Focus (Longbow)</t>
  </si>
  <si>
    <t>Blunt Arrows</t>
  </si>
  <si>
    <t>Piercing</t>
  </si>
  <si>
    <t>Bludgeoning</t>
  </si>
  <si>
    <t>Mithral Chain Barding +1</t>
  </si>
  <si>
    <t>Hoof Attack</t>
  </si>
  <si>
    <t>Greataxe +1, 2nd Attack</t>
  </si>
  <si>
    <t>2nd Shot</t>
  </si>
  <si>
    <t>3rd Shot, Rapid Firing</t>
  </si>
  <si>
    <r>
      <t xml:space="preserve">4th Shot, </t>
    </r>
    <r>
      <rPr>
        <i/>
        <sz val="12"/>
        <rFont val="Times New Roman"/>
        <family val="1"/>
      </rPr>
      <t>haste</t>
    </r>
  </si>
  <si>
    <t>Dagger +1</t>
  </si>
  <si>
    <t>1d3</t>
  </si>
  <si>
    <t>19-20, x2</t>
  </si>
  <si>
    <t>Prcg/Slsh</t>
  </si>
  <si>
    <t>Wealth Cap:</t>
  </si>
  <si>
    <r>
      <t xml:space="preserve">Wand of </t>
    </r>
    <r>
      <rPr>
        <i/>
        <sz val="12"/>
        <rFont val="Times New Roman"/>
        <family val="1"/>
      </rPr>
      <t>Cure Light Wounds</t>
    </r>
  </si>
  <si>
    <t>Healing Belt</t>
  </si>
  <si>
    <t>Greater Crystal of Aquatic Action</t>
  </si>
  <si>
    <t>Alchemist’s Fire:  5</t>
  </si>
  <si>
    <t>+1 vs. Favored Enemy</t>
  </si>
  <si>
    <t>Dragonbane Composite Longbow Str +4</t>
  </si>
  <si>
    <t>Amulet of Natural Armor +1</t>
  </si>
  <si>
    <t>Crystal of Electrical Assault, Lesser</t>
  </si>
  <si>
    <r>
      <t>133</t>
    </r>
    <r>
      <rPr>
        <sz val="13"/>
        <rFont val="Times New Roman"/>
        <family val="1"/>
      </rPr>
      <t>/</t>
    </r>
    <r>
      <rPr>
        <sz val="13"/>
        <color indexed="51"/>
        <rFont val="Times New Roman"/>
        <family val="1"/>
      </rPr>
      <t>266</t>
    </r>
    <r>
      <rPr>
        <sz val="13"/>
        <rFont val="Times New Roman"/>
        <family val="1"/>
      </rPr>
      <t>/</t>
    </r>
    <r>
      <rPr>
        <sz val="13"/>
        <color indexed="10"/>
        <rFont val="Times New Roman"/>
        <family val="1"/>
      </rPr>
      <t>400</t>
    </r>
  </si>
  <si>
    <t>Centaur 5</t>
  </si>
  <si>
    <t>42 charges</t>
  </si>
  <si>
    <t>Armbands of Strength +2</t>
  </si>
  <si>
    <t>Endure Energy</t>
  </si>
  <si>
    <t>Combat Style:  Many-Shot</t>
  </si>
  <si>
    <t>Ranger 6</t>
  </si>
  <si>
    <t xml:space="preserve">Track, Hide +2, Listen +3, Move Silently +3, Spot +3, </t>
  </si>
  <si>
    <t>Survival +1*, Weapon Focus (bite, 1d6+1), Trip</t>
  </si>
  <si>
    <t>Caster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</si>
</sst>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
      <b/>
      <sz val="13"/>
      <color indexed="20"/>
      <name val="Times New Roman"/>
      <family val="1"/>
    </font>
    <font>
      <i/>
      <sz val="12"/>
      <color indexed="9"/>
      <name val="Times New Roman"/>
      <family val="1"/>
    </font>
    <font>
      <i/>
      <sz val="20"/>
      <color theme="7" tint="0.39997558519241921"/>
      <name val="Times New Roman"/>
      <family val="1"/>
    </font>
    <font>
      <sz val="12"/>
      <name val="Times New Roman"/>
      <family val="1"/>
      <charset val="1"/>
    </font>
    <font>
      <sz val="10"/>
      <name val="Arial"/>
      <family val="2"/>
    </font>
    <font>
      <i/>
      <sz val="18"/>
      <color indexed="12"/>
      <name val="Times New Roman"/>
      <family val="1"/>
    </font>
    <font>
      <sz val="13"/>
      <name val="Wingdings"/>
      <charset val="2"/>
    </font>
    <font>
      <i/>
      <sz val="18"/>
      <color rgb="FF0000FF"/>
      <name val="Times New Roman"/>
      <family val="1"/>
    </font>
    <font>
      <i/>
      <sz val="18"/>
      <color rgb="FF7030A0"/>
      <name val="Times New Roman"/>
      <family val="1"/>
    </font>
    <font>
      <b/>
      <sz val="12"/>
      <color theme="0"/>
      <name val="Times New Roman"/>
      <family val="1"/>
    </font>
    <font>
      <i/>
      <sz val="12"/>
      <color indexed="81"/>
      <name val="Times New Roman"/>
      <family val="1"/>
    </font>
  </fonts>
  <fills count="2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CCFFCC"/>
        <bgColor indexed="55"/>
      </patternFill>
    </fill>
    <fill>
      <patternFill patternType="solid">
        <fgColor rgb="FFCCFFCC"/>
        <bgColor indexed="64"/>
      </patternFill>
    </fill>
    <fill>
      <patternFill patternType="solid">
        <fgColor rgb="FFFFFF00"/>
        <bgColor indexed="64"/>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4.9989318521683403E-2"/>
        <bgColor indexed="64"/>
      </patternFill>
    </fill>
    <fill>
      <patternFill patternType="solid">
        <fgColor theme="7" tint="0.39997558519241921"/>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hair">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medium">
        <color indexed="64"/>
      </top>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diagonal/>
    </border>
    <border>
      <left/>
      <right style="hair">
        <color indexed="64"/>
      </right>
      <top style="medium">
        <color indexed="64"/>
      </top>
      <bottom style="hair">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medium">
        <color indexed="64"/>
      </top>
      <bottom/>
      <diagonal/>
    </border>
    <border>
      <left style="hair">
        <color indexed="64"/>
      </left>
      <right style="double">
        <color indexed="64"/>
      </right>
      <top/>
      <bottom style="hair">
        <color indexed="64"/>
      </bottom>
      <diagonal/>
    </border>
    <border>
      <left style="hair">
        <color indexed="64"/>
      </left>
      <right style="double">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0" fontId="58" fillId="0" borderId="0" applyFill="0" applyBorder="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510">
    <xf numFmtId="0" fontId="0" fillId="0" borderId="0" xfId="0"/>
    <xf numFmtId="0" fontId="37" fillId="0" borderId="39" xfId="0" applyFont="1" applyBorder="1" applyAlignment="1">
      <alignment horizontal="centerContinuous" vertical="center" wrapText="1"/>
    </xf>
    <xf numFmtId="0" fontId="45" fillId="11" borderId="42" xfId="0" applyNumberFormat="1" applyFont="1" applyFill="1" applyBorder="1" applyAlignment="1">
      <alignment horizontal="center" vertical="center" wrapText="1"/>
    </xf>
    <xf numFmtId="0" fontId="12" fillId="4" borderId="43" xfId="0" applyNumberFormat="1" applyFont="1" applyFill="1" applyBorder="1" applyAlignment="1">
      <alignment horizontal="center" vertical="center"/>
    </xf>
    <xf numFmtId="0" fontId="12" fillId="4" borderId="67" xfId="0" applyFont="1" applyFill="1" applyBorder="1" applyAlignment="1">
      <alignment horizontal="center" vertical="center"/>
    </xf>
    <xf numFmtId="0" fontId="40" fillId="0" borderId="39" xfId="0" applyFont="1" applyBorder="1" applyAlignment="1">
      <alignment horizontal="centerContinuous" vertical="center" wrapText="1"/>
    </xf>
    <xf numFmtId="0" fontId="38" fillId="3" borderId="69" xfId="0" applyFont="1" applyFill="1" applyBorder="1" applyAlignment="1">
      <alignment horizontal="right" vertical="center"/>
    </xf>
    <xf numFmtId="0" fontId="38" fillId="3" borderId="70" xfId="0" applyFont="1" applyFill="1" applyBorder="1" applyAlignment="1">
      <alignment horizontal="left" vertical="center"/>
    </xf>
    <xf numFmtId="0" fontId="20" fillId="3" borderId="70" xfId="0" applyFont="1" applyFill="1" applyBorder="1" applyAlignment="1">
      <alignment horizontal="left" vertical="center"/>
    </xf>
    <xf numFmtId="0" fontId="4" fillId="3" borderId="70" xfId="0" applyFont="1" applyFill="1" applyBorder="1" applyAlignment="1">
      <alignment horizontal="centerContinuous" vertical="center"/>
    </xf>
    <xf numFmtId="0" fontId="39" fillId="3" borderId="71" xfId="1" applyFont="1" applyFill="1" applyBorder="1" applyAlignment="1" applyProtection="1">
      <alignment horizontal="right" vertical="center"/>
    </xf>
    <xf numFmtId="0" fontId="0" fillId="0" borderId="0" xfId="0" applyAlignment="1">
      <alignment vertical="center"/>
    </xf>
    <xf numFmtId="0" fontId="6"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Border="1" applyAlignment="1">
      <alignment horizontal="centerContinuous" vertical="center"/>
    </xf>
    <xf numFmtId="0" fontId="6" fillId="2" borderId="18" xfId="0" applyFont="1" applyFill="1" applyBorder="1" applyAlignment="1">
      <alignment horizontal="right" vertical="center"/>
    </xf>
    <xf numFmtId="0" fontId="6" fillId="2" borderId="58" xfId="0" applyFont="1" applyFill="1" applyBorder="1" applyAlignment="1">
      <alignment horizontal="right" vertical="center"/>
    </xf>
    <xf numFmtId="49" fontId="7" fillId="0" borderId="57" xfId="0" applyNumberFormat="1" applyFont="1" applyBorder="1" applyAlignment="1">
      <alignment horizontal="center" vertical="center"/>
    </xf>
    <xf numFmtId="49" fontId="2" fillId="0" borderId="29" xfId="0" applyNumberFormat="1" applyFont="1" applyFill="1" applyBorder="1" applyAlignment="1">
      <alignment horizontal="centerContinuous" vertical="center"/>
    </xf>
    <xf numFmtId="0" fontId="2" fillId="0" borderId="37" xfId="0" applyFont="1" applyBorder="1" applyAlignment="1">
      <alignment horizontal="centerContinuous" vertical="center"/>
    </xf>
    <xf numFmtId="0" fontId="47" fillId="2" borderId="13" xfId="0" applyFont="1" applyFill="1" applyBorder="1" applyAlignment="1">
      <alignment horizontal="right" vertical="center"/>
    </xf>
    <xf numFmtId="0" fontId="7" fillId="0" borderId="14" xfId="0" applyFont="1" applyFill="1" applyBorder="1" applyAlignment="1">
      <alignment horizontal="center" vertical="center"/>
    </xf>
    <xf numFmtId="0" fontId="8"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8" fillId="2" borderId="15" xfId="0" applyFont="1" applyFill="1" applyBorder="1" applyAlignment="1">
      <alignment horizontal="right" vertical="center"/>
    </xf>
    <xf numFmtId="0" fontId="13" fillId="3" borderId="5"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8" fillId="2" borderId="4" xfId="0" applyFont="1" applyFill="1" applyBorder="1" applyAlignment="1">
      <alignment horizontal="right" vertical="center"/>
    </xf>
    <xf numFmtId="164" fontId="6" fillId="9" borderId="36" xfId="0" applyNumberFormat="1" applyFont="1" applyFill="1" applyBorder="1" applyAlignment="1">
      <alignment horizontal="center" vertical="center"/>
    </xf>
    <xf numFmtId="0" fontId="10" fillId="3" borderId="5"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1" fillId="3" borderId="5" xfId="0" applyFont="1" applyFill="1" applyBorder="1" applyAlignment="1">
      <alignment horizontal="right" vertical="center"/>
    </xf>
    <xf numFmtId="0" fontId="11" fillId="2" borderId="4" xfId="0" applyFont="1" applyFill="1" applyBorder="1" applyAlignment="1">
      <alignment horizontal="right" vertical="center"/>
    </xf>
    <xf numFmtId="0" fontId="22" fillId="3" borderId="5" xfId="0" applyFont="1" applyFill="1" applyBorder="1" applyAlignment="1">
      <alignment horizontal="right" vertical="center"/>
    </xf>
    <xf numFmtId="0" fontId="9" fillId="0" borderId="3" xfId="0" applyFont="1" applyBorder="1" applyAlignment="1">
      <alignment horizontal="center" vertical="center"/>
    </xf>
    <xf numFmtId="0" fontId="14" fillId="3" borderId="19" xfId="0" applyFont="1" applyFill="1" applyBorder="1" applyAlignment="1">
      <alignment horizontal="right" vertical="center"/>
    </xf>
    <xf numFmtId="0" fontId="7"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1" fillId="2" borderId="30" xfId="0" applyFont="1" applyFill="1" applyBorder="1" applyAlignment="1">
      <alignment horizontal="right" vertical="center"/>
    </xf>
    <xf numFmtId="0" fontId="7" fillId="0" borderId="7"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5" fillId="0" borderId="0" xfId="0" applyFont="1" applyBorder="1" applyAlignment="1">
      <alignment vertical="center"/>
    </xf>
    <xf numFmtId="0" fontId="12" fillId="4" borderId="26" xfId="0" applyFont="1" applyFill="1" applyBorder="1" applyAlignment="1">
      <alignment horizontal="centerContinuous" vertical="center"/>
    </xf>
    <xf numFmtId="0" fontId="12" fillId="4" borderId="27" xfId="0" applyFont="1" applyFill="1" applyBorder="1" applyAlignment="1">
      <alignment horizontal="center" vertical="center"/>
    </xf>
    <xf numFmtId="0" fontId="12" fillId="4" borderId="27" xfId="0" applyFont="1" applyFill="1" applyBorder="1" applyAlignment="1">
      <alignment horizontal="center" vertical="center" wrapText="1"/>
    </xf>
    <xf numFmtId="0" fontId="12" fillId="4" borderId="27" xfId="0" applyNumberFormat="1" applyFont="1" applyFill="1" applyBorder="1" applyAlignment="1">
      <alignment horizontal="center" vertical="center" wrapText="1"/>
    </xf>
    <xf numFmtId="0" fontId="4" fillId="0" borderId="0" xfId="0" applyFont="1" applyBorder="1" applyAlignment="1">
      <alignment vertical="center"/>
    </xf>
    <xf numFmtId="0" fontId="8"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2" fillId="11" borderId="33"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0" fontId="43" fillId="0" borderId="1" xfId="0" applyFont="1" applyFill="1" applyBorder="1" applyAlignment="1">
      <alignment vertical="center"/>
    </xf>
    <xf numFmtId="0" fontId="6"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wrapText="1"/>
    </xf>
    <xf numFmtId="0" fontId="44" fillId="0" borderId="65" xfId="0" applyFont="1" applyFill="1" applyBorder="1" applyAlignment="1">
      <alignment vertical="center"/>
    </xf>
    <xf numFmtId="0" fontId="6" fillId="0" borderId="66" xfId="0" applyFont="1" applyFill="1" applyBorder="1" applyAlignment="1">
      <alignment horizontal="center" vertical="center"/>
    </xf>
    <xf numFmtId="49" fontId="28" fillId="0" borderId="66" xfId="0" applyNumberFormat="1" applyFont="1" applyFill="1" applyBorder="1" applyAlignment="1">
      <alignment horizontal="center" vertical="center"/>
    </xf>
    <xf numFmtId="0" fontId="28" fillId="0" borderId="66" xfId="0" applyNumberFormat="1" applyFont="1" applyFill="1" applyBorder="1" applyAlignment="1">
      <alignment horizontal="center" vertical="center"/>
    </xf>
    <xf numFmtId="1" fontId="7" fillId="0" borderId="66" xfId="0" applyNumberFormat="1" applyFont="1" applyFill="1" applyBorder="1" applyAlignment="1">
      <alignment horizontal="center" vertical="center" wrapText="1"/>
    </xf>
    <xf numFmtId="0" fontId="42" fillId="11" borderId="66"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0" fontId="33" fillId="5" borderId="33"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7" fillId="6" borderId="33" xfId="0" applyNumberFormat="1" applyFont="1" applyFill="1" applyBorder="1" applyAlignment="1">
      <alignment horizontal="center" vertical="center"/>
    </xf>
    <xf numFmtId="0" fontId="7" fillId="6" borderId="34"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1" fillId="2" borderId="1" xfId="0" applyFont="1" applyFill="1" applyBorder="1" applyAlignment="1">
      <alignment vertical="center"/>
    </xf>
    <xf numFmtId="0" fontId="7"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7"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49" fontId="7" fillId="8" borderId="33" xfId="0" applyNumberFormat="1" applyFont="1" applyFill="1" applyBorder="1" applyAlignment="1">
      <alignment horizontal="center" vertical="center"/>
    </xf>
    <xf numFmtId="0" fontId="7" fillId="8" borderId="34" xfId="0" applyNumberFormat="1" applyFont="1" applyFill="1" applyBorder="1" applyAlignment="1">
      <alignment horizontal="center" vertical="center"/>
    </xf>
    <xf numFmtId="0" fontId="13"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4"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4" fillId="10" borderId="1" xfId="0" applyFont="1" applyFill="1" applyBorder="1" applyAlignment="1">
      <alignment vertical="center"/>
    </xf>
    <xf numFmtId="0" fontId="7"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7" fillId="13" borderId="33" xfId="0" applyNumberFormat="1" applyFont="1" applyFill="1" applyBorder="1" applyAlignment="1">
      <alignment horizontal="center" vertical="center"/>
    </xf>
    <xf numFmtId="49" fontId="7" fillId="10" borderId="33" xfId="0" applyNumberFormat="1" applyFont="1" applyFill="1" applyBorder="1" applyAlignment="1">
      <alignment horizontal="center" vertical="center"/>
    </xf>
    <xf numFmtId="0" fontId="7" fillId="10" borderId="34" xfId="0" applyNumberFormat="1" applyFont="1" applyFill="1" applyBorder="1" applyAlignment="1">
      <alignment horizontal="center" vertical="center"/>
    </xf>
    <xf numFmtId="0" fontId="7" fillId="2" borderId="34" xfId="0" quotePrefix="1" applyNumberFormat="1" applyFont="1" applyFill="1" applyBorder="1" applyAlignment="1">
      <alignment horizontal="center" vertical="center"/>
    </xf>
    <xf numFmtId="0" fontId="13"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3" fillId="6" borderId="9" xfId="0" applyFont="1" applyFill="1" applyBorder="1" applyAlignment="1">
      <alignment vertical="center"/>
    </xf>
    <xf numFmtId="0" fontId="7" fillId="6" borderId="62" xfId="0" applyNumberFormat="1" applyFont="1" applyFill="1" applyBorder="1" applyAlignment="1">
      <alignment horizontal="center" vertical="center"/>
    </xf>
    <xf numFmtId="49" fontId="24" fillId="6" borderId="62" xfId="0" applyNumberFormat="1" applyFont="1" applyFill="1" applyBorder="1" applyAlignment="1">
      <alignment horizontal="center" vertical="center"/>
    </xf>
    <xf numFmtId="0" fontId="24" fillId="6" borderId="63" xfId="0" applyNumberFormat="1" applyFont="1" applyFill="1" applyBorder="1" applyAlignment="1">
      <alignment horizontal="center" vertical="center"/>
    </xf>
    <xf numFmtId="49" fontId="7" fillId="6" borderId="63" xfId="0" applyNumberFormat="1" applyFont="1" applyFill="1" applyBorder="1" applyAlignment="1">
      <alignment horizontal="center" vertical="center"/>
    </xf>
    <xf numFmtId="0" fontId="42" fillId="11" borderId="62" xfId="0" applyNumberFormat="1" applyFont="1" applyFill="1" applyBorder="1" applyAlignment="1">
      <alignment horizontal="center" vertical="center"/>
    </xf>
    <xf numFmtId="0" fontId="7" fillId="6" borderId="64"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36" fillId="0" borderId="39" xfId="0" applyFont="1" applyBorder="1" applyAlignment="1">
      <alignment horizontal="centerContinuous" vertical="center"/>
    </xf>
    <xf numFmtId="0" fontId="5" fillId="0" borderId="0" xfId="0" applyFont="1" applyBorder="1" applyAlignment="1">
      <alignment vertical="center" wrapText="1"/>
    </xf>
    <xf numFmtId="0" fontId="17" fillId="0" borderId="60" xfId="0" quotePrefix="1" applyFont="1" applyBorder="1" applyAlignment="1">
      <alignment horizontal="centerContinuous" vertical="center"/>
    </xf>
    <xf numFmtId="0" fontId="46" fillId="0" borderId="61" xfId="0" applyFont="1" applyFill="1" applyBorder="1" applyAlignment="1">
      <alignment horizontal="centerContinuous" vertical="center"/>
    </xf>
    <xf numFmtId="0" fontId="46" fillId="0" borderId="61" xfId="0" applyFont="1" applyFill="1" applyBorder="1" applyAlignment="1">
      <alignment horizontal="center" vertical="center" shrinkToFit="1"/>
    </xf>
    <xf numFmtId="0" fontId="46" fillId="0" borderId="41" xfId="0" applyFont="1" applyFill="1" applyBorder="1" applyAlignment="1">
      <alignment horizontal="centerContinuous" vertical="center"/>
    </xf>
    <xf numFmtId="0" fontId="46" fillId="0" borderId="41" xfId="0" applyFont="1" applyFill="1" applyBorder="1" applyAlignment="1">
      <alignment horizontal="center" vertical="center" shrinkToFit="1"/>
    </xf>
    <xf numFmtId="0" fontId="5" fillId="0" borderId="0" xfId="0" applyFont="1" applyBorder="1" applyAlignment="1">
      <alignment horizontal="left" vertical="center" wrapText="1"/>
    </xf>
    <xf numFmtId="0" fontId="7" fillId="0" borderId="60" xfId="0" applyFont="1" applyFill="1" applyBorder="1" applyAlignment="1">
      <alignment horizontal="centerContinuous" vertical="center"/>
    </xf>
    <xf numFmtId="0" fontId="7" fillId="0" borderId="40" xfId="0" applyFont="1" applyFill="1" applyBorder="1" applyAlignment="1">
      <alignment horizontal="centerContinuous" vertical="center"/>
    </xf>
    <xf numFmtId="0" fontId="7" fillId="0" borderId="41" xfId="0" applyFont="1" applyFill="1" applyBorder="1" applyAlignment="1">
      <alignment horizontal="centerContinuous" vertical="center"/>
    </xf>
    <xf numFmtId="0" fontId="4" fillId="0" borderId="0" xfId="0" applyFont="1" applyBorder="1" applyAlignment="1">
      <alignment horizontal="right" vertical="center" wrapText="1"/>
    </xf>
    <xf numFmtId="0" fontId="3"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8" fillId="11" borderId="72" xfId="0" applyFont="1" applyFill="1" applyBorder="1" applyAlignment="1">
      <alignment horizontal="center" vertical="center"/>
    </xf>
    <xf numFmtId="0" fontId="21" fillId="12" borderId="73"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39" xfId="0" applyFont="1" applyFill="1" applyBorder="1" applyAlignment="1">
      <alignment horizontal="center" vertical="center"/>
    </xf>
    <xf numFmtId="0" fontId="48" fillId="11" borderId="25"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3" xfId="0" applyFont="1" applyFill="1" applyBorder="1" applyAlignment="1">
      <alignment horizontal="centerContinuous" vertical="center"/>
    </xf>
    <xf numFmtId="0" fontId="21" fillId="12" borderId="78" xfId="0" applyFont="1" applyFill="1" applyBorder="1" applyAlignment="1">
      <alignment horizontal="centerContinuous" vertical="center"/>
    </xf>
    <xf numFmtId="164" fontId="5" fillId="0" borderId="81" xfId="0" applyNumberFormat="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0" fontId="2" fillId="0" borderId="84" xfId="0" quotePrefix="1" applyFont="1" applyBorder="1" applyAlignment="1">
      <alignment horizontal="centerContinuous" vertical="center"/>
    </xf>
    <xf numFmtId="164" fontId="2" fillId="0" borderId="79" xfId="0" applyNumberFormat="1" applyFont="1" applyFill="1" applyBorder="1" applyAlignment="1">
      <alignment horizontal="centerContinuous" vertical="center"/>
    </xf>
    <xf numFmtId="0" fontId="2" fillId="0" borderId="80"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49" fontId="2" fillId="0" borderId="79" xfId="0" applyNumberFormat="1"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4" borderId="42" xfId="0" applyFont="1" applyFill="1" applyBorder="1" applyAlignment="1">
      <alignment horizontal="center" vertical="center"/>
    </xf>
    <xf numFmtId="164" fontId="21" fillId="4" borderId="43"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164" fontId="21" fillId="4" borderId="39" xfId="0" applyNumberFormat="1" applyFont="1" applyFill="1" applyBorder="1" applyAlignment="1">
      <alignment horizontal="center" vertical="center"/>
    </xf>
    <xf numFmtId="0" fontId="5" fillId="0" borderId="45" xfId="0" applyFont="1" applyBorder="1" applyAlignment="1">
      <alignment horizontal="center" vertical="center" shrinkToFit="1"/>
    </xf>
    <xf numFmtId="1" fontId="5" fillId="0" borderId="46" xfId="0" applyNumberFormat="1"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1" fontId="2" fillId="0" borderId="61" xfId="0" applyNumberFormat="1" applyFont="1" applyBorder="1" applyAlignment="1">
      <alignment horizontal="center" vertical="center" shrinkToFit="1"/>
    </xf>
    <xf numFmtId="164" fontId="5" fillId="0" borderId="46" xfId="0" applyNumberFormat="1" applyFont="1" applyBorder="1" applyAlignment="1">
      <alignment horizontal="center" vertical="center" shrinkToFit="1"/>
    </xf>
    <xf numFmtId="1" fontId="5" fillId="0" borderId="61" xfId="0" applyNumberFormat="1" applyFont="1" applyBorder="1" applyAlignment="1">
      <alignment horizontal="center" vertical="center" shrinkToFit="1"/>
    </xf>
    <xf numFmtId="0" fontId="2" fillId="0" borderId="49" xfId="0" applyFont="1" applyBorder="1" applyAlignment="1">
      <alignment horizontal="center" vertical="center" shrinkToFit="1"/>
    </xf>
    <xf numFmtId="1" fontId="5" fillId="0" borderId="50" xfId="0" applyNumberFormat="1"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 fontId="5" fillId="0" borderId="85"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64" fontId="5" fillId="0" borderId="54" xfId="0" applyNumberFormat="1" applyFont="1" applyBorder="1" applyAlignment="1">
      <alignment horizontal="center" vertical="center" shrinkToFit="1"/>
    </xf>
    <xf numFmtId="0" fontId="5" fillId="0" borderId="55" xfId="0" applyFont="1" applyBorder="1" applyAlignment="1">
      <alignment horizontal="left" vertical="center"/>
    </xf>
    <xf numFmtId="0" fontId="5" fillId="0" borderId="56" xfId="0" applyFont="1" applyBorder="1" applyAlignment="1">
      <alignment horizontal="left" vertical="center" shrinkToFit="1"/>
    </xf>
    <xf numFmtId="1" fontId="5" fillId="0" borderId="41"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left" vertical="center"/>
    </xf>
    <xf numFmtId="0" fontId="4" fillId="0" borderId="0" xfId="0" applyFont="1" applyFill="1" applyBorder="1" applyAlignment="1">
      <alignment horizontal="right" vertical="center"/>
    </xf>
    <xf numFmtId="1" fontId="5" fillId="0" borderId="0" xfId="0" applyNumberFormat="1" applyFont="1" applyBorder="1" applyAlignment="1">
      <alignment horizontal="center" vertical="center"/>
    </xf>
    <xf numFmtId="0" fontId="52" fillId="0" borderId="39" xfId="0" applyFont="1" applyBorder="1" applyAlignment="1">
      <alignment horizontal="centerContinuous" vertical="center"/>
    </xf>
    <xf numFmtId="0" fontId="53" fillId="0" borderId="41" xfId="0" applyFont="1" applyFill="1" applyBorder="1" applyAlignment="1">
      <alignment horizontal="center" vertical="center" shrinkToFit="1"/>
    </xf>
    <xf numFmtId="0" fontId="14" fillId="14" borderId="1" xfId="0" applyFont="1" applyFill="1" applyBorder="1" applyAlignment="1">
      <alignment vertical="center"/>
    </xf>
    <xf numFmtId="0" fontId="7" fillId="14" borderId="32" xfId="0" applyNumberFormat="1" applyFont="1" applyFill="1" applyBorder="1" applyAlignment="1">
      <alignment horizontal="center" vertical="center"/>
    </xf>
    <xf numFmtId="49" fontId="23" fillId="14" borderId="32" xfId="0" applyNumberFormat="1" applyFont="1" applyFill="1" applyBorder="1" applyAlignment="1">
      <alignment horizontal="center" vertical="center"/>
    </xf>
    <xf numFmtId="0" fontId="23" fillId="14" borderId="33" xfId="0" applyNumberFormat="1" applyFont="1" applyFill="1" applyBorder="1" applyAlignment="1">
      <alignment horizontal="center" vertical="center"/>
    </xf>
    <xf numFmtId="49" fontId="7" fillId="14" borderId="33" xfId="0" applyNumberFormat="1" applyFont="1" applyFill="1" applyBorder="1" applyAlignment="1">
      <alignment horizontal="center" vertical="center"/>
    </xf>
    <xf numFmtId="0" fontId="7" fillId="14" borderId="34" xfId="0" applyNumberFormat="1" applyFont="1" applyFill="1" applyBorder="1" applyAlignment="1">
      <alignment horizontal="center" vertical="center"/>
    </xf>
    <xf numFmtId="0" fontId="8" fillId="15" borderId="1" xfId="0" applyFont="1" applyFill="1" applyBorder="1" applyAlignment="1">
      <alignment vertical="center"/>
    </xf>
    <xf numFmtId="0" fontId="7" fillId="15" borderId="32" xfId="0" applyNumberFormat="1" applyFont="1" applyFill="1" applyBorder="1" applyAlignment="1">
      <alignment horizontal="center" vertical="center"/>
    </xf>
    <xf numFmtId="49" fontId="17" fillId="15" borderId="32" xfId="0" applyNumberFormat="1" applyFont="1" applyFill="1" applyBorder="1" applyAlignment="1">
      <alignment horizontal="center" vertical="center"/>
    </xf>
    <xf numFmtId="0" fontId="17" fillId="15" borderId="33" xfId="0" applyNumberFormat="1" applyFont="1" applyFill="1" applyBorder="1" applyAlignment="1">
      <alignment horizontal="center" vertical="center"/>
    </xf>
    <xf numFmtId="49" fontId="7" fillId="15" borderId="33" xfId="0" applyNumberFormat="1" applyFont="1" applyFill="1" applyBorder="1" applyAlignment="1">
      <alignment horizontal="center" vertical="center"/>
    </xf>
    <xf numFmtId="0" fontId="7" fillId="15" borderId="34" xfId="0" applyNumberFormat="1" applyFont="1" applyFill="1" applyBorder="1" applyAlignment="1">
      <alignment horizontal="center" vertical="center"/>
    </xf>
    <xf numFmtId="0" fontId="16" fillId="0" borderId="61" xfId="0" quotePrefix="1" applyFont="1" applyBorder="1" applyAlignment="1">
      <alignment horizontal="centerContinuous"/>
    </xf>
    <xf numFmtId="0" fontId="2" fillId="0" borderId="49" xfId="0" applyFont="1" applyBorder="1" applyAlignment="1">
      <alignment horizontal="center" shrinkToFit="1"/>
    </xf>
    <xf numFmtId="0" fontId="11" fillId="15" borderId="1" xfId="0" applyFont="1" applyFill="1" applyBorder="1" applyAlignment="1">
      <alignment vertical="center"/>
    </xf>
    <xf numFmtId="49" fontId="16" fillId="15" borderId="32" xfId="0" applyNumberFormat="1" applyFont="1" applyFill="1" applyBorder="1" applyAlignment="1">
      <alignment horizontal="center" vertical="center"/>
    </xf>
    <xf numFmtId="0" fontId="16" fillId="15" borderId="33"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13" fillId="15" borderId="1" xfId="0" applyFont="1" applyFill="1" applyBorder="1" applyAlignment="1">
      <alignment vertical="center"/>
    </xf>
    <xf numFmtId="49" fontId="24" fillId="15" borderId="32" xfId="0" applyNumberFormat="1" applyFont="1" applyFill="1" applyBorder="1" applyAlignment="1">
      <alignment horizontal="center" vertical="center"/>
    </xf>
    <xf numFmtId="0" fontId="24" fillId="15" borderId="33" xfId="0" applyNumberFormat="1" applyFont="1" applyFill="1" applyBorder="1" applyAlignment="1">
      <alignment horizontal="center" vertical="center"/>
    </xf>
    <xf numFmtId="49" fontId="2" fillId="0" borderId="75"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Continuous" vertical="center"/>
    </xf>
    <xf numFmtId="0" fontId="5" fillId="0" borderId="0" xfId="0" applyFont="1" applyFill="1" applyBorder="1" applyAlignment="1">
      <alignment horizontal="centerContinuous" vertical="center"/>
    </xf>
    <xf numFmtId="164" fontId="5"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21" fillId="12" borderId="72" xfId="0" applyFont="1" applyFill="1" applyBorder="1" applyAlignment="1">
      <alignment horizontal="center" vertical="center"/>
    </xf>
    <xf numFmtId="0" fontId="5" fillId="0" borderId="53" xfId="0" applyFont="1" applyFill="1" applyBorder="1" applyAlignment="1">
      <alignment horizontal="center" vertical="center" shrinkToFit="1"/>
    </xf>
    <xf numFmtId="1" fontId="5" fillId="0" borderId="54" xfId="0" applyNumberFormat="1" applyFont="1" applyFill="1" applyBorder="1" applyAlignment="1">
      <alignment horizontal="center" vertical="center" shrinkToFit="1"/>
    </xf>
    <xf numFmtId="164" fontId="5" fillId="0" borderId="54" xfId="0" applyNumberFormat="1" applyFont="1" applyFill="1" applyBorder="1" applyAlignment="1">
      <alignment horizontal="center" vertical="center" shrinkToFit="1"/>
    </xf>
    <xf numFmtId="0" fontId="5" fillId="0" borderId="55" xfId="0" applyFont="1" applyFill="1" applyBorder="1" applyAlignment="1">
      <alignment horizontal="left" vertical="center"/>
    </xf>
    <xf numFmtId="0" fontId="5" fillId="0" borderId="56" xfId="0" applyFont="1" applyFill="1" applyBorder="1" applyAlignment="1">
      <alignment horizontal="left" vertical="center" shrinkToFit="1"/>
    </xf>
    <xf numFmtId="1" fontId="5" fillId="0" borderId="41" xfId="0" applyNumberFormat="1" applyFont="1" applyFill="1" applyBorder="1" applyAlignment="1">
      <alignment horizontal="center" vertical="center" shrinkToFit="1"/>
    </xf>
    <xf numFmtId="0" fontId="2" fillId="0" borderId="46"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49" fontId="7" fillId="0" borderId="91" xfId="0" applyNumberFormat="1" applyFont="1" applyFill="1" applyBorder="1" applyAlignment="1">
      <alignment horizontal="center" vertical="center"/>
    </xf>
    <xf numFmtId="0" fontId="2" fillId="0" borderId="87" xfId="0" applyFont="1" applyFill="1" applyBorder="1" applyAlignment="1">
      <alignment horizontal="centerContinuous" vertical="center" shrinkToFit="1"/>
    </xf>
    <xf numFmtId="0" fontId="21" fillId="0" borderId="83" xfId="0" applyFont="1" applyFill="1" applyBorder="1" applyAlignment="1">
      <alignment horizontal="centerContinuous" vertical="center"/>
    </xf>
    <xf numFmtId="0" fontId="2" fillId="0" borderId="86"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4" xfId="0" applyFont="1" applyFill="1" applyBorder="1" applyAlignment="1">
      <alignment horizontal="centerContinuous" vertical="center"/>
    </xf>
    <xf numFmtId="0" fontId="2" fillId="0" borderId="45" xfId="0" applyFont="1" applyFill="1" applyBorder="1" applyAlignment="1">
      <alignment horizontal="centerContinuous" vertical="center" shrinkToFit="1"/>
    </xf>
    <xf numFmtId="0" fontId="21" fillId="0" borderId="89" xfId="0" applyFont="1" applyFill="1" applyBorder="1" applyAlignment="1">
      <alignment horizontal="centerContinuous"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90" xfId="0" applyFont="1" applyFill="1" applyBorder="1" applyAlignment="1">
      <alignment horizontal="centerContinuous" vertical="center"/>
    </xf>
    <xf numFmtId="0" fontId="2" fillId="0" borderId="92" xfId="0" applyFont="1" applyFill="1" applyBorder="1" applyAlignment="1">
      <alignment horizontal="center" vertical="center" shrinkToFit="1"/>
    </xf>
    <xf numFmtId="49" fontId="16" fillId="0" borderId="38" xfId="0" applyNumberFormat="1" applyFont="1" applyBorder="1" applyAlignment="1">
      <alignment horizontal="center" shrinkToFit="1"/>
    </xf>
    <xf numFmtId="0" fontId="2" fillId="0" borderId="53" xfId="0" applyFont="1" applyFill="1" applyBorder="1" applyAlignment="1">
      <alignment horizontal="centerContinuous" vertical="center" shrinkToFit="1"/>
    </xf>
    <xf numFmtId="0" fontId="2" fillId="0" borderId="79" xfId="0" applyFont="1" applyFill="1" applyBorder="1" applyAlignment="1">
      <alignment horizontal="centerContinuous" vertical="center"/>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0" fontId="21" fillId="0" borderId="94" xfId="0" applyFont="1" applyFill="1" applyBorder="1" applyAlignment="1">
      <alignment horizontal="centerContinuous" vertical="center"/>
    </xf>
    <xf numFmtId="0" fontId="21" fillId="0" borderId="74" xfId="0" applyFont="1" applyFill="1" applyBorder="1" applyAlignment="1">
      <alignment horizontal="centerContinuous" vertical="center"/>
    </xf>
    <xf numFmtId="0" fontId="2" fillId="0" borderId="76" xfId="0" applyFont="1" applyFill="1" applyBorder="1" applyAlignment="1">
      <alignment horizontal="centerContinuous" vertical="center"/>
    </xf>
    <xf numFmtId="0" fontId="2" fillId="0" borderId="0" xfId="3" applyFont="1" applyBorder="1" applyAlignment="1">
      <alignment vertical="center"/>
    </xf>
    <xf numFmtId="0" fontId="2" fillId="0" borderId="0" xfId="3" applyFont="1" applyBorder="1" applyAlignment="1">
      <alignment horizontal="left" vertical="center"/>
    </xf>
    <xf numFmtId="0" fontId="4" fillId="0" borderId="0" xfId="3" applyFont="1" applyBorder="1" applyAlignment="1">
      <alignment horizontal="right" vertical="center"/>
    </xf>
    <xf numFmtId="0" fontId="7" fillId="0" borderId="11" xfId="3" applyFont="1" applyBorder="1" applyAlignment="1">
      <alignment vertical="center"/>
    </xf>
    <xf numFmtId="0" fontId="7" fillId="0" borderId="10" xfId="3" applyFont="1" applyBorder="1" applyAlignment="1">
      <alignment vertical="center"/>
    </xf>
    <xf numFmtId="0" fontId="7" fillId="0" borderId="9" xfId="3" applyFont="1" applyBorder="1" applyAlignment="1">
      <alignment vertical="center"/>
    </xf>
    <xf numFmtId="0" fontId="7" fillId="0" borderId="2" xfId="3" applyFont="1" applyBorder="1" applyAlignment="1">
      <alignment horizontal="left" vertical="center"/>
    </xf>
    <xf numFmtId="0" fontId="7" fillId="0" borderId="0" xfId="3" applyFont="1" applyBorder="1" applyAlignment="1">
      <alignment horizontal="left" vertical="center"/>
    </xf>
    <xf numFmtId="0" fontId="7" fillId="0" borderId="1" xfId="3" applyFont="1" applyBorder="1" applyAlignment="1">
      <alignment vertical="center"/>
    </xf>
    <xf numFmtId="0" fontId="7" fillId="0" borderId="2" xfId="3" applyFont="1" applyFill="1" applyBorder="1" applyAlignment="1">
      <alignment horizontal="center" vertical="center"/>
    </xf>
    <xf numFmtId="0" fontId="11" fillId="0" borderId="0" xfId="3" applyFont="1" applyFill="1" applyBorder="1" applyAlignment="1">
      <alignment horizontal="right" vertical="center"/>
    </xf>
    <xf numFmtId="0" fontId="6" fillId="0" borderId="1" xfId="3" applyFont="1" applyBorder="1" applyAlignment="1">
      <alignment horizontal="right" vertical="center"/>
    </xf>
    <xf numFmtId="0" fontId="11" fillId="0" borderId="1" xfId="3" applyFont="1" applyFill="1" applyBorder="1" applyAlignment="1">
      <alignment horizontal="right" vertical="center"/>
    </xf>
    <xf numFmtId="0" fontId="7" fillId="0" borderId="14" xfId="3" applyFont="1" applyBorder="1" applyAlignment="1">
      <alignment horizontal="center" vertical="center"/>
    </xf>
    <xf numFmtId="0" fontId="10" fillId="2" borderId="30" xfId="3" applyFont="1" applyFill="1" applyBorder="1" applyAlignment="1">
      <alignment horizontal="right" vertical="center"/>
    </xf>
    <xf numFmtId="0" fontId="26" fillId="0" borderId="29" xfId="3" applyNumberFormat="1" applyFont="1" applyFill="1" applyBorder="1" applyAlignment="1">
      <alignment horizontal="center" vertical="center"/>
    </xf>
    <xf numFmtId="0" fontId="7" fillId="0" borderId="29" xfId="3" applyFont="1" applyBorder="1" applyAlignment="1">
      <alignment horizontal="center" vertical="center"/>
    </xf>
    <xf numFmtId="0" fontId="14" fillId="3" borderId="19" xfId="3" applyFont="1" applyFill="1" applyBorder="1" applyAlignment="1">
      <alignment horizontal="right" vertical="center"/>
    </xf>
    <xf numFmtId="49" fontId="7" fillId="0" borderId="35" xfId="3" applyNumberFormat="1" applyFont="1" applyBorder="1" applyAlignment="1">
      <alignment horizontal="center" vertical="center"/>
    </xf>
    <xf numFmtId="0" fontId="54" fillId="2" borderId="4"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7" fillId="0" borderId="3" xfId="3" applyFont="1" applyBorder="1" applyAlignment="1">
      <alignment horizontal="center" vertical="center"/>
    </xf>
    <xf numFmtId="0" fontId="22" fillId="3" borderId="5" xfId="3" applyFont="1" applyFill="1" applyBorder="1" applyAlignment="1">
      <alignment horizontal="right" vertical="center"/>
    </xf>
    <xf numFmtId="0" fontId="7" fillId="0" borderId="35" xfId="3" applyFont="1" applyBorder="1" applyAlignment="1">
      <alignment horizontal="center" vertical="center"/>
    </xf>
    <xf numFmtId="0" fontId="8" fillId="2" borderId="95" xfId="3" applyFont="1" applyFill="1" applyBorder="1" applyAlignment="1">
      <alignment horizontal="right" vertical="center"/>
    </xf>
    <xf numFmtId="0" fontId="26" fillId="0" borderId="96" xfId="3" applyNumberFormat="1" applyFont="1" applyFill="1" applyBorder="1" applyAlignment="1">
      <alignment horizontal="center" vertical="center"/>
    </xf>
    <xf numFmtId="0" fontId="11" fillId="3" borderId="5" xfId="3" applyFont="1" applyFill="1" applyBorder="1" applyAlignment="1">
      <alignment horizontal="right" vertical="center"/>
    </xf>
    <xf numFmtId="0" fontId="8" fillId="0" borderId="1" xfId="3" applyFont="1" applyFill="1" applyBorder="1" applyAlignment="1">
      <alignment horizontal="right" vertical="center"/>
    </xf>
    <xf numFmtId="0" fontId="10" fillId="3" borderId="5" xfId="3" applyFont="1" applyFill="1" applyBorder="1" applyAlignment="1">
      <alignment horizontal="right" vertical="center"/>
    </xf>
    <xf numFmtId="0" fontId="11" fillId="2" borderId="95" xfId="3" applyFont="1" applyFill="1" applyBorder="1" applyAlignment="1">
      <alignment horizontal="right" vertical="center"/>
    </xf>
    <xf numFmtId="0" fontId="13" fillId="3" borderId="5" xfId="3" applyFont="1" applyFill="1" applyBorder="1" applyAlignment="1">
      <alignment horizontal="right" vertical="center"/>
    </xf>
    <xf numFmtId="0" fontId="7" fillId="0" borderId="8" xfId="3" applyFont="1" applyFill="1" applyBorder="1" applyAlignment="1">
      <alignment horizontal="center" vertical="center"/>
    </xf>
    <xf numFmtId="0" fontId="6" fillId="17" borderId="35" xfId="3" applyFont="1" applyFill="1" applyBorder="1" applyAlignment="1">
      <alignment horizontal="center" vertical="center"/>
    </xf>
    <xf numFmtId="1" fontId="7" fillId="0" borderId="35" xfId="3" applyNumberFormat="1" applyFont="1" applyBorder="1" applyAlignment="1">
      <alignment horizontal="center" vertical="center"/>
    </xf>
    <xf numFmtId="0" fontId="26" fillId="0" borderId="58" xfId="3" applyNumberFormat="1" applyFont="1" applyFill="1" applyBorder="1" applyAlignment="1">
      <alignment horizontal="center" vertical="center"/>
    </xf>
    <xf numFmtId="0" fontId="7" fillId="0" borderId="17" xfId="3" applyFont="1" applyBorder="1" applyAlignment="1">
      <alignment horizontal="center" vertical="center"/>
    </xf>
    <xf numFmtId="0" fontId="8" fillId="3" borderId="16" xfId="3" applyFont="1" applyFill="1" applyBorder="1" applyAlignment="1">
      <alignment horizontal="right" vertical="center"/>
    </xf>
    <xf numFmtId="0" fontId="7" fillId="0" borderId="11" xfId="3" applyFont="1" applyBorder="1" applyAlignment="1">
      <alignment horizontal="center" vertical="center"/>
    </xf>
    <xf numFmtId="0" fontId="6" fillId="0" borderId="10" xfId="3" applyFont="1" applyBorder="1" applyAlignment="1">
      <alignment horizontal="right" vertical="center"/>
    </xf>
    <xf numFmtId="0" fontId="7" fillId="0" borderId="10" xfId="3" applyFont="1" applyBorder="1" applyAlignment="1">
      <alignment horizontal="center" vertical="center"/>
    </xf>
    <xf numFmtId="0" fontId="7" fillId="0" borderId="10" xfId="3" applyFont="1" applyBorder="1" applyAlignment="1">
      <alignment horizontal="centerContinuous" vertical="center"/>
    </xf>
    <xf numFmtId="0" fontId="6" fillId="0" borderId="9" xfId="3" applyFont="1" applyBorder="1" applyAlignment="1">
      <alignment horizontal="right" vertical="center"/>
    </xf>
    <xf numFmtId="49" fontId="7" fillId="0" borderId="2" xfId="3" quotePrefix="1" applyNumberFormat="1" applyFont="1" applyBorder="1" applyAlignment="1">
      <alignment horizontal="center" vertical="center"/>
    </xf>
    <xf numFmtId="0" fontId="6" fillId="0" borderId="0" xfId="3" applyFont="1" applyBorder="1"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horizontal="centerContinuous" vertical="center"/>
    </xf>
    <xf numFmtId="0" fontId="7" fillId="0" borderId="0" xfId="3" applyFont="1" applyFill="1" applyBorder="1" applyAlignment="1">
      <alignment horizontal="centerContinuous" vertical="center"/>
    </xf>
    <xf numFmtId="0" fontId="55" fillId="3" borderId="97" xfId="3" applyFont="1" applyFill="1" applyBorder="1" applyAlignment="1">
      <alignment horizontal="right" vertical="center"/>
    </xf>
    <xf numFmtId="0" fontId="4" fillId="3" borderId="98" xfId="3" applyFont="1" applyFill="1" applyBorder="1" applyAlignment="1">
      <alignment horizontal="centerContinuous" vertical="center"/>
    </xf>
    <xf numFmtId="0" fontId="2" fillId="3" borderId="98" xfId="3" applyFont="1" applyFill="1" applyBorder="1" applyAlignment="1">
      <alignment horizontal="left" vertical="center"/>
    </xf>
    <xf numFmtId="0" fontId="20" fillId="3" borderId="98" xfId="3" applyFont="1" applyFill="1" applyBorder="1" applyAlignment="1">
      <alignment horizontal="left" vertical="center"/>
    </xf>
    <xf numFmtId="0" fontId="56" fillId="3" borderId="99" xfId="3" applyFont="1" applyFill="1" applyBorder="1" applyAlignment="1">
      <alignment horizontal="right" vertical="center"/>
    </xf>
    <xf numFmtId="0" fontId="59" fillId="0" borderId="100" xfId="0" applyFont="1" applyBorder="1" applyAlignment="1">
      <alignment horizontal="centerContinuous" vertical="center" wrapText="1"/>
    </xf>
    <xf numFmtId="0" fontId="15" fillId="0" borderId="101" xfId="0" applyFont="1" applyBorder="1" applyAlignment="1">
      <alignment horizontal="centerContinuous" vertical="center" wrapText="1"/>
    </xf>
    <xf numFmtId="0" fontId="15" fillId="0" borderId="102" xfId="0" applyFont="1" applyBorder="1" applyAlignment="1">
      <alignment horizontal="centerContinuous" vertical="center" wrapText="1"/>
    </xf>
    <xf numFmtId="0" fontId="12" fillId="18" borderId="65" xfId="0" applyFont="1" applyFill="1" applyBorder="1" applyAlignment="1">
      <alignment horizontal="centerContinuous" vertical="center" wrapText="1"/>
    </xf>
    <xf numFmtId="0" fontId="12" fillId="18" borderId="103" xfId="0" applyFont="1" applyFill="1" applyBorder="1" applyAlignment="1">
      <alignment horizontal="center" vertical="center" wrapText="1"/>
    </xf>
    <xf numFmtId="0" fontId="12" fillId="18" borderId="68"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62" xfId="0" applyFont="1" applyFill="1" applyBorder="1" applyAlignment="1">
      <alignment horizontal="center" vertical="center"/>
    </xf>
    <xf numFmtId="49" fontId="7" fillId="0" borderId="62" xfId="0" applyNumberFormat="1" applyFont="1" applyFill="1" applyBorder="1" applyAlignment="1">
      <alignment horizontal="center" vertical="center"/>
    </xf>
    <xf numFmtId="0" fontId="60" fillId="9" borderId="64" xfId="2" applyNumberFormat="1" applyFont="1" applyFill="1" applyBorder="1" applyAlignment="1">
      <alignment horizontal="center" vertical="center" shrinkToFit="1"/>
    </xf>
    <xf numFmtId="0" fontId="15" fillId="0" borderId="0" xfId="0" applyFont="1" applyBorder="1" applyAlignment="1">
      <alignment horizontal="centerContinuous" vertical="center" wrapText="1"/>
    </xf>
    <xf numFmtId="0" fontId="2" fillId="0" borderId="0" xfId="0" applyFont="1" applyBorder="1" applyAlignment="1">
      <alignment vertical="center" wrapText="1"/>
    </xf>
    <xf numFmtId="0" fontId="61" fillId="0" borderId="0" xfId="0" applyFont="1" applyBorder="1" applyAlignment="1">
      <alignment horizontal="centerContinuous" vertical="center" wrapText="1"/>
    </xf>
    <xf numFmtId="0" fontId="62" fillId="0" borderId="0" xfId="0" applyFont="1" applyBorder="1" applyAlignment="1">
      <alignment horizontal="centerContinuous" vertical="center" wrapText="1"/>
    </xf>
    <xf numFmtId="0" fontId="59" fillId="0" borderId="0" xfId="0" applyFont="1" applyBorder="1" applyAlignment="1">
      <alignment horizontal="centerContinuous" vertical="center" wrapText="1"/>
    </xf>
    <xf numFmtId="0" fontId="4" fillId="0" borderId="6" xfId="0" applyFont="1" applyBorder="1" applyAlignment="1">
      <alignment horizontal="centerContinuous" vertical="center"/>
    </xf>
    <xf numFmtId="0" fontId="4" fillId="0" borderId="7" xfId="0" applyFont="1" applyBorder="1" applyAlignment="1">
      <alignment horizontal="centerContinuous" vertical="center"/>
    </xf>
    <xf numFmtId="0" fontId="2" fillId="0" borderId="7"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4" xfId="0" applyFont="1" applyBorder="1" applyAlignment="1">
      <alignment horizontal="right" vertical="center"/>
    </xf>
    <xf numFmtId="0" fontId="2" fillId="0" borderId="105" xfId="0" applyFont="1" applyBorder="1" applyAlignment="1">
      <alignment horizontal="center" vertical="center" wrapText="1"/>
    </xf>
    <xf numFmtId="0" fontId="2" fillId="20" borderId="106" xfId="0" applyFont="1" applyFill="1" applyBorder="1" applyAlignment="1">
      <alignment horizontal="center" vertical="center" wrapText="1"/>
    </xf>
    <xf numFmtId="0" fontId="2" fillId="20" borderId="107" xfId="0" applyFont="1" applyFill="1" applyBorder="1" applyAlignment="1">
      <alignment horizontal="center" vertical="center" wrapText="1"/>
    </xf>
    <xf numFmtId="0" fontId="4" fillId="0" borderId="61" xfId="0" applyFont="1" applyBorder="1" applyAlignment="1">
      <alignment horizontal="right" vertical="center"/>
    </xf>
    <xf numFmtId="0" fontId="2" fillId="0" borderId="74" xfId="0" applyFont="1" applyBorder="1" applyAlignment="1">
      <alignment horizontal="center" vertical="center" wrapText="1"/>
    </xf>
    <xf numFmtId="0" fontId="2" fillId="20" borderId="46" xfId="0" applyFont="1" applyFill="1" applyBorder="1" applyAlignment="1">
      <alignment horizontal="center" vertical="center" wrapText="1"/>
    </xf>
    <xf numFmtId="0" fontId="2" fillId="20" borderId="48" xfId="0" applyFont="1" applyFill="1" applyBorder="1" applyAlignment="1">
      <alignment horizontal="center" vertical="center" wrapText="1"/>
    </xf>
    <xf numFmtId="0" fontId="4" fillId="0" borderId="41" xfId="0" applyFont="1" applyBorder="1" applyAlignment="1">
      <alignment horizontal="right" vertical="center"/>
    </xf>
    <xf numFmtId="0" fontId="63" fillId="19" borderId="76" xfId="0" applyFont="1" applyFill="1" applyBorder="1" applyAlignment="1">
      <alignment horizontal="center" vertical="center" wrapText="1"/>
    </xf>
    <xf numFmtId="0" fontId="4" fillId="20" borderId="54" xfId="0" applyFont="1" applyFill="1" applyBorder="1" applyAlignment="1">
      <alignment horizontal="center" vertical="center" wrapText="1"/>
    </xf>
    <xf numFmtId="0" fontId="4" fillId="20" borderId="56" xfId="0" applyFont="1" applyFill="1" applyBorder="1" applyAlignment="1">
      <alignment horizontal="center" vertical="center" wrapText="1"/>
    </xf>
    <xf numFmtId="0" fontId="7" fillId="8" borderId="34"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0" borderId="68" xfId="0" quotePrefix="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2" fillId="0" borderId="87" xfId="0" applyFont="1" applyFill="1" applyBorder="1" applyAlignment="1">
      <alignment horizontal="centerContinuous" vertical="center"/>
    </xf>
    <xf numFmtId="0" fontId="5" fillId="0" borderId="110" xfId="0"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49" fontId="2" fillId="0" borderId="83" xfId="0" applyNumberFormat="1" applyFont="1" applyFill="1" applyBorder="1" applyAlignment="1">
      <alignment horizontal="centerContinuous" vertical="center"/>
    </xf>
    <xf numFmtId="0" fontId="2" fillId="0" borderId="53" xfId="0" applyFont="1" applyFill="1" applyBorder="1" applyAlignment="1">
      <alignment horizontal="centerContinuous" vertical="center"/>
    </xf>
    <xf numFmtId="0" fontId="5" fillId="0" borderId="111" xfId="0" applyFont="1" applyFill="1" applyBorder="1" applyAlignment="1">
      <alignment horizontal="centerContinuous" vertical="center"/>
    </xf>
    <xf numFmtId="0" fontId="5" fillId="0" borderId="81" xfId="0" applyFont="1" applyFill="1" applyBorder="1" applyAlignment="1">
      <alignment horizontal="centerContinuous" vertical="center"/>
    </xf>
    <xf numFmtId="49" fontId="2" fillId="0" borderId="81" xfId="0" applyNumberFormat="1" applyFont="1" applyFill="1" applyBorder="1" applyAlignment="1">
      <alignment horizontal="center" vertical="center"/>
    </xf>
    <xf numFmtId="0" fontId="5" fillId="0" borderId="75" xfId="0" applyFont="1" applyFill="1" applyBorder="1" applyAlignment="1">
      <alignment horizontal="centerContinuous" vertical="center"/>
    </xf>
    <xf numFmtId="164" fontId="2" fillId="0" borderId="75" xfId="0" applyNumberFormat="1" applyFont="1" applyFill="1" applyBorder="1" applyAlignment="1">
      <alignment horizontal="center" vertical="center"/>
    </xf>
    <xf numFmtId="0" fontId="6" fillId="2" borderId="12" xfId="0" applyFont="1" applyFill="1" applyBorder="1" applyAlignment="1">
      <alignment horizontal="right" vertical="center"/>
    </xf>
    <xf numFmtId="0" fontId="2" fillId="0" borderId="112" xfId="0" applyFont="1" applyFill="1" applyBorder="1" applyAlignment="1">
      <alignment horizontal="centerContinuous" vertical="center"/>
    </xf>
    <xf numFmtId="0" fontId="5" fillId="0" borderId="113" xfId="0" applyFont="1" applyFill="1" applyBorder="1" applyAlignment="1">
      <alignment horizontal="centerContinuous" vertical="center"/>
    </xf>
    <xf numFmtId="0" fontId="5" fillId="0" borderId="108" xfId="0" applyFont="1" applyFill="1" applyBorder="1" applyAlignment="1">
      <alignment horizontal="centerContinuous" vertical="center"/>
    </xf>
    <xf numFmtId="164" fontId="5" fillId="0" borderId="108" xfId="0" applyNumberFormat="1" applyFont="1" applyFill="1" applyBorder="1" applyAlignment="1">
      <alignment horizontal="center" vertical="center"/>
    </xf>
    <xf numFmtId="49" fontId="2" fillId="0" borderId="108" xfId="0" applyNumberFormat="1" applyFont="1" applyFill="1" applyBorder="1" applyAlignment="1">
      <alignment horizontal="center" vertical="center"/>
    </xf>
    <xf numFmtId="49" fontId="2" fillId="0" borderId="109" xfId="0" applyNumberFormat="1" applyFont="1" applyFill="1" applyBorder="1" applyAlignment="1">
      <alignment horizontal="centerContinuous" vertical="center"/>
    </xf>
    <xf numFmtId="49" fontId="2" fillId="0" borderId="114" xfId="0" applyNumberFormat="1" applyFont="1" applyFill="1" applyBorder="1" applyAlignment="1">
      <alignment horizontal="centerContinuous" vertical="center"/>
    </xf>
    <xf numFmtId="0" fontId="2" fillId="0" borderId="115" xfId="0"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2" fillId="10" borderId="116" xfId="0" applyFont="1" applyFill="1" applyBorder="1" applyAlignment="1">
      <alignment horizontal="center" vertical="center"/>
    </xf>
    <xf numFmtId="49" fontId="2" fillId="10" borderId="116" xfId="0" applyNumberFormat="1" applyFont="1" applyFill="1" applyBorder="1" applyAlignment="1">
      <alignment horizontal="center" vertical="center"/>
    </xf>
    <xf numFmtId="164" fontId="2" fillId="10" borderId="116" xfId="0" applyNumberFormat="1" applyFont="1" applyFill="1" applyBorder="1" applyAlignment="1">
      <alignment horizontal="center" vertical="center"/>
    </xf>
    <xf numFmtId="0" fontId="2" fillId="10" borderId="117" xfId="0" applyFont="1" applyFill="1" applyBorder="1" applyAlignment="1">
      <alignment horizontal="center" vertical="center"/>
    </xf>
    <xf numFmtId="49" fontId="2" fillId="10" borderId="117" xfId="0" applyNumberFormat="1" applyFont="1" applyFill="1" applyBorder="1" applyAlignment="1">
      <alignment horizontal="center" vertical="center"/>
    </xf>
    <xf numFmtId="164" fontId="2" fillId="10" borderId="117" xfId="0" applyNumberFormat="1" applyFont="1" applyFill="1" applyBorder="1" applyAlignment="1">
      <alignment horizontal="center" vertical="center"/>
    </xf>
    <xf numFmtId="0" fontId="9" fillId="0" borderId="17" xfId="0" applyFont="1" applyFill="1" applyBorder="1" applyAlignment="1">
      <alignment horizontal="center" vertical="center"/>
    </xf>
    <xf numFmtId="0" fontId="2" fillId="0" borderId="74" xfId="0" applyFont="1" applyBorder="1" applyAlignment="1">
      <alignment horizontal="center" vertical="center" shrinkToFit="1"/>
    </xf>
    <xf numFmtId="0" fontId="2" fillId="0" borderId="46" xfId="0" applyFont="1" applyBorder="1" applyAlignment="1">
      <alignment horizontal="left" vertical="center"/>
    </xf>
    <xf numFmtId="0" fontId="2" fillId="0" borderId="48" xfId="0" applyFont="1" applyBorder="1" applyAlignment="1">
      <alignment horizontal="left" vertical="center" shrinkToFit="1"/>
    </xf>
    <xf numFmtId="0" fontId="2" fillId="0" borderId="50" xfId="0" applyFont="1" applyBorder="1" applyAlignment="1">
      <alignment horizontal="left" vertical="center"/>
    </xf>
    <xf numFmtId="0" fontId="2" fillId="0" borderId="52" xfId="0" applyFont="1" applyBorder="1" applyAlignment="1">
      <alignment horizontal="left" vertical="center" shrinkToFit="1"/>
    </xf>
    <xf numFmtId="0" fontId="2" fillId="0" borderId="0" xfId="0" applyFont="1" applyBorder="1" applyAlignment="1">
      <alignment horizontal="center" vertical="center"/>
    </xf>
    <xf numFmtId="1" fontId="2" fillId="0" borderId="85" xfId="0" applyNumberFormat="1" applyFont="1" applyFill="1" applyBorder="1" applyAlignment="1">
      <alignment horizontal="center" vertical="center"/>
    </xf>
    <xf numFmtId="1" fontId="5" fillId="0" borderId="0" xfId="0" applyNumberFormat="1" applyFont="1" applyBorder="1" applyAlignment="1">
      <alignment vertical="center"/>
    </xf>
    <xf numFmtId="0" fontId="2" fillId="0" borderId="118"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4" xfId="0" quotePrefix="1" applyFont="1" applyFill="1" applyBorder="1" applyAlignment="1">
      <alignment horizontal="center" vertical="center"/>
    </xf>
    <xf numFmtId="9" fontId="2" fillId="0" borderId="54" xfId="0" applyNumberFormat="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0" borderId="55" xfId="0" applyNumberFormat="1" applyFont="1" applyFill="1" applyBorder="1" applyAlignment="1">
      <alignment horizontal="centerContinuous" vertical="center"/>
    </xf>
    <xf numFmtId="0" fontId="2" fillId="0" borderId="0" xfId="0" applyFont="1" applyFill="1" applyBorder="1" applyAlignment="1">
      <alignment vertical="center"/>
    </xf>
    <xf numFmtId="1" fontId="2" fillId="0" borderId="41" xfId="0" applyNumberFormat="1" applyFont="1" applyFill="1" applyBorder="1" applyAlignment="1">
      <alignment horizontal="center" vertical="center"/>
    </xf>
    <xf numFmtId="1" fontId="5" fillId="0" borderId="61" xfId="0" applyNumberFormat="1" applyFont="1" applyBorder="1" applyAlignment="1">
      <alignment horizontal="center" vertical="center"/>
    </xf>
    <xf numFmtId="1" fontId="5" fillId="10" borderId="85" xfId="0" applyNumberFormat="1" applyFont="1" applyFill="1" applyBorder="1" applyAlignment="1">
      <alignment horizontal="center" vertical="center"/>
    </xf>
    <xf numFmtId="1" fontId="5" fillId="10" borderId="41" xfId="0" applyNumberFormat="1" applyFont="1" applyFill="1" applyBorder="1" applyAlignment="1">
      <alignment horizontal="center" vertical="center"/>
    </xf>
    <xf numFmtId="1" fontId="21" fillId="12" borderId="39" xfId="0" applyNumberFormat="1" applyFont="1" applyFill="1" applyBorder="1" applyAlignment="1">
      <alignment horizontal="center" vertical="center"/>
    </xf>
    <xf numFmtId="1" fontId="2" fillId="0" borderId="60" xfId="0" applyNumberFormat="1" applyFont="1" applyFill="1" applyBorder="1" applyAlignment="1">
      <alignment horizontal="center" vertical="center"/>
    </xf>
    <xf numFmtId="1" fontId="5" fillId="0" borderId="41" xfId="0" applyNumberFormat="1" applyFont="1" applyFill="1" applyBorder="1" applyAlignment="1">
      <alignment horizontal="center" vertical="center"/>
    </xf>
    <xf numFmtId="1" fontId="5" fillId="0" borderId="60" xfId="0" applyNumberFormat="1" applyFont="1" applyFill="1" applyBorder="1" applyAlignment="1">
      <alignment horizontal="center" vertical="center"/>
    </xf>
    <xf numFmtId="1" fontId="5" fillId="0" borderId="93" xfId="0" applyNumberFormat="1" applyFont="1" applyFill="1" applyBorder="1" applyAlignment="1">
      <alignment horizontal="center" vertical="center"/>
    </xf>
    <xf numFmtId="1" fontId="2" fillId="0" borderId="61"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1" fontId="2" fillId="0" borderId="41" xfId="0" applyNumberFormat="1" applyFont="1" applyBorder="1" applyAlignment="1">
      <alignment horizontal="center" vertical="center"/>
    </xf>
    <xf numFmtId="1" fontId="2" fillId="0" borderId="46" xfId="0" applyNumberFormat="1" applyFont="1" applyBorder="1" applyAlignment="1">
      <alignment horizontal="center" vertical="center" shrinkToFit="1"/>
    </xf>
    <xf numFmtId="0" fontId="2" fillId="0" borderId="119" xfId="0" applyFont="1" applyBorder="1" applyAlignment="1">
      <alignment horizontal="center" vertical="center"/>
    </xf>
    <xf numFmtId="0" fontId="5" fillId="0" borderId="88" xfId="0" applyFont="1" applyBorder="1" applyAlignment="1">
      <alignment horizontal="center" vertical="center"/>
    </xf>
    <xf numFmtId="0" fontId="5" fillId="0" borderId="88" xfId="0" applyFont="1" applyFill="1" applyBorder="1" applyAlignment="1">
      <alignment horizontal="center" vertical="center"/>
    </xf>
    <xf numFmtId="9" fontId="5" fillId="0" borderId="88" xfId="0" applyNumberFormat="1" applyFont="1" applyBorder="1" applyAlignment="1">
      <alignment horizontal="center" vertical="center"/>
    </xf>
    <xf numFmtId="0" fontId="2" fillId="0" borderId="88" xfId="0" applyFont="1" applyBorder="1" applyAlignment="1">
      <alignment horizontal="center" vertical="center"/>
    </xf>
    <xf numFmtId="164" fontId="5" fillId="0" borderId="88" xfId="0" applyNumberFormat="1" applyFont="1" applyFill="1" applyBorder="1" applyAlignment="1">
      <alignment horizontal="center" vertical="center"/>
    </xf>
    <xf numFmtId="164" fontId="2" fillId="0" borderId="86" xfId="0" applyNumberFormat="1" applyFont="1" applyFill="1" applyBorder="1" applyAlignment="1">
      <alignment horizontal="centerContinuous" vertical="center"/>
    </xf>
    <xf numFmtId="0" fontId="2" fillId="0" borderId="120" xfId="0" applyFont="1" applyBorder="1" applyAlignment="1">
      <alignment horizontal="center" vertical="center"/>
    </xf>
    <xf numFmtId="0" fontId="2" fillId="0" borderId="116"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2" xfId="0" quotePrefix="1" applyFont="1" applyBorder="1" applyAlignment="1">
      <alignment horizontal="center" vertical="center" wrapText="1"/>
    </xf>
    <xf numFmtId="0" fontId="2" fillId="16" borderId="122" xfId="0" applyNumberFormat="1" applyFont="1" applyFill="1" applyBorder="1" applyAlignment="1">
      <alignment horizontal="center" vertical="center"/>
    </xf>
    <xf numFmtId="164" fontId="2" fillId="0" borderId="122" xfId="0" applyNumberFormat="1" applyFont="1" applyFill="1" applyBorder="1" applyAlignment="1">
      <alignment horizontal="center" vertical="center"/>
    </xf>
    <xf numFmtId="1" fontId="49" fillId="11" borderId="122" xfId="0" applyNumberFormat="1" applyFont="1" applyFill="1" applyBorder="1" applyAlignment="1">
      <alignment horizontal="center" vertical="center"/>
    </xf>
    <xf numFmtId="1" fontId="2" fillId="0" borderId="122" xfId="0" applyNumberFormat="1" applyFont="1" applyFill="1" applyBorder="1" applyAlignment="1">
      <alignment horizontal="center" vertical="center"/>
    </xf>
    <xf numFmtId="0" fontId="2" fillId="0" borderId="116" xfId="0" quotePrefix="1" applyFont="1" applyBorder="1" applyAlignment="1">
      <alignment horizontal="center" vertical="center" wrapText="1"/>
    </xf>
    <xf numFmtId="49" fontId="2" fillId="16" borderId="116" xfId="0" applyNumberFormat="1" applyFont="1" applyFill="1" applyBorder="1" applyAlignment="1">
      <alignment horizontal="center" vertical="center"/>
    </xf>
    <xf numFmtId="164" fontId="2" fillId="0" borderId="116" xfId="0" applyNumberFormat="1" applyFont="1" applyFill="1" applyBorder="1" applyAlignment="1">
      <alignment horizontal="center" vertical="center"/>
    </xf>
    <xf numFmtId="1" fontId="49" fillId="11" borderId="116" xfId="0" applyNumberFormat="1" applyFont="1" applyFill="1" applyBorder="1" applyAlignment="1">
      <alignment horizontal="center" vertical="center"/>
    </xf>
    <xf numFmtId="1" fontId="2" fillId="0" borderId="116" xfId="0" applyNumberFormat="1" applyFont="1" applyFill="1" applyBorder="1" applyAlignment="1">
      <alignment horizontal="center" vertical="center"/>
    </xf>
    <xf numFmtId="0" fontId="2" fillId="0" borderId="123" xfId="0" applyFont="1" applyBorder="1" applyAlignment="1">
      <alignment horizontal="center" vertical="center"/>
    </xf>
    <xf numFmtId="0" fontId="2" fillId="0" borderId="117" xfId="0" applyFont="1" applyBorder="1" applyAlignment="1">
      <alignment horizontal="center" vertical="center"/>
    </xf>
    <xf numFmtId="0" fontId="2" fillId="0" borderId="117" xfId="0" quotePrefix="1" applyFont="1" applyBorder="1" applyAlignment="1">
      <alignment horizontal="center" vertical="center" wrapText="1"/>
    </xf>
    <xf numFmtId="49" fontId="2" fillId="16" borderId="117" xfId="0" applyNumberFormat="1" applyFont="1" applyFill="1" applyBorder="1" applyAlignment="1">
      <alignment horizontal="center" vertical="center"/>
    </xf>
    <xf numFmtId="164" fontId="2" fillId="0" borderId="117" xfId="0" applyNumberFormat="1" applyFont="1" applyFill="1" applyBorder="1" applyAlignment="1">
      <alignment horizontal="center" vertical="center"/>
    </xf>
    <xf numFmtId="1" fontId="49" fillId="11" borderId="117"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0" fontId="2" fillId="16" borderId="117" xfId="0" applyNumberFormat="1" applyFont="1" applyFill="1" applyBorder="1" applyAlignment="1">
      <alignment horizontal="center" vertical="center"/>
    </xf>
    <xf numFmtId="0" fontId="2" fillId="21" borderId="116" xfId="0" quotePrefix="1" applyFont="1" applyFill="1" applyBorder="1" applyAlignment="1">
      <alignment horizontal="center" vertical="center" wrapText="1"/>
    </xf>
    <xf numFmtId="0" fontId="2" fillId="16" borderId="116" xfId="0" applyNumberFormat="1" applyFont="1" applyFill="1" applyBorder="1" applyAlignment="1">
      <alignment horizontal="center" vertical="center"/>
    </xf>
    <xf numFmtId="0" fontId="5" fillId="0" borderId="54" xfId="0" applyFont="1" applyFill="1" applyBorder="1" applyAlignment="1">
      <alignment horizontal="center" vertical="center"/>
    </xf>
    <xf numFmtId="49" fontId="5" fillId="0" borderId="54" xfId="0" applyNumberFormat="1" applyFont="1" applyFill="1" applyBorder="1" applyAlignment="1">
      <alignment horizontal="center" vertical="center"/>
    </xf>
    <xf numFmtId="0" fontId="2" fillId="0" borderId="54"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 fontId="49" fillId="11" borderId="54"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0" fontId="2" fillId="0" borderId="121" xfId="0" applyFont="1" applyFill="1" applyBorder="1" applyAlignment="1">
      <alignment horizontal="center" vertical="center"/>
    </xf>
    <xf numFmtId="49" fontId="2" fillId="0" borderId="122" xfId="2" applyNumberFormat="1" applyFont="1" applyBorder="1" applyAlignment="1">
      <alignment horizontal="center" vertical="center"/>
    </xf>
    <xf numFmtId="0" fontId="2" fillId="0" borderId="122" xfId="0" applyFont="1" applyBorder="1" applyAlignment="1">
      <alignment horizontal="center" vertical="center" shrinkToFit="1"/>
    </xf>
    <xf numFmtId="164" fontId="5" fillId="0" borderId="122" xfId="0" applyNumberFormat="1" applyFont="1" applyBorder="1" applyAlignment="1">
      <alignment horizontal="center" vertical="center"/>
    </xf>
    <xf numFmtId="164" fontId="2" fillId="0" borderId="122" xfId="0" applyNumberFormat="1" applyFont="1" applyBorder="1" applyAlignment="1">
      <alignment horizontal="center" vertical="center"/>
    </xf>
    <xf numFmtId="0" fontId="2" fillId="0" borderId="123" xfId="0" applyFont="1" applyFill="1" applyBorder="1" applyAlignment="1">
      <alignment horizontal="center" vertical="center"/>
    </xf>
    <xf numFmtId="0" fontId="2" fillId="10" borderId="117" xfId="0" quotePrefix="1" applyFont="1" applyFill="1" applyBorder="1" applyAlignment="1">
      <alignment horizontal="center" vertical="center" wrapText="1"/>
    </xf>
    <xf numFmtId="49" fontId="2" fillId="10" borderId="117" xfId="2" applyNumberFormat="1" applyFont="1" applyFill="1" applyBorder="1" applyAlignment="1">
      <alignment horizontal="center" vertical="center"/>
    </xf>
    <xf numFmtId="0" fontId="2" fillId="10" borderId="117" xfId="0" applyFont="1" applyFill="1" applyBorder="1" applyAlignment="1">
      <alignment horizontal="center" vertical="center" shrinkToFit="1"/>
    </xf>
    <xf numFmtId="164" fontId="5" fillId="10" borderId="117" xfId="0" applyNumberFormat="1" applyFont="1" applyFill="1" applyBorder="1" applyAlignment="1">
      <alignment horizontal="center" vertical="center"/>
    </xf>
    <xf numFmtId="164" fontId="2" fillId="0" borderId="117" xfId="0" applyNumberFormat="1" applyFont="1" applyBorder="1" applyAlignment="1">
      <alignment horizontal="center" vertical="center"/>
    </xf>
    <xf numFmtId="0" fontId="2" fillId="0" borderId="124"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Border="1" applyAlignment="1">
      <alignment horizontal="center" vertical="center"/>
    </xf>
    <xf numFmtId="164" fontId="2" fillId="0" borderId="50" xfId="0" applyNumberFormat="1" applyFont="1" applyBorder="1" applyAlignment="1">
      <alignment horizontal="center" vertical="center"/>
    </xf>
    <xf numFmtId="1" fontId="49" fillId="11" borderId="50"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2" fillId="0" borderId="54" xfId="2" applyNumberFormat="1" applyFont="1" applyFill="1" applyBorder="1" applyAlignment="1">
      <alignment horizontal="center" vertical="center"/>
    </xf>
    <xf numFmtId="0" fontId="2" fillId="0" borderId="54" xfId="0" applyFont="1" applyBorder="1" applyAlignment="1">
      <alignment horizontal="center" vertical="center"/>
    </xf>
    <xf numFmtId="164" fontId="2" fillId="0" borderId="54" xfId="0" applyNumberFormat="1" applyFont="1" applyBorder="1" applyAlignment="1">
      <alignment horizontal="center" vertical="center"/>
    </xf>
    <xf numFmtId="0" fontId="2" fillId="0" borderId="125" xfId="0" quotePrefix="1" applyFont="1" applyBorder="1" applyAlignment="1">
      <alignment horizontal="center" vertical="center"/>
    </xf>
    <xf numFmtId="0" fontId="2" fillId="0" borderId="126" xfId="0" quotePrefix="1" applyFont="1" applyBorder="1" applyAlignment="1">
      <alignment horizontal="center" vertical="center"/>
    </xf>
    <xf numFmtId="0" fontId="2" fillId="0" borderId="52" xfId="0" quotePrefix="1" applyFont="1" applyBorder="1" applyAlignment="1">
      <alignment horizontal="center" vertical="center"/>
    </xf>
    <xf numFmtId="0" fontId="2" fillId="0" borderId="56" xfId="0" quotePrefix="1" applyFont="1" applyFill="1" applyBorder="1" applyAlignment="1">
      <alignment horizontal="center" vertical="center"/>
    </xf>
    <xf numFmtId="0" fontId="2" fillId="0" borderId="127" xfId="0" quotePrefix="1" applyFont="1" applyBorder="1" applyAlignment="1">
      <alignment horizontal="center" vertical="center"/>
    </xf>
    <xf numFmtId="1" fontId="5" fillId="10" borderId="61" xfId="0" applyNumberFormat="1" applyFont="1" applyFill="1" applyBorder="1" applyAlignment="1">
      <alignment horizontal="center" vertical="center"/>
    </xf>
    <xf numFmtId="0" fontId="42" fillId="0" borderId="66" xfId="0" applyFont="1" applyFill="1" applyBorder="1" applyAlignment="1">
      <alignment horizontal="center" vertical="center" wrapText="1"/>
    </xf>
    <xf numFmtId="1" fontId="6" fillId="0" borderId="35" xfId="0" applyNumberFormat="1" applyFont="1" applyBorder="1" applyAlignment="1">
      <alignment horizontal="center" vertical="center"/>
    </xf>
    <xf numFmtId="1" fontId="7" fillId="0" borderId="14" xfId="0" applyNumberFormat="1" applyFont="1" applyBorder="1" applyAlignment="1">
      <alignment horizontal="center" vertical="center"/>
    </xf>
    <xf numFmtId="0" fontId="7" fillId="0" borderId="35" xfId="0" applyNumberFormat="1" applyFont="1" applyBorder="1" applyAlignment="1">
      <alignment horizontal="center" vertical="center"/>
    </xf>
    <xf numFmtId="0" fontId="7" fillId="21" borderId="32" xfId="0" applyFont="1" applyFill="1" applyBorder="1" applyAlignment="1">
      <alignment horizontal="center" vertical="center" wrapText="1"/>
    </xf>
    <xf numFmtId="0" fontId="7" fillId="21" borderId="66" xfId="0" applyFont="1" applyFill="1" applyBorder="1" applyAlignment="1">
      <alignment horizontal="center" vertical="center" wrapText="1"/>
    </xf>
    <xf numFmtId="0" fontId="0" fillId="0" borderId="2" xfId="0" applyBorder="1" applyAlignment="1">
      <alignment vertical="center"/>
    </xf>
    <xf numFmtId="1" fontId="7" fillId="0" borderId="35" xfId="0" applyNumberFormat="1" applyFont="1" applyFill="1" applyBorder="1" applyAlignment="1">
      <alignment horizontal="center" vertical="center"/>
    </xf>
    <xf numFmtId="0" fontId="2" fillId="0" borderId="53" xfId="0" applyFont="1" applyBorder="1" applyAlignment="1">
      <alignment horizontal="center" vertical="center" shrinkToFit="1"/>
    </xf>
    <xf numFmtId="0" fontId="7" fillId="16" borderId="59" xfId="0" applyNumberFormat="1" applyFont="1" applyFill="1" applyBorder="1" applyAlignment="1">
      <alignment horizontal="centerContinuous" vertical="center"/>
    </xf>
    <xf numFmtId="0" fontId="7" fillId="16" borderId="31" xfId="0" applyFont="1" applyFill="1" applyBorder="1" applyAlignment="1">
      <alignment horizontal="centerContinuous" vertical="center"/>
    </xf>
    <xf numFmtId="1" fontId="7" fillId="5" borderId="33"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7" fillId="0" borderId="128" xfId="0" applyFont="1" applyFill="1" applyBorder="1" applyAlignment="1">
      <alignment horizontal="center" vertical="center" shrinkToFit="1"/>
    </xf>
    <xf numFmtId="0" fontId="7" fillId="0" borderId="129" xfId="0" applyFont="1" applyFill="1" applyBorder="1" applyAlignment="1">
      <alignment horizontal="center" vertical="center"/>
    </xf>
    <xf numFmtId="49" fontId="7" fillId="0" borderId="129" xfId="0" applyNumberFormat="1" applyFont="1" applyFill="1" applyBorder="1" applyAlignment="1">
      <alignment horizontal="center" vertical="center"/>
    </xf>
    <xf numFmtId="0" fontId="60" fillId="9" borderId="130" xfId="2" applyNumberFormat="1" applyFont="1" applyFill="1" applyBorder="1" applyAlignment="1">
      <alignment horizontal="center" vertical="center" shrinkToFit="1"/>
    </xf>
    <xf numFmtId="0" fontId="7" fillId="0" borderId="2" xfId="0" applyFont="1" applyBorder="1" applyAlignment="1">
      <alignment horizontal="center" vertical="center"/>
    </xf>
  </cellXfs>
  <cellStyles count="11">
    <cellStyle name="Excel Built-in Normal" xfId="4"/>
    <cellStyle name="Hyperlink" xfId="1" builtinId="8"/>
    <cellStyle name="Normal" xfId="0" builtinId="0"/>
    <cellStyle name="Normal 2" xfId="5"/>
    <cellStyle name="Normal 2 2" xfId="6"/>
    <cellStyle name="Normal 3" xfId="7"/>
    <cellStyle name="Normal 4" xfId="3"/>
    <cellStyle name="Normal 5" xfId="8"/>
    <cellStyle name="Percent" xfId="2" builtinId="5"/>
    <cellStyle name="Percent 2" xfId="9"/>
    <cellStyle name="Percent 2 2" xfId="10"/>
  </cellStyles>
  <dxfs count="21">
    <dxf>
      <font>
        <b/>
        <i val="0"/>
        <condense val="0"/>
        <extend val="0"/>
      </font>
      <fill>
        <patternFill>
          <bgColor indexed="51"/>
        </patternFill>
      </fill>
    </dxf>
    <dxf>
      <font>
        <b/>
        <i val="0"/>
        <condense val="0"/>
        <extend val="0"/>
      </font>
      <fill>
        <patternFill>
          <bgColor indexed="11"/>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color rgb="FFCCFFCC"/>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2</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
  <sheetViews>
    <sheetView showGridLines="0" tabSelected="1" zoomScaleNormal="100" workbookViewId="0"/>
  </sheetViews>
  <sheetFormatPr defaultColWidth="9" defaultRowHeight="15.6"/>
  <cols>
    <col min="1" max="1" width="14.5" style="11" customWidth="1"/>
    <col min="2" max="2" width="9.19921875" style="11" customWidth="1"/>
    <col min="3" max="3" width="5.59765625" style="11" customWidth="1"/>
    <col min="4" max="4" width="13.8984375" style="11" bestFit="1" customWidth="1"/>
    <col min="5" max="5" width="10.19921875" style="11" bestFit="1" customWidth="1"/>
    <col min="6" max="16384" width="9" style="11"/>
  </cols>
  <sheetData>
    <row r="1" spans="1:5" ht="29.4" thickTop="1" thickBot="1">
      <c r="A1" s="6" t="s">
        <v>100</v>
      </c>
      <c r="B1" s="7"/>
      <c r="C1" s="8"/>
      <c r="D1" s="9"/>
      <c r="E1" s="10" t="s">
        <v>101</v>
      </c>
    </row>
    <row r="2" spans="1:5" ht="17.399999999999999" thickTop="1">
      <c r="A2" s="12" t="s">
        <v>0</v>
      </c>
      <c r="B2" s="13" t="s">
        <v>91</v>
      </c>
      <c r="C2" s="14"/>
      <c r="D2" s="15"/>
      <c r="E2" s="498"/>
    </row>
    <row r="3" spans="1:5" ht="16.8">
      <c r="A3" s="12" t="s">
        <v>64</v>
      </c>
      <c r="B3" s="13" t="s">
        <v>91</v>
      </c>
      <c r="C3" s="16"/>
      <c r="D3" s="15" t="s">
        <v>65</v>
      </c>
      <c r="E3" s="509">
        <v>5</v>
      </c>
    </row>
    <row r="4" spans="1:5" ht="16.8">
      <c r="A4" s="12" t="s">
        <v>64</v>
      </c>
      <c r="B4" s="13" t="s">
        <v>139</v>
      </c>
      <c r="C4" s="16"/>
      <c r="D4" s="15" t="s">
        <v>65</v>
      </c>
      <c r="E4" s="509">
        <v>6</v>
      </c>
    </row>
    <row r="5" spans="1:5" ht="17.399999999999999" thickBot="1">
      <c r="A5" s="12" t="s">
        <v>66</v>
      </c>
      <c r="B5" s="13" t="s">
        <v>94</v>
      </c>
      <c r="C5" s="14"/>
      <c r="D5" s="15" t="s">
        <v>1</v>
      </c>
      <c r="E5" s="509" t="s">
        <v>95</v>
      </c>
    </row>
    <row r="6" spans="1:5" ht="17.399999999999999" thickTop="1">
      <c r="A6" s="17" t="s">
        <v>123</v>
      </c>
      <c r="B6" s="501">
        <f>7+1</f>
        <v>8</v>
      </c>
      <c r="C6" s="502"/>
      <c r="D6" s="18" t="s">
        <v>76</v>
      </c>
      <c r="E6" s="19" t="s">
        <v>182</v>
      </c>
    </row>
    <row r="7" spans="1:5" ht="17.399999999999999" thickBot="1">
      <c r="A7" s="383" t="s">
        <v>119</v>
      </c>
      <c r="B7" s="20" t="str">
        <f>C9</f>
        <v>+4</v>
      </c>
      <c r="C7" s="21"/>
      <c r="D7" s="22" t="s">
        <v>120</v>
      </c>
      <c r="E7" s="23" t="s">
        <v>182</v>
      </c>
    </row>
    <row r="8" spans="1:5" ht="17.399999999999999" thickTop="1">
      <c r="A8" s="24" t="s">
        <v>2</v>
      </c>
      <c r="B8" s="399">
        <f>20+4</f>
        <v>24</v>
      </c>
      <c r="C8" s="25" t="str">
        <f t="shared" ref="C8:C13" si="0">IF(B8&gt;9.9,CONCATENATE("+",ROUNDDOWN((B8-10)/2,0)),ROUNDUP((B8-10)/2,0))</f>
        <v>+7</v>
      </c>
      <c r="D8" s="26" t="s">
        <v>74</v>
      </c>
      <c r="E8" s="275" t="s">
        <v>234</v>
      </c>
    </row>
    <row r="9" spans="1:5" ht="16.8">
      <c r="A9" s="27" t="s">
        <v>3</v>
      </c>
      <c r="B9" s="28">
        <v>19</v>
      </c>
      <c r="C9" s="29" t="str">
        <f t="shared" si="0"/>
        <v>+4</v>
      </c>
      <c r="D9" s="30" t="s">
        <v>75</v>
      </c>
      <c r="E9" s="31">
        <f>(SUM(Martial!G3:G23)+SUM(Equipment!C3:C18))</f>
        <v>70.25</v>
      </c>
    </row>
    <row r="10" spans="1:5" ht="16.8">
      <c r="A10" s="32" t="s">
        <v>12</v>
      </c>
      <c r="B10" s="33">
        <f>15</f>
        <v>15</v>
      </c>
      <c r="C10" s="34" t="str">
        <f t="shared" si="0"/>
        <v>+2</v>
      </c>
      <c r="D10" s="30" t="s">
        <v>14</v>
      </c>
      <c r="E10" s="493">
        <f>((3*8)*0.75)+((E4*8)*0.75)+(SUM(3,E4)*C10)</f>
        <v>72</v>
      </c>
    </row>
    <row r="11" spans="1:5" ht="16.8">
      <c r="A11" s="35" t="s">
        <v>13</v>
      </c>
      <c r="B11" s="33">
        <v>12</v>
      </c>
      <c r="C11" s="29" t="str">
        <f t="shared" si="0"/>
        <v>+1</v>
      </c>
      <c r="D11" s="36" t="s">
        <v>166</v>
      </c>
      <c r="E11" s="499">
        <f>10+C9</f>
        <v>14</v>
      </c>
    </row>
    <row r="12" spans="1:5" ht="16.8">
      <c r="A12" s="37" t="s">
        <v>15</v>
      </c>
      <c r="B12" s="38">
        <v>14</v>
      </c>
      <c r="C12" s="29" t="str">
        <f t="shared" si="0"/>
        <v>+2</v>
      </c>
      <c r="D12" s="36" t="s">
        <v>110</v>
      </c>
      <c r="E12" s="495">
        <f>E13-C9</f>
        <v>16</v>
      </c>
    </row>
    <row r="13" spans="1:5" ht="17.399999999999999" thickBot="1">
      <c r="A13" s="39" t="s">
        <v>11</v>
      </c>
      <c r="B13" s="40">
        <v>12</v>
      </c>
      <c r="C13" s="41" t="str">
        <f t="shared" si="0"/>
        <v>+1</v>
      </c>
      <c r="D13" s="42" t="s">
        <v>63</v>
      </c>
      <c r="E13" s="494">
        <f>E11+SUM(Martial!B19:B20)</f>
        <v>20</v>
      </c>
    </row>
    <row r="14" spans="1:5" ht="17.399999999999999" thickTop="1">
      <c r="B14" s="43"/>
      <c r="C14" s="43"/>
      <c r="D14" s="43"/>
      <c r="E14" s="43"/>
    </row>
  </sheetData>
  <conditionalFormatting sqref="E9">
    <cfRule type="cellIs" dxfId="20" priority="4" stopIfTrue="1" operator="greaterThan">
      <formula>153</formula>
    </cfRule>
    <cfRule type="cellIs" dxfId="19" priority="5" stopIfTrue="1" operator="between">
      <formula>76</formula>
      <formula>153</formula>
    </cfRule>
  </conditionalFormatting>
  <hyperlinks>
    <hyperlink ref="E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showGridLines="0" workbookViewId="0">
      <pane ySplit="2" topLeftCell="A3" activePane="bottomLeft" state="frozen"/>
      <selection pane="bottomLeft" activeCell="A3" sqref="A3"/>
    </sheetView>
  </sheetViews>
  <sheetFormatPr defaultColWidth="13" defaultRowHeight="15.6"/>
  <cols>
    <col min="1" max="1" width="27.8984375" style="150" bestFit="1" customWidth="1"/>
    <col min="2" max="2" width="5.8984375" style="150" bestFit="1" customWidth="1"/>
    <col min="3" max="3" width="7.59765625" style="152" hidden="1" customWidth="1"/>
    <col min="4" max="4" width="5.8984375" style="152" hidden="1" customWidth="1"/>
    <col min="5" max="5" width="9.09765625" style="152" bestFit="1" customWidth="1"/>
    <col min="6" max="6" width="6.69921875" style="152" bestFit="1" customWidth="1"/>
    <col min="7" max="7" width="6" style="153" bestFit="1" customWidth="1"/>
    <col min="8" max="8" width="5.19921875" style="153" bestFit="1" customWidth="1"/>
    <col min="9" max="9" width="6.8984375" style="153" bestFit="1" customWidth="1"/>
    <col min="10" max="10" width="23.3984375" style="150" bestFit="1" customWidth="1"/>
    <col min="11" max="16384" width="13" style="47"/>
  </cols>
  <sheetData>
    <row r="1" spans="1:10" ht="23.4" thickBot="1">
      <c r="A1" s="44" t="s">
        <v>10</v>
      </c>
      <c r="B1" s="45"/>
      <c r="C1" s="45"/>
      <c r="D1" s="45"/>
      <c r="E1" s="45"/>
      <c r="F1" s="45"/>
      <c r="G1" s="46"/>
      <c r="H1" s="46"/>
      <c r="I1" s="46"/>
      <c r="J1" s="45"/>
    </row>
    <row r="2" spans="1:10" s="52" customFormat="1" ht="34.200000000000003" thickBot="1">
      <c r="A2" s="48" t="s">
        <v>130</v>
      </c>
      <c r="B2" s="49" t="s">
        <v>29</v>
      </c>
      <c r="C2" s="49" t="s">
        <v>36</v>
      </c>
      <c r="D2" s="49" t="s">
        <v>28</v>
      </c>
      <c r="E2" s="50" t="s">
        <v>61</v>
      </c>
      <c r="F2" s="50" t="s">
        <v>37</v>
      </c>
      <c r="G2" s="51" t="s">
        <v>67</v>
      </c>
      <c r="H2" s="2" t="s">
        <v>102</v>
      </c>
      <c r="I2" s="3" t="s">
        <v>83</v>
      </c>
      <c r="J2" s="4" t="s">
        <v>81</v>
      </c>
    </row>
    <row r="3" spans="1:10" s="52" customFormat="1" ht="16.8">
      <c r="A3" s="53" t="s">
        <v>69</v>
      </c>
      <c r="B3" s="54">
        <v>6</v>
      </c>
      <c r="C3" s="55" t="s">
        <v>31</v>
      </c>
      <c r="D3" s="56" t="str">
        <f>IF(C3="Str",'Personal File'!$C$8,IF(C3="Dex",'Personal File'!$C$9,IF(C3="Con",'Personal File'!$C$10,IF(C3="Int",'Personal File'!$C$11,IF(C3="Wis",'Personal File'!$C$12,IF(C3="Cha",'Personal File'!$C$13))))))</f>
        <v>+2</v>
      </c>
      <c r="E3" s="56" t="str">
        <f>CONCATENATE(C3," (",D3,")")</f>
        <v>Con (+2)</v>
      </c>
      <c r="F3" s="496">
        <v>1</v>
      </c>
      <c r="G3" s="57">
        <f>B3+D3+F3</f>
        <v>9</v>
      </c>
      <c r="H3" s="58">
        <f ca="1">RANDBETWEEN(1,20)</f>
        <v>8</v>
      </c>
      <c r="I3" s="263">
        <f t="shared" ref="I3:I43" ca="1" si="0">SUM(G3:H3)</f>
        <v>17</v>
      </c>
      <c r="J3" s="370"/>
    </row>
    <row r="4" spans="1:10" s="52" customFormat="1" ht="16.8">
      <c r="A4" s="60" t="s">
        <v>70</v>
      </c>
      <c r="B4" s="61">
        <v>8</v>
      </c>
      <c r="C4" s="62" t="s">
        <v>34</v>
      </c>
      <c r="D4" s="63" t="str">
        <f>IF(C4="Str",'Personal File'!$C$8,IF(C4="Dex",'Personal File'!$C$9,IF(C4="Con",'Personal File'!$C$10,IF(C4="Int",'Personal File'!$C$11,IF(C4="Wis",'Personal File'!$C$12,IF(C4="Cha",'Personal File'!$C$13))))))</f>
        <v>+4</v>
      </c>
      <c r="E4" s="63" t="str">
        <f>CONCATENATE(C4," (",D4,")")</f>
        <v>Dex (+4)</v>
      </c>
      <c r="F4" s="496">
        <f>1</f>
        <v>1</v>
      </c>
      <c r="G4" s="64">
        <f>B4+D4+F4</f>
        <v>13</v>
      </c>
      <c r="H4" s="58">
        <f t="shared" ref="H4:H43" ca="1" si="1">RANDBETWEEN(1,20)</f>
        <v>17</v>
      </c>
      <c r="I4" s="64">
        <f t="shared" ca="1" si="0"/>
        <v>30</v>
      </c>
      <c r="J4" s="370"/>
    </row>
    <row r="5" spans="1:10" s="52" customFormat="1" ht="16.8">
      <c r="A5" s="65" t="s">
        <v>71</v>
      </c>
      <c r="B5" s="66">
        <v>5</v>
      </c>
      <c r="C5" s="67" t="s">
        <v>33</v>
      </c>
      <c r="D5" s="68" t="str">
        <f>IF(C5="Str",'Personal File'!$C$8,IF(C5="Dex",'Personal File'!$C$9,IF(C5="Con",'Personal File'!$C$10,IF(C5="Int",'Personal File'!$C$11,IF(C5="Wis",'Personal File'!$C$12,IF(C5="Cha",'Personal File'!$C$13))))))</f>
        <v>+2</v>
      </c>
      <c r="E5" s="492" t="str">
        <f>CONCATENATE(C5," (",D5,")")</f>
        <v>Wis (+2)</v>
      </c>
      <c r="F5" s="497">
        <v>1</v>
      </c>
      <c r="G5" s="69">
        <f>B5+D5+F5</f>
        <v>8</v>
      </c>
      <c r="H5" s="70">
        <f t="shared" ca="1" si="1"/>
        <v>19</v>
      </c>
      <c r="I5" s="69">
        <f t="shared" ca="1" si="0"/>
        <v>27</v>
      </c>
      <c r="J5" s="371"/>
    </row>
    <row r="6" spans="1:10" s="76" customFormat="1" ht="16.8">
      <c r="A6" s="71" t="s">
        <v>38</v>
      </c>
      <c r="B6" s="72">
        <v>0</v>
      </c>
      <c r="C6" s="73" t="s">
        <v>32</v>
      </c>
      <c r="D6" s="74" t="str">
        <f>IF(C6="Str",'Personal File'!$C$8,IF(C6="Dex",'Personal File'!$C$9,IF(C6="Con",'Personal File'!$C$10,IF(C6="Int",'Personal File'!$C$11,IF(C6="Wis",'Personal File'!$C$12,IF(C6="Cha",'Personal File'!$C$13))))))</f>
        <v>+1</v>
      </c>
      <c r="E6" s="74" t="str">
        <f t="shared" ref="E6:E43" si="2">CONCATENATE(C6," (",D6,")")</f>
        <v>Int (+1)</v>
      </c>
      <c r="F6" s="75" t="s">
        <v>62</v>
      </c>
      <c r="G6" s="57">
        <f t="shared" ref="G6:G11" si="3">B6+MID(E6,6,2)+F6</f>
        <v>1</v>
      </c>
      <c r="H6" s="58">
        <f t="shared" ca="1" si="1"/>
        <v>2</v>
      </c>
      <c r="I6" s="57">
        <f t="shared" ca="1" si="0"/>
        <v>3</v>
      </c>
      <c r="J6" s="372"/>
    </row>
    <row r="7" spans="1:10" s="78" customFormat="1" ht="16.8">
      <c r="A7" s="77" t="s">
        <v>39</v>
      </c>
      <c r="B7" s="72">
        <v>0</v>
      </c>
      <c r="C7" s="62" t="s">
        <v>34</v>
      </c>
      <c r="D7" s="63" t="str">
        <f>IF(C7="Str",'Personal File'!$C$8,IF(C7="Dex",'Personal File'!$C$9,IF(C7="Con",'Personal File'!$C$10,IF(C7="Int",'Personal File'!$C$11,IF(C7="Wis",'Personal File'!$C$12,IF(C7="Cha",'Personal File'!$C$13))))))</f>
        <v>+4</v>
      </c>
      <c r="E7" s="63" t="str">
        <f t="shared" si="2"/>
        <v>Dex (+4)</v>
      </c>
      <c r="F7" s="57" t="s">
        <v>203</v>
      </c>
      <c r="G7" s="57">
        <f t="shared" si="3"/>
        <v>2</v>
      </c>
      <c r="H7" s="58">
        <f t="shared" ca="1" si="1"/>
        <v>13</v>
      </c>
      <c r="I7" s="57">
        <f t="shared" ca="1" si="0"/>
        <v>15</v>
      </c>
      <c r="J7" s="372"/>
    </row>
    <row r="8" spans="1:10" s="82" customFormat="1" ht="16.8">
      <c r="A8" s="79" t="s">
        <v>40</v>
      </c>
      <c r="B8" s="72">
        <v>0</v>
      </c>
      <c r="C8" s="80" t="s">
        <v>30</v>
      </c>
      <c r="D8" s="81" t="str">
        <f>IF(C8="Str",'Personal File'!$C$8,IF(C8="Dex",'Personal File'!$C$9,IF(C8="Con",'Personal File'!$C$10,IF(C8="Int",'Personal File'!$C$11,IF(C8="Wis",'Personal File'!$C$12,IF(C8="Cha",'Personal File'!$C$13))))))</f>
        <v>+1</v>
      </c>
      <c r="E8" s="81" t="str">
        <f t="shared" si="2"/>
        <v>Cha (+1)</v>
      </c>
      <c r="F8" s="57" t="s">
        <v>62</v>
      </c>
      <c r="G8" s="57">
        <f t="shared" si="3"/>
        <v>1</v>
      </c>
      <c r="H8" s="58">
        <f t="shared" ca="1" si="1"/>
        <v>11</v>
      </c>
      <c r="I8" s="57">
        <f t="shared" ca="1" si="0"/>
        <v>12</v>
      </c>
      <c r="J8" s="372"/>
    </row>
    <row r="9" spans="1:10" s="83" customFormat="1" ht="16.8">
      <c r="A9" s="53" t="s">
        <v>41</v>
      </c>
      <c r="B9" s="72">
        <v>0</v>
      </c>
      <c r="C9" s="55" t="s">
        <v>35</v>
      </c>
      <c r="D9" s="56" t="str">
        <f>IF(C9="Str",'Personal File'!$C$8,IF(C9="Dex",'Personal File'!$C$9,IF(C9="Con",'Personal File'!$C$10,IF(C9="Int",'Personal File'!$C$11,IF(C9="Wis",'Personal File'!$C$12,IF(C9="Cha",'Personal File'!$C$13))))))</f>
        <v>+7</v>
      </c>
      <c r="E9" s="56" t="str">
        <f t="shared" si="2"/>
        <v>Str (+7)</v>
      </c>
      <c r="F9" s="57" t="s">
        <v>203</v>
      </c>
      <c r="G9" s="57">
        <f t="shared" si="3"/>
        <v>5</v>
      </c>
      <c r="H9" s="58">
        <f t="shared" ca="1" si="1"/>
        <v>19</v>
      </c>
      <c r="I9" s="57">
        <f t="shared" ca="1" si="0"/>
        <v>24</v>
      </c>
      <c r="J9" s="372"/>
    </row>
    <row r="10" spans="1:10" s="83" customFormat="1" ht="16.8">
      <c r="A10" s="84" t="s">
        <v>16</v>
      </c>
      <c r="B10" s="72">
        <v>0</v>
      </c>
      <c r="C10" s="85" t="s">
        <v>31</v>
      </c>
      <c r="D10" s="86" t="str">
        <f>IF(C10="Str",'Personal File'!$C$8,IF(C10="Dex",'Personal File'!$C$9,IF(C10="Con",'Personal File'!$C$10,IF(C10="Int",'Personal File'!$C$11,IF(C10="Wis",'Personal File'!$C$12,IF(C10="Cha",'Personal File'!$C$13))))))</f>
        <v>+2</v>
      </c>
      <c r="E10" s="86" t="str">
        <f t="shared" si="2"/>
        <v>Con (+2)</v>
      </c>
      <c r="F10" s="57" t="s">
        <v>62</v>
      </c>
      <c r="G10" s="57">
        <f t="shared" si="3"/>
        <v>2</v>
      </c>
      <c r="H10" s="58">
        <f t="shared" ca="1" si="1"/>
        <v>4</v>
      </c>
      <c r="I10" s="57">
        <f t="shared" ca="1" si="0"/>
        <v>6</v>
      </c>
      <c r="J10" s="372"/>
    </row>
    <row r="11" spans="1:10" s="76" customFormat="1" ht="16.8">
      <c r="A11" s="71" t="s">
        <v>113</v>
      </c>
      <c r="B11" s="72">
        <v>0</v>
      </c>
      <c r="C11" s="73" t="s">
        <v>32</v>
      </c>
      <c r="D11" s="74" t="str">
        <f>IF(C11="Str",'Personal File'!$C$8,IF(C11="Dex",'Personal File'!$C$9,IF(C11="Con",'Personal File'!$C$10,IF(C11="Int",'Personal File'!$C$11,IF(C11="Wis",'Personal File'!$C$12,IF(C11="Cha",'Personal File'!$C$13))))))</f>
        <v>+1</v>
      </c>
      <c r="E11" s="74" t="str">
        <f t="shared" si="2"/>
        <v>Int (+1)</v>
      </c>
      <c r="F11" s="57" t="s">
        <v>62</v>
      </c>
      <c r="G11" s="57">
        <f t="shared" si="3"/>
        <v>1</v>
      </c>
      <c r="H11" s="58">
        <f t="shared" ca="1" si="1"/>
        <v>9</v>
      </c>
      <c r="I11" s="57">
        <f t="shared" ca="1" si="0"/>
        <v>10</v>
      </c>
      <c r="J11" s="372"/>
    </row>
    <row r="12" spans="1:10" s="94" customFormat="1" ht="16.8">
      <c r="A12" s="87" t="s">
        <v>42</v>
      </c>
      <c r="B12" s="88">
        <v>0</v>
      </c>
      <c r="C12" s="89" t="s">
        <v>32</v>
      </c>
      <c r="D12" s="90" t="str">
        <f>IF(C12="Str",'Personal File'!$C$8,IF(C12="Dex",'Personal File'!$C$9,IF(C12="Con",'Personal File'!$C$10,IF(C12="Int",'Personal File'!$C$11,IF(C12="Wis",'Personal File'!$C$12,IF(C12="Cha",'Personal File'!$C$13))))))</f>
        <v>+1</v>
      </c>
      <c r="E12" s="90" t="str">
        <f t="shared" si="2"/>
        <v>Int (+1)</v>
      </c>
      <c r="F12" s="91" t="s">
        <v>62</v>
      </c>
      <c r="G12" s="92">
        <v>0</v>
      </c>
      <c r="H12" s="58">
        <f t="shared" ca="1" si="1"/>
        <v>9</v>
      </c>
      <c r="I12" s="92">
        <f t="shared" ca="1" si="0"/>
        <v>9</v>
      </c>
      <c r="J12" s="116"/>
    </row>
    <row r="13" spans="1:10" s="78" customFormat="1" ht="16.8">
      <c r="A13" s="79" t="s">
        <v>43</v>
      </c>
      <c r="B13" s="72">
        <v>0</v>
      </c>
      <c r="C13" s="80" t="s">
        <v>30</v>
      </c>
      <c r="D13" s="81" t="str">
        <f>IF(C13="Str",'Personal File'!$C$8,IF(C13="Dex",'Personal File'!$C$9,IF(C13="Con",'Personal File'!$C$10,IF(C13="Int",'Personal File'!$C$11,IF(C13="Wis",'Personal File'!$C$12,IF(C13="Cha",'Personal File'!$C$13))))))</f>
        <v>+1</v>
      </c>
      <c r="E13" s="81" t="str">
        <f t="shared" si="2"/>
        <v>Cha (+1)</v>
      </c>
      <c r="F13" s="57" t="s">
        <v>62</v>
      </c>
      <c r="G13" s="57">
        <f>B13+MID(E13,6,2)+F13</f>
        <v>1</v>
      </c>
      <c r="H13" s="58">
        <f t="shared" ca="1" si="1"/>
        <v>12</v>
      </c>
      <c r="I13" s="57">
        <f t="shared" ca="1" si="0"/>
        <v>13</v>
      </c>
      <c r="J13" s="59"/>
    </row>
    <row r="14" spans="1:10" s="78" customFormat="1" ht="16.8">
      <c r="A14" s="87" t="s">
        <v>44</v>
      </c>
      <c r="B14" s="88">
        <v>0</v>
      </c>
      <c r="C14" s="89" t="s">
        <v>32</v>
      </c>
      <c r="D14" s="90" t="str">
        <f>IF(C14="Str",'Personal File'!$C$8,IF(C14="Dex",'Personal File'!$C$9,IF(C14="Con",'Personal File'!$C$10,IF(C14="Int",'Personal File'!$C$11,IF(C14="Wis",'Personal File'!$C$12,IF(C14="Cha",'Personal File'!$C$13))))))</f>
        <v>+1</v>
      </c>
      <c r="E14" s="90" t="str">
        <f t="shared" si="2"/>
        <v>Int (+1)</v>
      </c>
      <c r="F14" s="91" t="s">
        <v>62</v>
      </c>
      <c r="G14" s="92">
        <v>0</v>
      </c>
      <c r="H14" s="58">
        <f t="shared" ca="1" si="1"/>
        <v>15</v>
      </c>
      <c r="I14" s="92">
        <f t="shared" ca="1" si="0"/>
        <v>15</v>
      </c>
      <c r="J14" s="116"/>
    </row>
    <row r="15" spans="1:10" s="78" customFormat="1" ht="16.8">
      <c r="A15" s="79" t="s">
        <v>45</v>
      </c>
      <c r="B15" s="72">
        <v>0</v>
      </c>
      <c r="C15" s="80" t="s">
        <v>30</v>
      </c>
      <c r="D15" s="81" t="str">
        <f>IF(C15="Str",'Personal File'!$C$8,IF(C15="Dex",'Personal File'!$C$9,IF(C15="Con",'Personal File'!$C$10,IF(C15="Int",'Personal File'!$C$11,IF(C15="Wis",'Personal File'!$C$12,IF(C15="Cha",'Personal File'!$C$13))))))</f>
        <v>+1</v>
      </c>
      <c r="E15" s="81" t="str">
        <f t="shared" si="2"/>
        <v>Cha (+1)</v>
      </c>
      <c r="F15" s="57" t="s">
        <v>62</v>
      </c>
      <c r="G15" s="57">
        <f t="shared" ref="G15:G24" si="4">B15+MID(E15,6,2)+F15</f>
        <v>1</v>
      </c>
      <c r="H15" s="58">
        <f t="shared" ca="1" si="1"/>
        <v>5</v>
      </c>
      <c r="I15" s="57">
        <f t="shared" ca="1" si="0"/>
        <v>6</v>
      </c>
      <c r="J15" s="59"/>
    </row>
    <row r="16" spans="1:10" s="78" customFormat="1" ht="16.8">
      <c r="A16" s="77" t="s">
        <v>46</v>
      </c>
      <c r="B16" s="72">
        <v>0</v>
      </c>
      <c r="C16" s="62" t="s">
        <v>34</v>
      </c>
      <c r="D16" s="63" t="str">
        <f>IF(C16="Str",'Personal File'!$C$8,IF(C16="Dex",'Personal File'!$C$9,IF(C16="Con",'Personal File'!$C$10,IF(C16="Int",'Personal File'!$C$11,IF(C16="Wis",'Personal File'!$C$12,IF(C16="Cha",'Personal File'!$C$13))))))</f>
        <v>+4</v>
      </c>
      <c r="E16" s="63" t="str">
        <f t="shared" si="2"/>
        <v>Dex (+4)</v>
      </c>
      <c r="F16" s="57" t="s">
        <v>203</v>
      </c>
      <c r="G16" s="57">
        <f t="shared" si="4"/>
        <v>2</v>
      </c>
      <c r="H16" s="58">
        <f t="shared" ca="1" si="1"/>
        <v>11</v>
      </c>
      <c r="I16" s="57">
        <f t="shared" ca="1" si="0"/>
        <v>13</v>
      </c>
      <c r="J16" s="59"/>
    </row>
    <row r="17" spans="1:10" s="78" customFormat="1" ht="16.8">
      <c r="A17" s="95" t="s">
        <v>47</v>
      </c>
      <c r="B17" s="96">
        <v>0</v>
      </c>
      <c r="C17" s="97" t="s">
        <v>32</v>
      </c>
      <c r="D17" s="98" t="str">
        <f>IF(C17="Str",'Personal File'!$C$8,IF(C17="Dex",'Personal File'!$C$9,IF(C17="Con",'Personal File'!$C$10,IF(C17="Int",'Personal File'!$C$11,IF(C17="Wis",'Personal File'!$C$12,IF(C17="Cha",'Personal File'!$C$13))))))</f>
        <v>+1</v>
      </c>
      <c r="E17" s="98" t="str">
        <f t="shared" si="2"/>
        <v>Int (+1)</v>
      </c>
      <c r="F17" s="99" t="s">
        <v>62</v>
      </c>
      <c r="G17" s="99">
        <f t="shared" si="4"/>
        <v>1</v>
      </c>
      <c r="H17" s="58">
        <f t="shared" ca="1" si="1"/>
        <v>15</v>
      </c>
      <c r="I17" s="99">
        <f t="shared" ca="1" si="0"/>
        <v>16</v>
      </c>
      <c r="J17" s="59"/>
    </row>
    <row r="18" spans="1:10" s="78" customFormat="1" ht="16.8">
      <c r="A18" s="79" t="s">
        <v>48</v>
      </c>
      <c r="B18" s="72">
        <v>0</v>
      </c>
      <c r="C18" s="80" t="s">
        <v>30</v>
      </c>
      <c r="D18" s="81" t="str">
        <f>IF(C18="Str",'Personal File'!$C$8,IF(C18="Dex",'Personal File'!$C$9,IF(C18="Con",'Personal File'!$C$10,IF(C18="Int",'Personal File'!$C$11,IF(C18="Wis",'Personal File'!$C$12,IF(C18="Cha",'Personal File'!$C$13))))))</f>
        <v>+1</v>
      </c>
      <c r="E18" s="81" t="str">
        <f t="shared" si="2"/>
        <v>Cha (+1)</v>
      </c>
      <c r="F18" s="57" t="s">
        <v>62</v>
      </c>
      <c r="G18" s="57">
        <f t="shared" si="4"/>
        <v>1</v>
      </c>
      <c r="H18" s="58">
        <f t="shared" ca="1" si="1"/>
        <v>12</v>
      </c>
      <c r="I18" s="57">
        <f t="shared" ca="1" si="0"/>
        <v>13</v>
      </c>
      <c r="J18" s="59"/>
    </row>
    <row r="19" spans="1:10" s="78" customFormat="1" ht="16.8">
      <c r="A19" s="225" t="s">
        <v>18</v>
      </c>
      <c r="B19" s="226">
        <v>2</v>
      </c>
      <c r="C19" s="227" t="s">
        <v>30</v>
      </c>
      <c r="D19" s="228" t="str">
        <f>IF(C19="Str",'Personal File'!$C$8,IF(C19="Dex",'Personal File'!$C$9,IF(C19="Con",'Personal File'!$C$10,IF(C19="Int",'Personal File'!$C$11,IF(C19="Wis",'Personal File'!$C$12,IF(C19="Cha",'Personal File'!$C$13))))))</f>
        <v>+1</v>
      </c>
      <c r="E19" s="228" t="str">
        <f t="shared" si="2"/>
        <v>Cha (+1)</v>
      </c>
      <c r="F19" s="229" t="s">
        <v>62</v>
      </c>
      <c r="G19" s="121">
        <f t="shared" si="4"/>
        <v>3</v>
      </c>
      <c r="H19" s="58">
        <f t="shared" ca="1" si="1"/>
        <v>20</v>
      </c>
      <c r="I19" s="121">
        <f t="shared" ca="1" si="0"/>
        <v>23</v>
      </c>
      <c r="J19" s="230"/>
    </row>
    <row r="20" spans="1:10" s="78" customFormat="1" ht="16.8">
      <c r="A20" s="104" t="s">
        <v>49</v>
      </c>
      <c r="B20" s="72">
        <v>0</v>
      </c>
      <c r="C20" s="105" t="s">
        <v>33</v>
      </c>
      <c r="D20" s="106" t="str">
        <f>IF(C20="Str",'Personal File'!$C$8,IF(C20="Dex",'Personal File'!$C$9,IF(C20="Con",'Personal File'!$C$10,IF(C20="Int",'Personal File'!$C$11,IF(C20="Wis",'Personal File'!$C$12,IF(C20="Cha",'Personal File'!$C$13))))))</f>
        <v>+2</v>
      </c>
      <c r="E20" s="106" t="str">
        <f t="shared" si="2"/>
        <v>Wis (+2)</v>
      </c>
      <c r="F20" s="57" t="s">
        <v>203</v>
      </c>
      <c r="G20" s="57">
        <f t="shared" si="4"/>
        <v>0</v>
      </c>
      <c r="H20" s="58">
        <f t="shared" ca="1" si="1"/>
        <v>19</v>
      </c>
      <c r="I20" s="57">
        <f t="shared" ca="1" si="0"/>
        <v>19</v>
      </c>
      <c r="J20" s="59"/>
    </row>
    <row r="21" spans="1:10" s="78" customFormat="1" ht="16.8">
      <c r="A21" s="243" t="s">
        <v>50</v>
      </c>
      <c r="B21" s="232">
        <v>5</v>
      </c>
      <c r="C21" s="244" t="s">
        <v>34</v>
      </c>
      <c r="D21" s="245" t="str">
        <f>IF(C21="Str",'Personal File'!$C$8,IF(C21="Dex",'Personal File'!$C$9,IF(C21="Con",'Personal File'!$C$10,IF(C21="Int",'Personal File'!$C$11,IF(C21="Wis",'Personal File'!$C$12,IF(C21="Cha",'Personal File'!$C$13))))))</f>
        <v>+4</v>
      </c>
      <c r="E21" s="245" t="str">
        <f t="shared" si="2"/>
        <v>Dex (+4)</v>
      </c>
      <c r="F21" s="121" t="s">
        <v>203</v>
      </c>
      <c r="G21" s="235">
        <f t="shared" si="4"/>
        <v>7</v>
      </c>
      <c r="H21" s="58">
        <f t="shared" ca="1" si="1"/>
        <v>14</v>
      </c>
      <c r="I21" s="235">
        <f t="shared" ca="1" si="0"/>
        <v>21</v>
      </c>
      <c r="J21" s="236"/>
    </row>
    <row r="22" spans="1:10" s="78" customFormat="1" ht="16.8">
      <c r="A22" s="107" t="s">
        <v>51</v>
      </c>
      <c r="B22" s="96">
        <v>0</v>
      </c>
      <c r="C22" s="108" t="s">
        <v>30</v>
      </c>
      <c r="D22" s="109" t="str">
        <f>IF(C22="Str",'Personal File'!$C$8,IF(C22="Dex",'Personal File'!$C$9,IF(C22="Con",'Personal File'!$C$10,IF(C22="Int",'Personal File'!$C$11,IF(C22="Wis",'Personal File'!$C$12,IF(C22="Cha",'Personal File'!$C$13))))))</f>
        <v>+1</v>
      </c>
      <c r="E22" s="110" t="str">
        <f t="shared" si="2"/>
        <v>Cha (+1)</v>
      </c>
      <c r="F22" s="99" t="s">
        <v>62</v>
      </c>
      <c r="G22" s="99">
        <f t="shared" si="4"/>
        <v>1</v>
      </c>
      <c r="H22" s="58">
        <f t="shared" ca="1" si="1"/>
        <v>10</v>
      </c>
      <c r="I22" s="99">
        <f t="shared" ca="1" si="0"/>
        <v>11</v>
      </c>
      <c r="J22" s="100"/>
    </row>
    <row r="23" spans="1:10" s="78" customFormat="1" ht="16.8">
      <c r="A23" s="231" t="s">
        <v>52</v>
      </c>
      <c r="B23" s="232">
        <v>5</v>
      </c>
      <c r="C23" s="233" t="s">
        <v>35</v>
      </c>
      <c r="D23" s="234" t="str">
        <f>IF(C23="Str",'Personal File'!$C$8,IF(C23="Dex",'Personal File'!$C$9,IF(C23="Con",'Personal File'!$C$10,IF(C23="Int",'Personal File'!$C$11,IF(C23="Wis",'Personal File'!$C$12,IF(C23="Cha",'Personal File'!$C$13))))))</f>
        <v>+7</v>
      </c>
      <c r="E23" s="234" t="str">
        <f t="shared" si="2"/>
        <v>Str (+7)</v>
      </c>
      <c r="F23" s="121" t="s">
        <v>203</v>
      </c>
      <c r="G23" s="235">
        <f t="shared" si="4"/>
        <v>10</v>
      </c>
      <c r="H23" s="58">
        <f t="shared" ca="1" si="1"/>
        <v>17</v>
      </c>
      <c r="I23" s="235">
        <f t="shared" ca="1" si="0"/>
        <v>27</v>
      </c>
      <c r="J23" s="236"/>
    </row>
    <row r="24" spans="1:10" s="78" customFormat="1" ht="16.8">
      <c r="A24" s="239" t="s">
        <v>187</v>
      </c>
      <c r="B24" s="232">
        <v>5</v>
      </c>
      <c r="C24" s="240" t="s">
        <v>32</v>
      </c>
      <c r="D24" s="241" t="str">
        <f>IF(C24="Str",'Personal File'!$C$8,IF(C24="Dex",'Personal File'!$C$9,IF(C24="Con",'Personal File'!$C$10,IF(C24="Int",'Personal File'!$C$11,IF(C24="Wis",'Personal File'!$C$12,IF(C24="Cha",'Personal File'!$C$13))))))</f>
        <v>+1</v>
      </c>
      <c r="E24" s="241" t="str">
        <f t="shared" ref="E24" si="5">CONCATENATE(C24," (",D24,")")</f>
        <v>Int (+1)</v>
      </c>
      <c r="F24" s="235" t="s">
        <v>137</v>
      </c>
      <c r="G24" s="235">
        <f t="shared" si="4"/>
        <v>8</v>
      </c>
      <c r="H24" s="58">
        <f t="shared" ca="1" si="1"/>
        <v>17</v>
      </c>
      <c r="I24" s="235">
        <f t="shared" ref="I24" ca="1" si="6">SUM(G24:H24)</f>
        <v>25</v>
      </c>
      <c r="J24" s="236"/>
    </row>
    <row r="25" spans="1:10" s="78" customFormat="1" ht="16.8">
      <c r="A25" s="239" t="s">
        <v>89</v>
      </c>
      <c r="B25" s="232">
        <v>7</v>
      </c>
      <c r="C25" s="240" t="s">
        <v>32</v>
      </c>
      <c r="D25" s="241" t="str">
        <f>IF(C25="Str",'Personal File'!$C$8,IF(C25="Dex",'Personal File'!$C$9,IF(C25="Con",'Personal File'!$C$10,IF(C25="Int",'Personal File'!$C$11,IF(C25="Wis",'Personal File'!$C$12,IF(C25="Cha",'Personal File'!$C$13))))))</f>
        <v>+1</v>
      </c>
      <c r="E25" s="241" t="str">
        <f t="shared" si="2"/>
        <v>Int (+1)</v>
      </c>
      <c r="F25" s="235" t="s">
        <v>137</v>
      </c>
      <c r="G25" s="235">
        <f t="shared" ref="G25" si="7">B25+MID(E25,6,2)+F25</f>
        <v>10</v>
      </c>
      <c r="H25" s="58">
        <f t="shared" ca="1" si="1"/>
        <v>20</v>
      </c>
      <c r="I25" s="235">
        <f t="shared" ca="1" si="0"/>
        <v>30</v>
      </c>
      <c r="J25" s="236"/>
    </row>
    <row r="26" spans="1:10" s="78" customFormat="1" ht="16.8">
      <c r="A26" s="111" t="s">
        <v>90</v>
      </c>
      <c r="B26" s="112">
        <v>0</v>
      </c>
      <c r="C26" s="113" t="s">
        <v>32</v>
      </c>
      <c r="D26" s="114" t="str">
        <f>IF(C26="Str",'Personal File'!$C$8,IF(C26="Dex",'Personal File'!$C$9,IF(C26="Con",'Personal File'!$C$10,IF(C26="Int",'Personal File'!$C$11,IF(C26="Wis",'Personal File'!$C$12,IF(C26="Cha",'Personal File'!$C$13))))))</f>
        <v>+1</v>
      </c>
      <c r="E26" s="114" t="str">
        <f t="shared" si="2"/>
        <v>Int (+1)</v>
      </c>
      <c r="F26" s="115" t="s">
        <v>62</v>
      </c>
      <c r="G26" s="92">
        <v>0</v>
      </c>
      <c r="H26" s="58">
        <f t="shared" ca="1" si="1"/>
        <v>14</v>
      </c>
      <c r="I26" s="92">
        <f t="shared" ca="1" si="0"/>
        <v>14</v>
      </c>
      <c r="J26" s="116"/>
    </row>
    <row r="27" spans="1:10" s="78" customFormat="1" ht="16.8">
      <c r="A27" s="117" t="s">
        <v>53</v>
      </c>
      <c r="B27" s="118">
        <v>5</v>
      </c>
      <c r="C27" s="119" t="s">
        <v>33</v>
      </c>
      <c r="D27" s="120" t="str">
        <f>IF(C27="Str",'Personal File'!$C$8,IF(C27="Dex",'Personal File'!$C$9,IF(C27="Con",'Personal File'!$C$10,IF(C27="Int",'Personal File'!$C$11,IF(C27="Wis",'Personal File'!$C$12,IF(C27="Cha",'Personal File'!$C$13))))))</f>
        <v>+2</v>
      </c>
      <c r="E27" s="120" t="str">
        <f t="shared" si="2"/>
        <v>Wis (+2)</v>
      </c>
      <c r="F27" s="121" t="s">
        <v>62</v>
      </c>
      <c r="G27" s="121">
        <f>B27+MID(E27,6,2)+F27</f>
        <v>7</v>
      </c>
      <c r="H27" s="58">
        <f t="shared" ca="1" si="1"/>
        <v>15</v>
      </c>
      <c r="I27" s="121">
        <f t="shared" ca="1" si="0"/>
        <v>22</v>
      </c>
      <c r="J27" s="230"/>
    </row>
    <row r="28" spans="1:10" s="78" customFormat="1" ht="16.8">
      <c r="A28" s="123" t="s">
        <v>19</v>
      </c>
      <c r="B28" s="118">
        <v>7</v>
      </c>
      <c r="C28" s="124" t="s">
        <v>34</v>
      </c>
      <c r="D28" s="125" t="str">
        <f>IF(C28="Str",'Personal File'!$C$8,IF(C28="Dex",'Personal File'!$C$9,IF(C28="Con",'Personal File'!$C$10,IF(C28="Int",'Personal File'!$C$11,IF(C28="Wis",'Personal File'!$C$12,IF(C28="Cha",'Personal File'!$C$13))))))</f>
        <v>+4</v>
      </c>
      <c r="E28" s="125" t="str">
        <f t="shared" si="2"/>
        <v>Dex (+4)</v>
      </c>
      <c r="F28" s="121" t="s">
        <v>203</v>
      </c>
      <c r="G28" s="121">
        <f>B28+MID(E28,6,2)+F28</f>
        <v>9</v>
      </c>
      <c r="H28" s="58">
        <f t="shared" ca="1" si="1"/>
        <v>3</v>
      </c>
      <c r="I28" s="121">
        <f t="shared" ca="1" si="0"/>
        <v>12</v>
      </c>
      <c r="J28" s="122"/>
    </row>
    <row r="29" spans="1:10" s="78" customFormat="1" ht="16.8">
      <c r="A29" s="126" t="s">
        <v>54</v>
      </c>
      <c r="B29" s="88">
        <v>0</v>
      </c>
      <c r="C29" s="127" t="s">
        <v>34</v>
      </c>
      <c r="D29" s="128" t="str">
        <f>IF(C29="Str",'Personal File'!$C$8,IF(C29="Dex",'Personal File'!$C$9,IF(C29="Con",'Personal File'!$C$10,IF(C29="Int",'Personal File'!$C$11,IF(C29="Wis",'Personal File'!$C$12,IF(C29="Cha",'Personal File'!$C$13))))))</f>
        <v>+4</v>
      </c>
      <c r="E29" s="128" t="str">
        <f t="shared" si="2"/>
        <v>Dex (+4)</v>
      </c>
      <c r="F29" s="91" t="s">
        <v>62</v>
      </c>
      <c r="G29" s="92">
        <v>0</v>
      </c>
      <c r="H29" s="58">
        <f t="shared" ca="1" si="1"/>
        <v>19</v>
      </c>
      <c r="I29" s="92">
        <f t="shared" ca="1" si="0"/>
        <v>19</v>
      </c>
      <c r="J29" s="93"/>
    </row>
    <row r="30" spans="1:10" ht="16.8">
      <c r="A30" s="129" t="s">
        <v>112</v>
      </c>
      <c r="B30" s="112">
        <v>0</v>
      </c>
      <c r="C30" s="130" t="s">
        <v>30</v>
      </c>
      <c r="D30" s="131" t="str">
        <f>IF(C30="Str",'Personal File'!$C$8,IF(C30="Dex",'Personal File'!$C$9,IF(C30="Con",'Personal File'!$C$10,IF(C30="Int",'Personal File'!$C$11,IF(C30="Wis",'Personal File'!$C$12,IF(C30="Cha",'Personal File'!$C$13))))))</f>
        <v>+1</v>
      </c>
      <c r="E30" s="131" t="str">
        <f t="shared" si="2"/>
        <v>Cha (+1)</v>
      </c>
      <c r="F30" s="115" t="s">
        <v>62</v>
      </c>
      <c r="G30" s="92">
        <v>0</v>
      </c>
      <c r="H30" s="58">
        <f t="shared" ca="1" si="1"/>
        <v>7</v>
      </c>
      <c r="I30" s="92">
        <f t="shared" ca="1" si="0"/>
        <v>7</v>
      </c>
      <c r="J30" s="116"/>
    </row>
    <row r="31" spans="1:10" ht="16.8">
      <c r="A31" s="132" t="s">
        <v>111</v>
      </c>
      <c r="B31" s="133">
        <v>0</v>
      </c>
      <c r="C31" s="134" t="s">
        <v>33</v>
      </c>
      <c r="D31" s="135" t="str">
        <f>IF(C31="Str",'Personal File'!$C$8,IF(C31="Dex",'Personal File'!$C$9,IF(C31="Con",'Personal File'!$C$10,IF(C31="Int",'Personal File'!$C$11,IF(C31="Wis",'Personal File'!$C$12,IF(C31="Cha",'Personal File'!$C$13))))))</f>
        <v>+2</v>
      </c>
      <c r="E31" s="135" t="str">
        <f t="shared" si="2"/>
        <v>Wis (+2)</v>
      </c>
      <c r="F31" s="136" t="s">
        <v>62</v>
      </c>
      <c r="G31" s="137">
        <f>B31+MID(E31,6,2)+F31</f>
        <v>2</v>
      </c>
      <c r="H31" s="58">
        <f t="shared" ca="1" si="1"/>
        <v>18</v>
      </c>
      <c r="I31" s="137">
        <f t="shared" ca="1" si="0"/>
        <v>20</v>
      </c>
      <c r="J31" s="138"/>
    </row>
    <row r="32" spans="1:10" ht="16.8">
      <c r="A32" s="77" t="s">
        <v>20</v>
      </c>
      <c r="B32" s="72">
        <v>0</v>
      </c>
      <c r="C32" s="62" t="s">
        <v>34</v>
      </c>
      <c r="D32" s="63" t="str">
        <f>IF(C32="Str",'Personal File'!$C$8,IF(C32="Dex",'Personal File'!$C$9,IF(C32="Con",'Personal File'!$C$10,IF(C32="Int",'Personal File'!$C$11,IF(C32="Wis",'Personal File'!$C$12,IF(C32="Cha",'Personal File'!$C$13))))))</f>
        <v>+4</v>
      </c>
      <c r="E32" s="63" t="str">
        <f t="shared" si="2"/>
        <v>Dex (+4)</v>
      </c>
      <c r="F32" s="57" t="s">
        <v>62</v>
      </c>
      <c r="G32" s="57">
        <f>B32+MID(E32,6,2)+F32</f>
        <v>4</v>
      </c>
      <c r="H32" s="58">
        <f t="shared" ca="1" si="1"/>
        <v>16</v>
      </c>
      <c r="I32" s="57">
        <f t="shared" ca="1" si="0"/>
        <v>20</v>
      </c>
      <c r="J32" s="59"/>
    </row>
    <row r="33" spans="1:10" ht="16.8">
      <c r="A33" s="71" t="s">
        <v>21</v>
      </c>
      <c r="B33" s="72">
        <v>0</v>
      </c>
      <c r="C33" s="73" t="s">
        <v>32</v>
      </c>
      <c r="D33" s="74" t="str">
        <f>IF(C33="Str",'Personal File'!$C$8,IF(C33="Dex",'Personal File'!$C$9,IF(C33="Con",'Personal File'!$C$10,IF(C33="Int",'Personal File'!$C$11,IF(C33="Wis",'Personal File'!$C$12,IF(C33="Cha",'Personal File'!$C$13))))))</f>
        <v>+1</v>
      </c>
      <c r="E33" s="74" t="str">
        <f t="shared" si="2"/>
        <v>Int (+1)</v>
      </c>
      <c r="F33" s="57" t="s">
        <v>62</v>
      </c>
      <c r="G33" s="57">
        <f>B33+MID(E33,6,2)+F33</f>
        <v>1</v>
      </c>
      <c r="H33" s="58">
        <f t="shared" ca="1" si="1"/>
        <v>2</v>
      </c>
      <c r="I33" s="57">
        <f t="shared" ca="1" si="0"/>
        <v>3</v>
      </c>
      <c r="J33" s="59"/>
    </row>
    <row r="34" spans="1:10" ht="16.8">
      <c r="A34" s="104" t="s">
        <v>55</v>
      </c>
      <c r="B34" s="72">
        <v>0</v>
      </c>
      <c r="C34" s="105" t="s">
        <v>33</v>
      </c>
      <c r="D34" s="106" t="str">
        <f>IF(C34="Str",'Personal File'!$C$8,IF(C34="Dex",'Personal File'!$C$9,IF(C34="Con",'Personal File'!$C$10,IF(C34="Int",'Personal File'!$C$11,IF(C34="Wis",'Personal File'!$C$12,IF(C34="Cha",'Personal File'!$C$13))))))</f>
        <v>+2</v>
      </c>
      <c r="E34" s="106" t="str">
        <f t="shared" si="2"/>
        <v>Wis (+2)</v>
      </c>
      <c r="F34" s="57" t="s">
        <v>62</v>
      </c>
      <c r="G34" s="57">
        <f>B34+MID(E34,6,2)+F34</f>
        <v>2</v>
      </c>
      <c r="H34" s="58">
        <f t="shared" ca="1" si="1"/>
        <v>7</v>
      </c>
      <c r="I34" s="57">
        <f t="shared" ca="1" si="0"/>
        <v>9</v>
      </c>
      <c r="J34" s="59"/>
    </row>
    <row r="35" spans="1:10" ht="16.8">
      <c r="A35" s="126" t="s">
        <v>98</v>
      </c>
      <c r="B35" s="88">
        <v>0</v>
      </c>
      <c r="C35" s="127" t="s">
        <v>34</v>
      </c>
      <c r="D35" s="128" t="str">
        <f>IF(C35="Str",'Personal File'!$C$8,IF(C35="Dex",'Personal File'!$C$9,IF(C35="Con",'Personal File'!$C$10,IF(C35="Int",'Personal File'!$C$11,IF(C35="Wis",'Personal File'!$C$12,IF(C35="Cha",'Personal File'!$C$13))))))</f>
        <v>+4</v>
      </c>
      <c r="E35" s="128" t="str">
        <f t="shared" si="2"/>
        <v>Dex (+4)</v>
      </c>
      <c r="F35" s="91" t="s">
        <v>203</v>
      </c>
      <c r="G35" s="92">
        <v>0</v>
      </c>
      <c r="H35" s="58">
        <f t="shared" ca="1" si="1"/>
        <v>6</v>
      </c>
      <c r="I35" s="92">
        <f t="shared" ca="1" si="0"/>
        <v>6</v>
      </c>
      <c r="J35" s="93"/>
    </row>
    <row r="36" spans="1:10" ht="16.8">
      <c r="A36" s="111" t="s">
        <v>87</v>
      </c>
      <c r="B36" s="112">
        <v>0</v>
      </c>
      <c r="C36" s="113" t="s">
        <v>32</v>
      </c>
      <c r="D36" s="114" t="str">
        <f>IF(C36="Str",'Personal File'!$C$8,IF(C36="Dex",'Personal File'!$C$9,IF(C36="Con",'Personal File'!$C$10,IF(C36="Int",'Personal File'!$C$11,IF(C36="Wis",'Personal File'!$C$12,IF(C36="Cha",'Personal File'!$C$13))))))</f>
        <v>+1</v>
      </c>
      <c r="E36" s="114" t="str">
        <f t="shared" si="2"/>
        <v>Int (+1)</v>
      </c>
      <c r="F36" s="115" t="s">
        <v>62</v>
      </c>
      <c r="G36" s="92">
        <v>0</v>
      </c>
      <c r="H36" s="58">
        <f t="shared" ca="1" si="1"/>
        <v>7</v>
      </c>
      <c r="I36" s="92">
        <f t="shared" ca="1" si="0"/>
        <v>7</v>
      </c>
      <c r="J36" s="116"/>
    </row>
    <row r="37" spans="1:10" ht="16.8">
      <c r="A37" s="111" t="s">
        <v>56</v>
      </c>
      <c r="B37" s="112">
        <v>0</v>
      </c>
      <c r="C37" s="113" t="s">
        <v>32</v>
      </c>
      <c r="D37" s="114" t="str">
        <f>IF(C37="Str",'Personal File'!$C$8,IF(C37="Dex",'Personal File'!$C$9,IF(C37="Con",'Personal File'!$C$10,IF(C37="Int",'Personal File'!$C$11,IF(C37="Wis",'Personal File'!$C$12,IF(C37="Cha",'Personal File'!$C$13))))))</f>
        <v>+1</v>
      </c>
      <c r="E37" s="114" t="str">
        <f t="shared" si="2"/>
        <v>Int (+1)</v>
      </c>
      <c r="F37" s="115" t="s">
        <v>62</v>
      </c>
      <c r="G37" s="92">
        <v>0</v>
      </c>
      <c r="H37" s="58">
        <f t="shared" ca="1" si="1"/>
        <v>20</v>
      </c>
      <c r="I37" s="92">
        <f t="shared" ca="1" si="0"/>
        <v>20</v>
      </c>
      <c r="J37" s="139"/>
    </row>
    <row r="38" spans="1:10" ht="16.8">
      <c r="A38" s="117" t="s">
        <v>57</v>
      </c>
      <c r="B38" s="118">
        <v>9</v>
      </c>
      <c r="C38" s="119" t="s">
        <v>33</v>
      </c>
      <c r="D38" s="120" t="str">
        <f>IF(C38="Str",'Personal File'!$C$8,IF(C38="Dex",'Personal File'!$C$9,IF(C38="Con",'Personal File'!$C$10,IF(C38="Int",'Personal File'!$C$11,IF(C38="Wis",'Personal File'!$C$12,IF(C38="Cha",'Personal File'!$C$13))))))</f>
        <v>+2</v>
      </c>
      <c r="E38" s="120" t="str">
        <f t="shared" si="2"/>
        <v>Wis (+2)</v>
      </c>
      <c r="F38" s="121" t="s">
        <v>62</v>
      </c>
      <c r="G38" s="121">
        <f>B38+MID(E38,6,2)+F38</f>
        <v>11</v>
      </c>
      <c r="H38" s="58">
        <f t="shared" ca="1" si="1"/>
        <v>2</v>
      </c>
      <c r="I38" s="121">
        <f t="shared" ca="1" si="0"/>
        <v>13</v>
      </c>
      <c r="J38" s="122"/>
    </row>
    <row r="39" spans="1:10" ht="16.8">
      <c r="A39" s="117" t="s">
        <v>99</v>
      </c>
      <c r="B39" s="118">
        <v>13</v>
      </c>
      <c r="C39" s="119" t="s">
        <v>33</v>
      </c>
      <c r="D39" s="120" t="str">
        <f>IF(C39="Str",'Personal File'!$C$8,IF(C39="Dex",'Personal File'!$C$9,IF(C39="Con",'Personal File'!$C$10,IF(C39="Int",'Personal File'!$C$11,IF(C39="Wis",'Personal File'!$C$12,IF(C39="Cha",'Personal File'!$C$13))))))</f>
        <v>+2</v>
      </c>
      <c r="E39" s="120" t="str">
        <f t="shared" si="2"/>
        <v>Wis (+2)</v>
      </c>
      <c r="F39" s="121" t="s">
        <v>203</v>
      </c>
      <c r="G39" s="121">
        <f>B39+MID(E39,6,2)+F39</f>
        <v>13</v>
      </c>
      <c r="H39" s="58">
        <f t="shared" ca="1" si="1"/>
        <v>4</v>
      </c>
      <c r="I39" s="121">
        <f t="shared" ca="1" si="0"/>
        <v>17</v>
      </c>
      <c r="J39" s="369" t="s">
        <v>206</v>
      </c>
    </row>
    <row r="40" spans="1:10" ht="16.8">
      <c r="A40" s="231" t="s">
        <v>22</v>
      </c>
      <c r="B40" s="232">
        <v>2</v>
      </c>
      <c r="C40" s="233" t="s">
        <v>35</v>
      </c>
      <c r="D40" s="234" t="str">
        <f>IF(C40="Str",'Personal File'!$C$8,IF(C40="Dex",'Personal File'!$C$9,IF(C40="Con",'Personal File'!$C$10,IF(C40="Int",'Personal File'!$C$11,IF(C40="Wis",'Personal File'!$C$12,IF(C40="Cha",'Personal File'!$C$13))))))</f>
        <v>+7</v>
      </c>
      <c r="E40" s="234" t="str">
        <f t="shared" si="2"/>
        <v>Str (+7)</v>
      </c>
      <c r="F40" s="235" t="s">
        <v>62</v>
      </c>
      <c r="G40" s="235">
        <f>B40+MID(E40,6,2)+F40</f>
        <v>9</v>
      </c>
      <c r="H40" s="58">
        <f t="shared" ca="1" si="1"/>
        <v>3</v>
      </c>
      <c r="I40" s="235">
        <f t="shared" ca="1" si="0"/>
        <v>12</v>
      </c>
      <c r="J40" s="236"/>
    </row>
    <row r="41" spans="1:10" ht="16.8">
      <c r="A41" s="140" t="s">
        <v>58</v>
      </c>
      <c r="B41" s="112">
        <v>0</v>
      </c>
      <c r="C41" s="141" t="s">
        <v>34</v>
      </c>
      <c r="D41" s="142" t="str">
        <f>IF(C41="Str",'Personal File'!$C$8,IF(C41="Dex",'Personal File'!$C$9,IF(C41="Con",'Personal File'!$C$10,IF(C41="Int",'Personal File'!$C$11,IF(C41="Wis",'Personal File'!$C$12,IF(C41="Cha",'Personal File'!$C$13))))))</f>
        <v>+4</v>
      </c>
      <c r="E41" s="142" t="str">
        <f t="shared" si="2"/>
        <v>Dex (+4)</v>
      </c>
      <c r="F41" s="503">
        <f>-2+2</f>
        <v>0</v>
      </c>
      <c r="G41" s="92">
        <v>0</v>
      </c>
      <c r="H41" s="58">
        <f t="shared" ca="1" si="1"/>
        <v>4</v>
      </c>
      <c r="I41" s="92">
        <f t="shared" ca="1" si="0"/>
        <v>4</v>
      </c>
      <c r="J41" s="116"/>
    </row>
    <row r="42" spans="1:10" ht="16.8">
      <c r="A42" s="101" t="s">
        <v>59</v>
      </c>
      <c r="B42" s="88">
        <v>0</v>
      </c>
      <c r="C42" s="102" t="s">
        <v>30</v>
      </c>
      <c r="D42" s="103" t="str">
        <f>IF(C42="Str",'Personal File'!$C$8,IF(C42="Dex",'Personal File'!$C$9,IF(C42="Con",'Personal File'!$C$10,IF(C42="Int",'Personal File'!$C$11,IF(C42="Wis",'Personal File'!$C$12,IF(C42="Cha",'Personal File'!$C$13))))))</f>
        <v>+1</v>
      </c>
      <c r="E42" s="103" t="str">
        <f t="shared" si="2"/>
        <v>Cha (+1)</v>
      </c>
      <c r="F42" s="91" t="s">
        <v>62</v>
      </c>
      <c r="G42" s="92">
        <v>0</v>
      </c>
      <c r="H42" s="58">
        <f t="shared" ca="1" si="1"/>
        <v>9</v>
      </c>
      <c r="I42" s="92">
        <f t="shared" ca="1" si="0"/>
        <v>9</v>
      </c>
      <c r="J42" s="93"/>
    </row>
    <row r="43" spans="1:10" ht="17.399999999999999" thickBot="1">
      <c r="A43" s="143" t="s">
        <v>60</v>
      </c>
      <c r="B43" s="144">
        <v>0</v>
      </c>
      <c r="C43" s="145" t="s">
        <v>34</v>
      </c>
      <c r="D43" s="146" t="str">
        <f>IF(C43="Str",'Personal File'!$C$8,IF(C43="Dex",'Personal File'!$C$9,IF(C43="Con",'Personal File'!$C$10,IF(C43="Int",'Personal File'!$C$11,IF(C43="Wis",'Personal File'!$C$12,IF(C43="Cha",'Personal File'!$C$13))))))</f>
        <v>+4</v>
      </c>
      <c r="E43" s="146" t="str">
        <f t="shared" si="2"/>
        <v>Dex (+4)</v>
      </c>
      <c r="F43" s="147" t="s">
        <v>62</v>
      </c>
      <c r="G43" s="147">
        <f>B43+MID(E43,6,2)+F43</f>
        <v>4</v>
      </c>
      <c r="H43" s="148">
        <f t="shared" ca="1" si="1"/>
        <v>14</v>
      </c>
      <c r="I43" s="147">
        <f t="shared" ca="1" si="0"/>
        <v>18</v>
      </c>
      <c r="J43" s="149"/>
    </row>
    <row r="44" spans="1:10" ht="16.2" thickTop="1">
      <c r="B44" s="151">
        <f>SUM(B6:B43)</f>
        <v>60</v>
      </c>
      <c r="E44" s="151">
        <f>SUM(E45:E56)</f>
        <v>60</v>
      </c>
      <c r="F44" s="155"/>
    </row>
    <row r="45" spans="1:10">
      <c r="B45" s="151"/>
      <c r="E45" s="154">
        <f>(2+'Personal File'!$C$11)*4</f>
        <v>12</v>
      </c>
      <c r="F45" s="155" t="s">
        <v>131</v>
      </c>
    </row>
    <row r="46" spans="1:10">
      <c r="E46" s="156">
        <f>2+'Personal File'!$C$11</f>
        <v>3</v>
      </c>
      <c r="F46" s="155" t="s">
        <v>132</v>
      </c>
    </row>
    <row r="47" spans="1:10">
      <c r="E47" s="242">
        <v>0</v>
      </c>
      <c r="F47" s="155" t="s">
        <v>133</v>
      </c>
    </row>
    <row r="48" spans="1:10">
      <c r="E48" s="156">
        <f>2+'Personal File'!$C$11</f>
        <v>3</v>
      </c>
      <c r="F48" s="155" t="s">
        <v>134</v>
      </c>
    </row>
    <row r="49" spans="5:6">
      <c r="E49" s="242">
        <v>0</v>
      </c>
      <c r="F49" s="155" t="s">
        <v>235</v>
      </c>
    </row>
    <row r="50" spans="5:6">
      <c r="E50" s="156">
        <f>6+'Personal File'!$C$11</f>
        <v>7</v>
      </c>
      <c r="F50" s="155" t="s">
        <v>143</v>
      </c>
    </row>
    <row r="51" spans="5:6">
      <c r="E51" s="156">
        <f>6+'Personal File'!$C$11</f>
        <v>7</v>
      </c>
      <c r="F51" s="155" t="s">
        <v>148</v>
      </c>
    </row>
    <row r="52" spans="5:6">
      <c r="E52" s="156">
        <f>6+'Personal File'!$C$11</f>
        <v>7</v>
      </c>
      <c r="F52" s="155" t="s">
        <v>168</v>
      </c>
    </row>
    <row r="53" spans="5:6">
      <c r="E53" s="156">
        <f>6+'Personal File'!$C$11</f>
        <v>7</v>
      </c>
      <c r="F53" s="155" t="s">
        <v>169</v>
      </c>
    </row>
    <row r="54" spans="5:6">
      <c r="E54" s="156">
        <f>6+'Personal File'!$C$11</f>
        <v>7</v>
      </c>
      <c r="F54" s="155" t="s">
        <v>209</v>
      </c>
    </row>
    <row r="55" spans="5:6">
      <c r="E55" s="156">
        <f>6+'Personal File'!$C$11</f>
        <v>7</v>
      </c>
      <c r="F55" s="155" t="s">
        <v>240</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showGridLines="0" workbookViewId="0"/>
  </sheetViews>
  <sheetFormatPr defaultColWidth="9.09765625" defaultRowHeight="15.6"/>
  <cols>
    <col min="1" max="1" width="23.19921875" style="158" bestFit="1" customWidth="1"/>
    <col min="2" max="2" width="6.19921875" style="158" bestFit="1" customWidth="1"/>
    <col min="3" max="3" width="4.09765625" style="158" bestFit="1" customWidth="1"/>
    <col min="4" max="4" width="6.3984375" style="158" bestFit="1" customWidth="1"/>
    <col min="5" max="5" width="4.19921875" style="158" customWidth="1"/>
    <col min="6" max="6" width="16.5" style="158" bestFit="1" customWidth="1"/>
    <col min="7" max="10" width="4.8984375" style="158" customWidth="1"/>
    <col min="11" max="11" width="3" style="158" customWidth="1"/>
    <col min="12" max="12" width="24.09765625" style="164" bestFit="1" customWidth="1"/>
    <col min="13" max="13" width="2.5" style="168" customWidth="1"/>
    <col min="14" max="14" width="35.09765625" style="158" bestFit="1" customWidth="1"/>
    <col min="15" max="16384" width="9.09765625" style="158"/>
  </cols>
  <sheetData>
    <row r="1" spans="1:14" ht="24" thickTop="1" thickBot="1">
      <c r="A1" s="335" t="s">
        <v>201</v>
      </c>
      <c r="B1" s="336"/>
      <c r="C1" s="336"/>
      <c r="D1" s="337"/>
      <c r="F1" s="347" t="s">
        <v>190</v>
      </c>
      <c r="G1" s="347"/>
      <c r="H1" s="348"/>
      <c r="I1" s="345"/>
      <c r="J1" s="349"/>
      <c r="L1" s="157" t="s">
        <v>103</v>
      </c>
      <c r="M1" s="158"/>
      <c r="N1" s="157" t="s">
        <v>104</v>
      </c>
    </row>
    <row r="2" spans="1:14" ht="17.399999999999999" thickTop="1">
      <c r="A2" s="338" t="s">
        <v>186</v>
      </c>
      <c r="B2" s="339" t="s">
        <v>156</v>
      </c>
      <c r="C2" s="339" t="s">
        <v>188</v>
      </c>
      <c r="D2" s="340" t="s">
        <v>189</v>
      </c>
      <c r="F2" s="346"/>
      <c r="G2" s="350" t="s">
        <v>191</v>
      </c>
      <c r="H2" s="351"/>
      <c r="I2" s="352"/>
      <c r="J2" s="353"/>
      <c r="L2" s="159" t="s">
        <v>92</v>
      </c>
      <c r="M2" s="158"/>
      <c r="N2" s="160" t="s">
        <v>114</v>
      </c>
    </row>
    <row r="3" spans="1:14" ht="17.399999999999999" thickBot="1">
      <c r="A3" s="505" t="s">
        <v>199</v>
      </c>
      <c r="B3" s="506">
        <v>1</v>
      </c>
      <c r="C3" s="507">
        <f>10+B3+'Personal File'!$C$12</f>
        <v>13</v>
      </c>
      <c r="D3" s="508" t="s">
        <v>200</v>
      </c>
      <c r="F3" s="346"/>
      <c r="G3" s="354" t="s">
        <v>192</v>
      </c>
      <c r="H3" s="355" t="s">
        <v>193</v>
      </c>
      <c r="I3" s="355" t="s">
        <v>194</v>
      </c>
      <c r="J3" s="356" t="s">
        <v>195</v>
      </c>
      <c r="L3" s="161" t="s">
        <v>106</v>
      </c>
      <c r="M3" s="158"/>
      <c r="N3" s="160" t="s">
        <v>138</v>
      </c>
    </row>
    <row r="4" spans="1:14" ht="18" thickTop="1" thickBot="1">
      <c r="A4" s="341" t="s">
        <v>238</v>
      </c>
      <c r="B4" s="342">
        <v>1</v>
      </c>
      <c r="C4" s="343">
        <f>10+B4+'Personal File'!$C$12</f>
        <v>13</v>
      </c>
      <c r="D4" s="344" t="s">
        <v>200</v>
      </c>
      <c r="F4" s="357" t="s">
        <v>197</v>
      </c>
      <c r="G4" s="358">
        <v>1</v>
      </c>
      <c r="H4" s="359">
        <v>0</v>
      </c>
      <c r="I4" s="359">
        <v>0</v>
      </c>
      <c r="J4" s="360">
        <v>0</v>
      </c>
      <c r="L4" s="163" t="s">
        <v>122</v>
      </c>
      <c r="M4" s="158"/>
      <c r="N4" s="160" t="s">
        <v>165</v>
      </c>
    </row>
    <row r="5" spans="1:14" ht="18" thickTop="1" thickBot="1">
      <c r="F5" s="361" t="s">
        <v>198</v>
      </c>
      <c r="G5" s="362">
        <v>1</v>
      </c>
      <c r="H5" s="363">
        <v>0</v>
      </c>
      <c r="I5" s="363">
        <v>0</v>
      </c>
      <c r="J5" s="364">
        <v>0</v>
      </c>
      <c r="M5" s="158"/>
      <c r="N5" s="162" t="s">
        <v>211</v>
      </c>
    </row>
    <row r="6" spans="1:14" ht="24" thickTop="1" thickBot="1">
      <c r="F6" s="365" t="s">
        <v>196</v>
      </c>
      <c r="G6" s="366">
        <f t="shared" ref="G6:J6" si="0">SUM(G4:G5)</f>
        <v>2</v>
      </c>
      <c r="H6" s="367">
        <f t="shared" si="0"/>
        <v>0</v>
      </c>
      <c r="I6" s="367">
        <f t="shared" si="0"/>
        <v>0</v>
      </c>
      <c r="J6" s="368">
        <f t="shared" si="0"/>
        <v>0</v>
      </c>
      <c r="L6" s="223" t="s">
        <v>140</v>
      </c>
      <c r="M6" s="158"/>
    </row>
    <row r="7" spans="1:14" ht="24" thickTop="1" thickBot="1">
      <c r="L7" s="159" t="s">
        <v>144</v>
      </c>
      <c r="M7" s="158"/>
      <c r="N7" s="5" t="s">
        <v>105</v>
      </c>
    </row>
    <row r="8" spans="1:14" ht="16.8">
      <c r="F8" s="168" t="s">
        <v>243</v>
      </c>
      <c r="G8" s="504">
        <f>ROUNDDOWN('Personal File'!E4/2,0)</f>
        <v>3</v>
      </c>
      <c r="L8" s="161" t="s">
        <v>210</v>
      </c>
      <c r="M8" s="158"/>
      <c r="N8" s="165" t="s">
        <v>202</v>
      </c>
    </row>
    <row r="9" spans="1:14" ht="17.399999999999999" thickBot="1">
      <c r="L9" s="161" t="s">
        <v>147</v>
      </c>
      <c r="M9" s="158"/>
      <c r="N9" s="167" t="s">
        <v>135</v>
      </c>
    </row>
    <row r="10" spans="1:14" ht="18" thickTop="1" thickBot="1">
      <c r="L10" s="161" t="s">
        <v>239</v>
      </c>
      <c r="M10" s="158"/>
    </row>
    <row r="11" spans="1:14" ht="19.2" thickTop="1" thickBot="1">
      <c r="L11" s="237" t="s">
        <v>141</v>
      </c>
      <c r="M11" s="158"/>
      <c r="N11" s="1" t="s">
        <v>77</v>
      </c>
    </row>
    <row r="12" spans="1:14" ht="17.399999999999999" thickBot="1">
      <c r="L12" s="237" t="s">
        <v>164</v>
      </c>
      <c r="M12" s="158"/>
      <c r="N12" s="166" t="s">
        <v>107</v>
      </c>
    </row>
    <row r="13" spans="1:14" ht="18" thickTop="1" thickBot="1">
      <c r="L13" s="224" t="s">
        <v>142</v>
      </c>
    </row>
    <row r="14" spans="1:14" ht="16.2" thickTop="1"/>
  </sheetData>
  <phoneticPr fontId="0" type="noConversion"/>
  <conditionalFormatting sqref="D3">
    <cfRule type="cellIs" dxfId="18" priority="2" stopIfTrue="1" operator="equal">
      <formula>"þ"</formula>
    </cfRule>
  </conditionalFormatting>
  <conditionalFormatting sqref="D4">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6"/>
  <cols>
    <col min="1" max="1" width="32.59765625" style="154" bestFit="1" customWidth="1"/>
    <col min="2" max="2" width="8.59765625" style="154" customWidth="1"/>
    <col min="3" max="3" width="8.8984375" style="154" bestFit="1" customWidth="1"/>
    <col min="4" max="4" width="8" style="154" customWidth="1"/>
    <col min="5" max="5" width="9.5" style="154" customWidth="1"/>
    <col min="6" max="6" width="8" style="154" bestFit="1" customWidth="1"/>
    <col min="7" max="7" width="8.8984375" style="154" bestFit="1" customWidth="1"/>
    <col min="8" max="8" width="4" style="154" bestFit="1" customWidth="1"/>
    <col min="9" max="9" width="5.59765625" style="154" bestFit="1" customWidth="1"/>
    <col min="10" max="10" width="6.19921875" style="154" bestFit="1" customWidth="1"/>
    <col min="11" max="11" width="20.09765625" style="154" bestFit="1" customWidth="1"/>
    <col min="12" max="12" width="2.59765625" style="47" customWidth="1"/>
    <col min="13" max="13" width="7.3984375" style="47" bestFit="1" customWidth="1"/>
    <col min="14" max="14" width="7.69921875" style="154" bestFit="1" customWidth="1"/>
    <col min="15" max="16384" width="13" style="47"/>
  </cols>
  <sheetData>
    <row r="1" spans="1:13" ht="23.4" thickBot="1">
      <c r="A1" s="169" t="s">
        <v>23</v>
      </c>
      <c r="B1" s="169"/>
      <c r="C1" s="169"/>
      <c r="D1" s="169"/>
      <c r="E1" s="169"/>
      <c r="F1" s="169"/>
      <c r="G1" s="169"/>
      <c r="H1" s="169"/>
      <c r="I1" s="169"/>
      <c r="J1" s="169"/>
      <c r="K1" s="169"/>
    </row>
    <row r="2" spans="1:13" ht="16.8" thickTop="1" thickBot="1">
      <c r="A2" s="170" t="s">
        <v>5</v>
      </c>
      <c r="B2" s="171" t="s">
        <v>6</v>
      </c>
      <c r="C2" s="171" t="s">
        <v>25</v>
      </c>
      <c r="D2" s="171" t="s">
        <v>26</v>
      </c>
      <c r="E2" s="172" t="s">
        <v>68</v>
      </c>
      <c r="F2" s="171" t="s">
        <v>24</v>
      </c>
      <c r="G2" s="171" t="s">
        <v>27</v>
      </c>
      <c r="H2" s="173" t="s">
        <v>121</v>
      </c>
      <c r="I2" s="174" t="s">
        <v>102</v>
      </c>
      <c r="J2" s="175" t="s">
        <v>83</v>
      </c>
      <c r="K2" s="176" t="s">
        <v>4</v>
      </c>
      <c r="M2" s="177" t="s">
        <v>127</v>
      </c>
    </row>
    <row r="3" spans="1:13">
      <c r="A3" s="466" t="s">
        <v>152</v>
      </c>
      <c r="B3" s="439" t="s">
        <v>161</v>
      </c>
      <c r="C3" s="440" t="s">
        <v>162</v>
      </c>
      <c r="D3" s="467">
        <v>1</v>
      </c>
      <c r="E3" s="467" t="s">
        <v>96</v>
      </c>
      <c r="F3" s="468" t="s">
        <v>163</v>
      </c>
      <c r="G3" s="469">
        <v>12</v>
      </c>
      <c r="H3" s="470" t="str">
        <f>CONCATENATE("+",RIGHT('Personal File'!$B$6,1)+RIGHT('Personal File'!$C$8)+D3)</f>
        <v>+16</v>
      </c>
      <c r="I3" s="443">
        <f t="shared" ref="I3:I4" ca="1" si="0">RANDBETWEEN(1,20)</f>
        <v>19</v>
      </c>
      <c r="J3" s="444">
        <f t="shared" ref="J3:J5" ca="1" si="1">I3+H3</f>
        <v>35</v>
      </c>
      <c r="K3" s="486" t="s">
        <v>230</v>
      </c>
      <c r="M3" s="416">
        <v>2000</v>
      </c>
    </row>
    <row r="4" spans="1:13">
      <c r="A4" s="471" t="s">
        <v>217</v>
      </c>
      <c r="B4" s="451" t="s">
        <v>161</v>
      </c>
      <c r="C4" s="472"/>
      <c r="D4" s="473"/>
      <c r="E4" s="473"/>
      <c r="F4" s="474"/>
      <c r="G4" s="475"/>
      <c r="H4" s="476" t="str">
        <f>CONCATENATE("+",H3-5)</f>
        <v>+11</v>
      </c>
      <c r="I4" s="455">
        <f t="shared" ca="1" si="0"/>
        <v>20</v>
      </c>
      <c r="J4" s="456">
        <f t="shared" ca="1" si="1"/>
        <v>31</v>
      </c>
      <c r="K4" s="487" t="s">
        <v>230</v>
      </c>
      <c r="M4" s="417"/>
    </row>
    <row r="5" spans="1:13">
      <c r="A5" s="477" t="s">
        <v>221</v>
      </c>
      <c r="B5" s="478" t="s">
        <v>222</v>
      </c>
      <c r="C5" s="478">
        <v>1</v>
      </c>
      <c r="D5" s="479">
        <v>1</v>
      </c>
      <c r="E5" s="478" t="s">
        <v>223</v>
      </c>
      <c r="F5" s="478" t="s">
        <v>224</v>
      </c>
      <c r="G5" s="478">
        <v>0.25</v>
      </c>
      <c r="H5" s="480" t="str">
        <f>CONCATENATE("+",RIGHT('Personal File'!$B$6,1)+RIGHT('Personal File'!$C$8)+D5)</f>
        <v>+16</v>
      </c>
      <c r="I5" s="481">
        <f t="shared" ref="I5:I6" ca="1" si="2">RANDBETWEEN(1,20)</f>
        <v>5</v>
      </c>
      <c r="J5" s="482">
        <f t="shared" ca="1" si="1"/>
        <v>21</v>
      </c>
      <c r="K5" s="488" t="s">
        <v>230</v>
      </c>
      <c r="M5" s="417"/>
    </row>
    <row r="6" spans="1:13">
      <c r="A6" s="477" t="s">
        <v>207</v>
      </c>
      <c r="B6" s="478" t="s">
        <v>151</v>
      </c>
      <c r="C6" s="478" t="s">
        <v>151</v>
      </c>
      <c r="D6" s="479" t="s">
        <v>62</v>
      </c>
      <c r="E6" s="478" t="s">
        <v>151</v>
      </c>
      <c r="F6" s="478" t="s">
        <v>151</v>
      </c>
      <c r="G6" s="478" t="s">
        <v>151</v>
      </c>
      <c r="H6" s="480" t="str">
        <f>CONCATENATE("+",RIGHT('Personal File'!$B$6,1)+RIGHT('Personal File'!$C$8)+D6)</f>
        <v>+15</v>
      </c>
      <c r="I6" s="481">
        <f t="shared" ca="1" si="2"/>
        <v>10</v>
      </c>
      <c r="J6" s="482">
        <f t="shared" ref="J6" ca="1" si="3">I6+H6</f>
        <v>25</v>
      </c>
      <c r="K6" s="488" t="s">
        <v>230</v>
      </c>
      <c r="M6" s="417"/>
    </row>
    <row r="7" spans="1:13" ht="16.2" thickBot="1">
      <c r="A7" s="408" t="s">
        <v>216</v>
      </c>
      <c r="B7" s="409" t="s">
        <v>108</v>
      </c>
      <c r="C7" s="483" t="str">
        <f>'Personal File'!$C$8</f>
        <v>+7</v>
      </c>
      <c r="D7" s="460">
        <v>0</v>
      </c>
      <c r="E7" s="484" t="s">
        <v>109</v>
      </c>
      <c r="F7" s="409" t="s">
        <v>88</v>
      </c>
      <c r="G7" s="463">
        <v>0</v>
      </c>
      <c r="H7" s="485" t="str">
        <f>CONCATENATE("+",RIGHT('Personal File'!$B$6,1)+RIGHT('Personal File'!$C$8)+D7)</f>
        <v>+15</v>
      </c>
      <c r="I7" s="464">
        <f t="shared" ref="I7" ca="1" si="4">RANDBETWEEN(1,20)</f>
        <v>10</v>
      </c>
      <c r="J7" s="465">
        <f t="shared" ref="J7" ca="1" si="5">I7+H7</f>
        <v>25</v>
      </c>
      <c r="K7" s="489" t="s">
        <v>230</v>
      </c>
      <c r="M7" s="418"/>
    </row>
    <row r="8" spans="1:13" ht="6" customHeight="1" thickTop="1" thickBot="1">
      <c r="M8" s="222"/>
    </row>
    <row r="9" spans="1:13" ht="16.8" thickTop="1" thickBot="1">
      <c r="A9" s="170" t="s">
        <v>8</v>
      </c>
      <c r="B9" s="171" t="s">
        <v>6</v>
      </c>
      <c r="C9" s="171" t="s">
        <v>25</v>
      </c>
      <c r="D9" s="171" t="s">
        <v>26</v>
      </c>
      <c r="E9" s="172" t="s">
        <v>68</v>
      </c>
      <c r="F9" s="171" t="s">
        <v>9</v>
      </c>
      <c r="G9" s="171" t="s">
        <v>27</v>
      </c>
      <c r="H9" s="173" t="s">
        <v>121</v>
      </c>
      <c r="I9" s="178" t="s">
        <v>102</v>
      </c>
      <c r="J9" s="173" t="s">
        <v>83</v>
      </c>
      <c r="K9" s="176" t="s">
        <v>4</v>
      </c>
      <c r="M9" s="419" t="s">
        <v>127</v>
      </c>
    </row>
    <row r="10" spans="1:13">
      <c r="A10" s="438" t="s">
        <v>231</v>
      </c>
      <c r="B10" s="439" t="s">
        <v>86</v>
      </c>
      <c r="C10" s="440" t="str">
        <f>IF('Personal File'!$C$8&gt;4,"+4",'Personal File'!$C$8)</f>
        <v>+4</v>
      </c>
      <c r="D10" s="441">
        <f>1+2</f>
        <v>3</v>
      </c>
      <c r="E10" s="439" t="s">
        <v>96</v>
      </c>
      <c r="F10" s="441" t="str">
        <f t="shared" ref="F10:F14" si="6">CONCATENATE(110*1.5,"’")</f>
        <v>165’</v>
      </c>
      <c r="G10" s="442">
        <v>3</v>
      </c>
      <c r="H10" s="442" t="str">
        <f>CONCATENATE("+",RIGHT('Personal File'!$B$6,1)+RIGHT('Personal File'!$C$9)+D10-2+1)</f>
        <v>+14</v>
      </c>
      <c r="I10" s="443">
        <f t="shared" ref="I10:I14" ca="1" si="7">RANDBETWEEN(1,20)</f>
        <v>5</v>
      </c>
      <c r="J10" s="444">
        <f t="shared" ref="J10:J16" ca="1" si="8">I10+H10</f>
        <v>19</v>
      </c>
      <c r="K10" s="486" t="s">
        <v>208</v>
      </c>
      <c r="M10" s="420">
        <v>18800</v>
      </c>
    </row>
    <row r="11" spans="1:13">
      <c r="A11" s="436" t="s">
        <v>218</v>
      </c>
      <c r="B11" s="437" t="s">
        <v>86</v>
      </c>
      <c r="C11" s="445" t="str">
        <f>IF('Personal File'!$C$8&gt;4,"+4",'Personal File'!$C$8)</f>
        <v>+4</v>
      </c>
      <c r="D11" s="446">
        <f t="shared" ref="D11:D14" si="9">1+2</f>
        <v>3</v>
      </c>
      <c r="E11" s="393"/>
      <c r="F11" s="394"/>
      <c r="G11" s="395"/>
      <c r="H11" s="447" t="str">
        <f>CONCATENATE("+",RIGHT('Personal File'!$B$6,1)+RIGHT('Personal File'!$C$9)+D11-2+1-5)</f>
        <v>+9</v>
      </c>
      <c r="I11" s="448">
        <f t="shared" ca="1" si="7"/>
        <v>4</v>
      </c>
      <c r="J11" s="449">
        <f t="shared" ref="J11" ca="1" si="10">I11+H11</f>
        <v>13</v>
      </c>
      <c r="K11" s="490" t="s">
        <v>208</v>
      </c>
      <c r="M11" s="417"/>
    </row>
    <row r="12" spans="1:13">
      <c r="A12" s="436" t="s">
        <v>219</v>
      </c>
      <c r="B12" s="437" t="s">
        <v>86</v>
      </c>
      <c r="C12" s="445" t="str">
        <f>IF('Personal File'!$C$8&gt;4,"+4",'Personal File'!$C$8)</f>
        <v>+4</v>
      </c>
      <c r="D12" s="446">
        <f t="shared" si="9"/>
        <v>3</v>
      </c>
      <c r="E12" s="393"/>
      <c r="F12" s="394"/>
      <c r="G12" s="395"/>
      <c r="H12" s="447" t="str">
        <f>CONCATENATE("+",RIGHT('Personal File'!$B$6,1)+RIGHT('Personal File'!$C$9)+D12-2+1)</f>
        <v>+14</v>
      </c>
      <c r="I12" s="448">
        <f t="shared" ca="1" si="7"/>
        <v>6</v>
      </c>
      <c r="J12" s="449">
        <f t="shared" ca="1" si="8"/>
        <v>20</v>
      </c>
      <c r="K12" s="490" t="s">
        <v>208</v>
      </c>
      <c r="M12" s="417"/>
    </row>
    <row r="13" spans="1:13">
      <c r="A13" s="450" t="s">
        <v>220</v>
      </c>
      <c r="B13" s="451" t="s">
        <v>86</v>
      </c>
      <c r="C13" s="452" t="str">
        <f>IF('Personal File'!$C$8&gt;4,"+4",'Personal File'!$C$8)</f>
        <v>+4</v>
      </c>
      <c r="D13" s="453">
        <f t="shared" si="9"/>
        <v>3</v>
      </c>
      <c r="E13" s="396"/>
      <c r="F13" s="397"/>
      <c r="G13" s="398"/>
      <c r="H13" s="454" t="str">
        <f>CONCATENATE("+",RIGHT('Personal File'!$B$6,1)+RIGHT('Personal File'!$C$9)+D13-2+1)</f>
        <v>+14</v>
      </c>
      <c r="I13" s="455">
        <f t="shared" ca="1" si="7"/>
        <v>14</v>
      </c>
      <c r="J13" s="456">
        <f t="shared" ref="J13" ca="1" si="11">I13+H13</f>
        <v>28</v>
      </c>
      <c r="K13" s="487" t="s">
        <v>208</v>
      </c>
      <c r="M13" s="417"/>
    </row>
    <row r="14" spans="1:13">
      <c r="A14" s="450" t="s">
        <v>231</v>
      </c>
      <c r="B14" s="451" t="s">
        <v>86</v>
      </c>
      <c r="C14" s="452" t="str">
        <f>IF('Personal File'!$C$8&gt;4,"+4",'Personal File'!$C$8)</f>
        <v>+4</v>
      </c>
      <c r="D14" s="453">
        <f t="shared" si="9"/>
        <v>3</v>
      </c>
      <c r="E14" s="451" t="s">
        <v>96</v>
      </c>
      <c r="F14" s="457" t="str">
        <f t="shared" si="6"/>
        <v>165’</v>
      </c>
      <c r="G14" s="454">
        <v>3</v>
      </c>
      <c r="H14" s="454" t="str">
        <f>CONCATENATE("+",RIGHT('Personal File'!$B$6,1)+RIGHT('Personal File'!$C$9)+D14+1)</f>
        <v>+16</v>
      </c>
      <c r="I14" s="455">
        <f t="shared" ca="1" si="7"/>
        <v>19</v>
      </c>
      <c r="J14" s="456">
        <f t="shared" ref="J14" ca="1" si="12">I14+H14</f>
        <v>35</v>
      </c>
      <c r="K14" s="487" t="s">
        <v>208</v>
      </c>
      <c r="M14" s="491"/>
    </row>
    <row r="15" spans="1:13">
      <c r="A15" s="436" t="s">
        <v>233</v>
      </c>
      <c r="B15" s="437" t="s">
        <v>151</v>
      </c>
      <c r="C15" s="458" t="s">
        <v>146</v>
      </c>
      <c r="D15" s="446" t="s">
        <v>151</v>
      </c>
      <c r="E15" s="437" t="s">
        <v>151</v>
      </c>
      <c r="F15" s="459" t="s">
        <v>151</v>
      </c>
      <c r="G15" s="447" t="s">
        <v>151</v>
      </c>
      <c r="H15" s="447" t="s">
        <v>151</v>
      </c>
      <c r="I15" s="448" t="s">
        <v>151</v>
      </c>
      <c r="J15" s="449" t="s">
        <v>151</v>
      </c>
      <c r="K15" s="490" t="s">
        <v>151</v>
      </c>
      <c r="M15" s="423">
        <v>3000</v>
      </c>
    </row>
    <row r="16" spans="1:13" ht="16.2" thickBot="1">
      <c r="A16" s="408" t="s">
        <v>229</v>
      </c>
      <c r="B16" s="460" t="s">
        <v>146</v>
      </c>
      <c r="C16" s="461" t="s">
        <v>62</v>
      </c>
      <c r="D16" s="279" t="s">
        <v>62</v>
      </c>
      <c r="E16" s="460" t="s">
        <v>109</v>
      </c>
      <c r="F16" s="462" t="str">
        <f>CONCATENATE(10*2,"’")</f>
        <v>20’</v>
      </c>
      <c r="G16" s="463">
        <f>2*RIGHT(A16,1)</f>
        <v>10</v>
      </c>
      <c r="H16" s="412" t="str">
        <f>CONCATENATE("+",RIGHT('Personal File'!$B$6,1)+RIGHT('Personal File'!$C$9)+D16)</f>
        <v>+12</v>
      </c>
      <c r="I16" s="464">
        <f t="shared" ref="I16" ca="1" si="13">RANDBETWEEN(1,20)</f>
        <v>8</v>
      </c>
      <c r="J16" s="465">
        <f t="shared" ca="1" si="8"/>
        <v>20</v>
      </c>
      <c r="K16" s="489" t="s">
        <v>208</v>
      </c>
      <c r="L16" s="247"/>
      <c r="M16" s="421">
        <f>10*G16</f>
        <v>100</v>
      </c>
    </row>
    <row r="17" spans="1:13" ht="6" customHeight="1" thickTop="1" thickBot="1">
      <c r="D17" s="179"/>
      <c r="E17" s="179"/>
      <c r="G17" s="180"/>
      <c r="H17" s="180"/>
      <c r="I17" s="180"/>
      <c r="J17" s="180"/>
      <c r="M17" s="222"/>
    </row>
    <row r="18" spans="1:13" ht="16.8" thickTop="1" thickBot="1">
      <c r="A18" s="170" t="s">
        <v>72</v>
      </c>
      <c r="B18" s="171" t="s">
        <v>17</v>
      </c>
      <c r="C18" s="171" t="s">
        <v>34</v>
      </c>
      <c r="D18" s="171" t="s">
        <v>83</v>
      </c>
      <c r="E18" s="171" t="s">
        <v>84</v>
      </c>
      <c r="F18" s="171" t="s">
        <v>85</v>
      </c>
      <c r="G18" s="171" t="s">
        <v>27</v>
      </c>
      <c r="H18" s="181" t="s">
        <v>81</v>
      </c>
      <c r="I18" s="182"/>
      <c r="J18" s="182"/>
      <c r="K18" s="183"/>
      <c r="M18" s="419" t="s">
        <v>127</v>
      </c>
    </row>
    <row r="19" spans="1:13">
      <c r="A19" s="429" t="s">
        <v>215</v>
      </c>
      <c r="B19" s="430">
        <v>5</v>
      </c>
      <c r="C19" s="431">
        <v>4</v>
      </c>
      <c r="D19" s="267">
        <v>-2</v>
      </c>
      <c r="E19" s="432">
        <v>0.2</v>
      </c>
      <c r="F19" s="433" t="s">
        <v>118</v>
      </c>
      <c r="G19" s="434">
        <v>20</v>
      </c>
      <c r="H19" s="435"/>
      <c r="I19" s="185"/>
      <c r="J19" s="185"/>
      <c r="K19" s="186"/>
      <c r="M19" s="422">
        <v>3200</v>
      </c>
    </row>
    <row r="20" spans="1:13" ht="16.2" thickBot="1">
      <c r="A20" s="408" t="s">
        <v>232</v>
      </c>
      <c r="B20" s="409">
        <v>1</v>
      </c>
      <c r="C20" s="410" t="s">
        <v>151</v>
      </c>
      <c r="D20" s="409" t="s">
        <v>151</v>
      </c>
      <c r="E20" s="411" t="s">
        <v>151</v>
      </c>
      <c r="F20" s="409" t="s">
        <v>151</v>
      </c>
      <c r="G20" s="412">
        <v>0</v>
      </c>
      <c r="H20" s="413"/>
      <c r="I20" s="187"/>
      <c r="J20" s="187"/>
      <c r="K20" s="188"/>
      <c r="L20" s="414"/>
      <c r="M20" s="415">
        <v>2000</v>
      </c>
    </row>
    <row r="21" spans="1:13" ht="6.75" customHeight="1" thickTop="1" thickBot="1">
      <c r="M21" s="222"/>
    </row>
    <row r="22" spans="1:13" ht="16.8" thickTop="1" thickBot="1">
      <c r="A22" s="189"/>
      <c r="B22" s="180"/>
      <c r="D22" s="190" t="s">
        <v>73</v>
      </c>
      <c r="E22" s="191"/>
      <c r="F22" s="181" t="s">
        <v>7</v>
      </c>
      <c r="G22" s="171" t="s">
        <v>27</v>
      </c>
      <c r="H22" s="173" t="s">
        <v>121</v>
      </c>
      <c r="I22" s="181" t="s">
        <v>81</v>
      </c>
      <c r="J22" s="182"/>
      <c r="K22" s="183"/>
      <c r="M22" s="419" t="s">
        <v>127</v>
      </c>
    </row>
    <row r="23" spans="1:13">
      <c r="A23" s="189"/>
      <c r="B23" s="180"/>
      <c r="D23" s="373" t="s">
        <v>145</v>
      </c>
      <c r="E23" s="374"/>
      <c r="F23" s="379">
        <v>100</v>
      </c>
      <c r="G23" s="184">
        <f t="shared" ref="G23" si="14">F23/10</f>
        <v>10</v>
      </c>
      <c r="H23" s="380" t="s">
        <v>150</v>
      </c>
      <c r="I23" s="375" t="s">
        <v>213</v>
      </c>
      <c r="J23" s="376"/>
      <c r="K23" s="268"/>
      <c r="M23" s="420">
        <f t="shared" ref="M23:M24" si="15">F23/20</f>
        <v>5</v>
      </c>
    </row>
    <row r="24" spans="1:13">
      <c r="A24" s="189"/>
      <c r="B24" s="180"/>
      <c r="D24" s="384" t="s">
        <v>212</v>
      </c>
      <c r="E24" s="385"/>
      <c r="F24" s="386">
        <v>40</v>
      </c>
      <c r="G24" s="387">
        <f>F24/5</f>
        <v>8</v>
      </c>
      <c r="H24" s="388" t="s">
        <v>150</v>
      </c>
      <c r="I24" s="389" t="s">
        <v>214</v>
      </c>
      <c r="J24" s="390"/>
      <c r="K24" s="391"/>
      <c r="M24" s="424">
        <f t="shared" si="15"/>
        <v>2</v>
      </c>
    </row>
    <row r="25" spans="1:13" ht="16.2" thickBot="1">
      <c r="A25" s="189"/>
      <c r="B25" s="180"/>
      <c r="D25" s="377"/>
      <c r="E25" s="378"/>
      <c r="F25" s="381"/>
      <c r="G25" s="382"/>
      <c r="H25" s="246"/>
      <c r="I25" s="392"/>
      <c r="J25" s="192"/>
      <c r="K25" s="188"/>
      <c r="M25" s="415"/>
    </row>
    <row r="26" spans="1:13" ht="16.8" thickTop="1" thickBot="1">
      <c r="A26" s="189"/>
      <c r="B26" s="180"/>
      <c r="D26" s="249"/>
      <c r="E26" s="250"/>
      <c r="F26" s="250"/>
      <c r="G26" s="251"/>
      <c r="H26" s="252"/>
      <c r="I26" s="253"/>
      <c r="J26" s="253"/>
      <c r="K26" s="249"/>
      <c r="M26" s="425"/>
    </row>
    <row r="27" spans="1:13" ht="16.8" thickTop="1" thickBot="1">
      <c r="A27" s="189"/>
      <c r="B27" s="180"/>
      <c r="D27" s="190" t="s">
        <v>155</v>
      </c>
      <c r="E27" s="182"/>
      <c r="F27" s="182"/>
      <c r="G27" s="182"/>
      <c r="H27" s="254" t="s">
        <v>7</v>
      </c>
      <c r="I27" s="254" t="s">
        <v>156</v>
      </c>
      <c r="J27" s="254" t="s">
        <v>157</v>
      </c>
      <c r="K27" s="183" t="s">
        <v>81</v>
      </c>
      <c r="L27" s="248"/>
      <c r="M27" s="419" t="s">
        <v>127</v>
      </c>
    </row>
    <row r="28" spans="1:13">
      <c r="A28" s="189"/>
      <c r="B28" s="180"/>
      <c r="D28" s="264" t="s">
        <v>226</v>
      </c>
      <c r="E28" s="265"/>
      <c r="F28" s="265"/>
      <c r="G28" s="280"/>
      <c r="H28" s="266">
        <v>1</v>
      </c>
      <c r="I28" s="267">
        <v>1</v>
      </c>
      <c r="J28" s="267">
        <v>1</v>
      </c>
      <c r="K28" s="268" t="s">
        <v>236</v>
      </c>
      <c r="L28" s="248"/>
      <c r="M28" s="420">
        <v>750</v>
      </c>
    </row>
    <row r="29" spans="1:13">
      <c r="A29" s="189"/>
      <c r="B29" s="180"/>
      <c r="D29" s="269" t="s">
        <v>167</v>
      </c>
      <c r="E29" s="270"/>
      <c r="F29" s="270"/>
      <c r="G29" s="281"/>
      <c r="H29" s="271">
        <v>0</v>
      </c>
      <c r="I29" s="272">
        <v>2</v>
      </c>
      <c r="J29" s="272">
        <v>4</v>
      </c>
      <c r="K29" s="273"/>
      <c r="L29" s="248"/>
      <c r="M29" s="426">
        <f>H29*300</f>
        <v>0</v>
      </c>
    </row>
    <row r="30" spans="1:13" ht="16.2" thickBot="1">
      <c r="A30" s="189"/>
      <c r="B30" s="180"/>
      <c r="D30" s="276"/>
      <c r="E30" s="277"/>
      <c r="F30" s="277"/>
      <c r="G30" s="282"/>
      <c r="H30" s="278"/>
      <c r="I30" s="279"/>
      <c r="J30" s="279"/>
      <c r="K30" s="188"/>
      <c r="L30" s="248"/>
      <c r="M30" s="427"/>
    </row>
    <row r="31" spans="1:13" ht="16.2" thickTop="1">
      <c r="M31" s="407"/>
    </row>
    <row r="32" spans="1:13">
      <c r="K32" s="150" t="s">
        <v>149</v>
      </c>
      <c r="M32" s="407">
        <f>SUM(M3:M30)</f>
        <v>29857</v>
      </c>
    </row>
  </sheetData>
  <phoneticPr fontId="0" type="noConversion"/>
  <conditionalFormatting sqref="I3:I4 I6:I7">
    <cfRule type="cellIs" dxfId="16" priority="24" operator="equal">
      <formula>20</formula>
    </cfRule>
    <cfRule type="cellIs" dxfId="15" priority="25" operator="equal">
      <formula>1</formula>
    </cfRule>
  </conditionalFormatting>
  <conditionalFormatting sqref="I16">
    <cfRule type="cellIs" dxfId="14" priority="22" operator="equal">
      <formula>20</formula>
    </cfRule>
    <cfRule type="cellIs" dxfId="13" priority="23" operator="equal">
      <formula>1</formula>
    </cfRule>
  </conditionalFormatting>
  <conditionalFormatting sqref="I10 I12">
    <cfRule type="cellIs" dxfId="12" priority="20" operator="equal">
      <formula>20</formula>
    </cfRule>
    <cfRule type="cellIs" dxfId="11" priority="21" operator="equal">
      <formula>1</formula>
    </cfRule>
  </conditionalFormatting>
  <conditionalFormatting sqref="I14:I15">
    <cfRule type="cellIs" dxfId="10" priority="8" operator="equal">
      <formula>20</formula>
    </cfRule>
    <cfRule type="cellIs" dxfId="9" priority="9" operator="equal">
      <formula>1</formula>
    </cfRule>
  </conditionalFormatting>
  <conditionalFormatting sqref="I13">
    <cfRule type="cellIs" dxfId="8" priority="6" operator="equal">
      <formula>20</formula>
    </cfRule>
    <cfRule type="cellIs" dxfId="7" priority="7" operator="equal">
      <formula>1</formula>
    </cfRule>
  </conditionalFormatting>
  <conditionalFormatting sqref="I11">
    <cfRule type="cellIs" dxfId="6" priority="4" operator="equal">
      <formula>20</formula>
    </cfRule>
    <cfRule type="cellIs" dxfId="5" priority="5" operator="equal">
      <formula>1</formula>
    </cfRule>
  </conditionalFormatting>
  <conditionalFormatting sqref="I5">
    <cfRule type="cellIs" dxfId="4" priority="2" operator="equal">
      <formula>20</formula>
    </cfRule>
    <cfRule type="cellIs" dxfId="3" priority="3" operator="equal">
      <formula>1</formula>
    </cfRule>
  </conditionalFormatting>
  <conditionalFormatting sqref="B20">
    <cfRule type="cellIs" dxfId="2" priority="1" operator="equal">
      <formula>2</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workbookViewId="0"/>
  </sheetViews>
  <sheetFormatPr defaultColWidth="13" defaultRowHeight="15.6"/>
  <cols>
    <col min="1" max="1" width="27.3984375" style="154" bestFit="1" customWidth="1"/>
    <col min="2" max="2" width="4.8984375" style="180" bestFit="1" customWidth="1"/>
    <col min="3" max="3" width="6.8984375" style="180" bestFit="1" customWidth="1"/>
    <col min="4" max="4" width="23.3984375" style="47" bestFit="1" customWidth="1"/>
    <col min="5" max="5" width="19.3984375" style="47" customWidth="1"/>
    <col min="6" max="6" width="2.3984375" style="47" customWidth="1"/>
    <col min="7" max="7" width="5.8984375" style="47" bestFit="1" customWidth="1"/>
    <col min="8" max="16384" width="13" style="47"/>
  </cols>
  <sheetData>
    <row r="1" spans="1:7" ht="23.4" thickBot="1">
      <c r="A1" s="169" t="s">
        <v>78</v>
      </c>
      <c r="B1" s="193"/>
      <c r="C1" s="193"/>
      <c r="D1" s="169"/>
      <c r="E1" s="169"/>
    </row>
    <row r="2" spans="1:7" s="154" customFormat="1" ht="16.8" thickTop="1" thickBot="1">
      <c r="A2" s="194" t="s">
        <v>79</v>
      </c>
      <c r="B2" s="194" t="s">
        <v>7</v>
      </c>
      <c r="C2" s="195" t="s">
        <v>125</v>
      </c>
      <c r="D2" s="196" t="s">
        <v>80</v>
      </c>
      <c r="E2" s="197" t="s">
        <v>81</v>
      </c>
      <c r="G2" s="198" t="s">
        <v>127</v>
      </c>
    </row>
    <row r="3" spans="1:7">
      <c r="A3" s="199" t="s">
        <v>93</v>
      </c>
      <c r="B3" s="200">
        <v>1</v>
      </c>
      <c r="C3" s="201" t="s">
        <v>126</v>
      </c>
      <c r="D3" s="202"/>
      <c r="E3" s="203"/>
      <c r="G3" s="204">
        <v>0</v>
      </c>
    </row>
    <row r="4" spans="1:7">
      <c r="A4" s="199" t="s">
        <v>115</v>
      </c>
      <c r="B4" s="200">
        <v>1</v>
      </c>
      <c r="C4" s="205">
        <v>1</v>
      </c>
      <c r="D4" s="202"/>
      <c r="E4" s="203"/>
      <c r="G4" s="206">
        <v>0</v>
      </c>
    </row>
    <row r="5" spans="1:7">
      <c r="A5" s="207" t="s">
        <v>159</v>
      </c>
      <c r="B5" s="200">
        <v>1</v>
      </c>
      <c r="C5" s="205">
        <v>1</v>
      </c>
      <c r="D5" s="210"/>
      <c r="E5" s="211"/>
      <c r="G5" s="212">
        <v>0</v>
      </c>
    </row>
    <row r="6" spans="1:7">
      <c r="A6" s="238" t="s">
        <v>158</v>
      </c>
      <c r="B6" s="208">
        <v>1</v>
      </c>
      <c r="C6" s="209">
        <v>1</v>
      </c>
      <c r="D6" s="210"/>
      <c r="E6" s="211"/>
      <c r="G6" s="212">
        <v>1000</v>
      </c>
    </row>
    <row r="7" spans="1:7">
      <c r="A7" s="274" t="s">
        <v>228</v>
      </c>
      <c r="B7" s="400">
        <v>1</v>
      </c>
      <c r="C7" s="201">
        <v>0</v>
      </c>
      <c r="D7" s="403"/>
      <c r="E7" s="404"/>
      <c r="F7" s="405"/>
      <c r="G7" s="406">
        <v>3000</v>
      </c>
    </row>
    <row r="8" spans="1:7">
      <c r="A8" s="274" t="s">
        <v>227</v>
      </c>
      <c r="B8" s="400">
        <v>1</v>
      </c>
      <c r="C8" s="201">
        <v>1</v>
      </c>
      <c r="D8" s="401"/>
      <c r="E8" s="402"/>
      <c r="F8" s="248"/>
      <c r="G8" s="212">
        <v>750</v>
      </c>
    </row>
    <row r="9" spans="1:7">
      <c r="A9" s="207" t="s">
        <v>153</v>
      </c>
      <c r="B9" s="208">
        <v>1</v>
      </c>
      <c r="C9" s="209">
        <v>0</v>
      </c>
      <c r="D9" s="210" t="s">
        <v>154</v>
      </c>
      <c r="E9" s="211" t="s">
        <v>136</v>
      </c>
      <c r="G9" s="212">
        <v>1000</v>
      </c>
    </row>
    <row r="10" spans="1:7" ht="16.2" thickBot="1">
      <c r="A10" s="500" t="s">
        <v>237</v>
      </c>
      <c r="B10" s="213">
        <v>1</v>
      </c>
      <c r="C10" s="214">
        <v>1</v>
      </c>
      <c r="D10" s="215"/>
      <c r="E10" s="216"/>
      <c r="G10" s="217">
        <v>4000</v>
      </c>
    </row>
    <row r="11" spans="1:7" ht="24" thickTop="1" thickBot="1">
      <c r="A11" s="169" t="s">
        <v>82</v>
      </c>
      <c r="B11" s="218"/>
      <c r="C11" s="218"/>
      <c r="D11" s="169"/>
      <c r="E11" s="219"/>
    </row>
    <row r="12" spans="1:7" ht="16.8" thickTop="1" thickBot="1">
      <c r="A12" s="194" t="s">
        <v>79</v>
      </c>
      <c r="B12" s="194" t="s">
        <v>7</v>
      </c>
      <c r="C12" s="195" t="s">
        <v>125</v>
      </c>
      <c r="D12" s="196" t="s">
        <v>80</v>
      </c>
      <c r="E12" s="197" t="s">
        <v>81</v>
      </c>
      <c r="G12" s="198" t="s">
        <v>127</v>
      </c>
    </row>
    <row r="13" spans="1:7">
      <c r="A13" s="199" t="s">
        <v>97</v>
      </c>
      <c r="B13" s="200">
        <v>2</v>
      </c>
      <c r="C13" s="205">
        <v>1</v>
      </c>
      <c r="D13" s="220"/>
      <c r="E13" s="203"/>
      <c r="G13" s="206">
        <v>0</v>
      </c>
    </row>
    <row r="14" spans="1:7">
      <c r="A14" s="199" t="s">
        <v>117</v>
      </c>
      <c r="B14" s="200">
        <v>1</v>
      </c>
      <c r="C14" s="205">
        <v>3</v>
      </c>
      <c r="D14" s="202"/>
      <c r="E14" s="203"/>
      <c r="G14" s="206">
        <v>0</v>
      </c>
    </row>
    <row r="15" spans="1:7">
      <c r="A15" s="207" t="s">
        <v>160</v>
      </c>
      <c r="B15" s="261">
        <v>1</v>
      </c>
      <c r="C15" s="262">
        <v>2</v>
      </c>
      <c r="D15" s="210"/>
      <c r="E15" s="211"/>
      <c r="G15" s="212">
        <v>350</v>
      </c>
    </row>
    <row r="16" spans="1:7">
      <c r="A16" s="207" t="s">
        <v>124</v>
      </c>
      <c r="B16" s="428">
        <v>0</v>
      </c>
      <c r="C16" s="262">
        <f>B16/100</f>
        <v>0</v>
      </c>
      <c r="D16" s="210"/>
      <c r="E16" s="211"/>
      <c r="G16" s="212">
        <f>B16</f>
        <v>0</v>
      </c>
    </row>
    <row r="17" spans="1:7">
      <c r="A17" s="199" t="s">
        <v>116</v>
      </c>
      <c r="B17" s="200">
        <v>0</v>
      </c>
      <c r="C17" s="205">
        <v>0</v>
      </c>
      <c r="D17" s="202"/>
      <c r="E17" s="203"/>
      <c r="G17" s="206">
        <v>0</v>
      </c>
    </row>
    <row r="18" spans="1:7" s="247" customFormat="1" ht="16.2" thickBot="1">
      <c r="A18" s="255" t="s">
        <v>128</v>
      </c>
      <c r="B18" s="256">
        <v>1</v>
      </c>
      <c r="C18" s="257">
        <v>1</v>
      </c>
      <c r="D18" s="258"/>
      <c r="E18" s="259"/>
      <c r="G18" s="260">
        <v>110</v>
      </c>
    </row>
    <row r="19" spans="1:7" ht="16.2" thickTop="1">
      <c r="A19" s="47"/>
      <c r="B19" s="47"/>
      <c r="C19" s="47"/>
    </row>
    <row r="20" spans="1:7">
      <c r="A20" s="47"/>
      <c r="B20" s="47"/>
      <c r="E20" s="221" t="s">
        <v>129</v>
      </c>
      <c r="G20" s="222">
        <f>SUM(G3:G18,Martial!M3:M30)</f>
        <v>40067</v>
      </c>
    </row>
    <row r="21" spans="1:7">
      <c r="A21" s="47"/>
      <c r="B21" s="47"/>
      <c r="C21" s="47"/>
      <c r="E21" s="221" t="s">
        <v>225</v>
      </c>
      <c r="G21" s="222">
        <v>36000</v>
      </c>
    </row>
    <row r="22" spans="1:7">
      <c r="G22" s="407"/>
    </row>
    <row r="23" spans="1:7">
      <c r="A23" s="47"/>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5" style="285" customWidth="1"/>
    <col min="2" max="2" width="10" style="284" customWidth="1"/>
    <col min="3" max="3" width="5.5" style="284" customWidth="1"/>
    <col min="4" max="4" width="13.69921875" style="285" bestFit="1" customWidth="1"/>
    <col min="5" max="5" width="9.59765625" style="284" bestFit="1" customWidth="1"/>
    <col min="6" max="6" width="14.8984375" style="285" customWidth="1"/>
    <col min="7" max="7" width="17.8984375" style="284" customWidth="1"/>
    <col min="8" max="16384" width="13" style="283"/>
  </cols>
  <sheetData>
    <row r="1" spans="1:7" ht="29.4" thickTop="1" thickBot="1">
      <c r="A1" s="334" t="s">
        <v>204</v>
      </c>
      <c r="B1" s="333"/>
      <c r="C1" s="333"/>
      <c r="D1" s="333"/>
      <c r="E1" s="332"/>
      <c r="F1" s="331"/>
      <c r="G1" s="330" t="s">
        <v>179</v>
      </c>
    </row>
    <row r="2" spans="1:7" ht="17.399999999999999" thickTop="1">
      <c r="A2" s="294" t="s">
        <v>0</v>
      </c>
      <c r="B2" s="329" t="s">
        <v>180</v>
      </c>
      <c r="C2" s="328"/>
      <c r="D2" s="326" t="s">
        <v>1</v>
      </c>
      <c r="E2" s="327" t="s">
        <v>205</v>
      </c>
      <c r="F2" s="326" t="s">
        <v>119</v>
      </c>
      <c r="G2" s="325" t="s">
        <v>181</v>
      </c>
    </row>
    <row r="3" spans="1:7" ht="17.399999999999999" thickBot="1">
      <c r="A3" s="324" t="s">
        <v>185</v>
      </c>
      <c r="B3" s="323" t="s">
        <v>184</v>
      </c>
      <c r="C3" s="323"/>
      <c r="D3" s="321" t="s">
        <v>178</v>
      </c>
      <c r="E3" s="322" t="s">
        <v>177</v>
      </c>
      <c r="F3" s="321" t="s">
        <v>176</v>
      </c>
      <c r="G3" s="320" t="s">
        <v>182</v>
      </c>
    </row>
    <row r="4" spans="1:7" ht="17.399999999999999" thickTop="1">
      <c r="A4" s="319" t="s">
        <v>2</v>
      </c>
      <c r="B4" s="318">
        <v>13</v>
      </c>
      <c r="C4" s="317" t="str">
        <f t="shared" ref="C4:C9" si="0">IF(B4&gt;9.9,CONCATENATE("+",ROUNDDOWN((B4-10)/2,0)),ROUNDUP((B4-10)/2,0))</f>
        <v>+1</v>
      </c>
      <c r="D4" s="307" t="s">
        <v>14</v>
      </c>
      <c r="E4" s="316">
        <v>13</v>
      </c>
      <c r="F4" s="315">
        <v>13</v>
      </c>
      <c r="G4" s="314"/>
    </row>
    <row r="5" spans="1:7" ht="16.8">
      <c r="A5" s="313" t="s">
        <v>3</v>
      </c>
      <c r="B5" s="304">
        <v>15</v>
      </c>
      <c r="C5" s="308" t="str">
        <f t="shared" si="0"/>
        <v>+2</v>
      </c>
      <c r="D5" s="312" t="s">
        <v>175</v>
      </c>
      <c r="E5" s="301" t="s">
        <v>183</v>
      </c>
      <c r="F5" s="310"/>
      <c r="G5" s="292"/>
    </row>
    <row r="6" spans="1:7" ht="16.8">
      <c r="A6" s="311" t="s">
        <v>12</v>
      </c>
      <c r="B6" s="304">
        <v>15</v>
      </c>
      <c r="C6" s="308" t="str">
        <f t="shared" si="0"/>
        <v>+2</v>
      </c>
      <c r="D6" s="307" t="s">
        <v>174</v>
      </c>
      <c r="E6" s="306">
        <v>3</v>
      </c>
      <c r="F6" s="310"/>
      <c r="G6" s="292"/>
    </row>
    <row r="7" spans="1:7" ht="16.8">
      <c r="A7" s="309" t="s">
        <v>13</v>
      </c>
      <c r="B7" s="304">
        <v>2</v>
      </c>
      <c r="C7" s="308">
        <f t="shared" si="0"/>
        <v>-4</v>
      </c>
      <c r="D7" s="307" t="s">
        <v>173</v>
      </c>
      <c r="E7" s="306">
        <v>5</v>
      </c>
      <c r="F7" s="295"/>
      <c r="G7" s="292"/>
    </row>
    <row r="8" spans="1:7" ht="16.8">
      <c r="A8" s="305" t="s">
        <v>15</v>
      </c>
      <c r="B8" s="304">
        <v>12</v>
      </c>
      <c r="C8" s="303" t="str">
        <f t="shared" si="0"/>
        <v>+1</v>
      </c>
      <c r="D8" s="302" t="s">
        <v>172</v>
      </c>
      <c r="E8" s="301" t="s">
        <v>171</v>
      </c>
      <c r="F8" s="295"/>
      <c r="G8" s="292"/>
    </row>
    <row r="9" spans="1:7" ht="17.399999999999999" thickBot="1">
      <c r="A9" s="300" t="s">
        <v>11</v>
      </c>
      <c r="B9" s="299">
        <v>6</v>
      </c>
      <c r="C9" s="298">
        <f t="shared" si="0"/>
        <v>-2</v>
      </c>
      <c r="D9" s="297" t="s">
        <v>170</v>
      </c>
      <c r="E9" s="296">
        <v>1</v>
      </c>
      <c r="F9" s="295"/>
      <c r="G9" s="292"/>
    </row>
    <row r="10" spans="1:7" ht="17.399999999999999" thickTop="1">
      <c r="A10" s="291" t="s">
        <v>241</v>
      </c>
      <c r="B10" s="290"/>
      <c r="C10" s="290"/>
      <c r="D10" s="290"/>
      <c r="E10" s="289"/>
      <c r="F10" s="295"/>
      <c r="G10" s="292"/>
    </row>
    <row r="11" spans="1:7" ht="16.8">
      <c r="A11" s="291" t="s">
        <v>242</v>
      </c>
      <c r="B11" s="290"/>
      <c r="C11" s="290"/>
      <c r="D11" s="290"/>
      <c r="E11" s="289"/>
      <c r="F11" s="293"/>
      <c r="G11" s="292"/>
    </row>
    <row r="12" spans="1:7" ht="17.399999999999999" thickBot="1">
      <c r="A12" s="288"/>
      <c r="B12" s="287"/>
      <c r="C12" s="287"/>
      <c r="D12" s="287"/>
      <c r="E12" s="286"/>
      <c r="F12" s="287"/>
      <c r="G12" s="286"/>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Animal</vt:lpstr>
      <vt:lpstr>Animal!Print_Area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2014-07-31T19:39:00Z</cp:lastPrinted>
  <dcterms:created xsi:type="dcterms:W3CDTF">2000-10-24T15:39:59Z</dcterms:created>
  <dcterms:modified xsi:type="dcterms:W3CDTF">2016-02-19T01:00:57Z</dcterms:modified>
</cp:coreProperties>
</file>