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5" yWindow="-15" windowWidth="10200" windowHeight="8730" tabRatio="638"/>
  </bookViews>
  <sheets>
    <sheet name="Personal File" sheetId="20" r:id="rId1"/>
    <sheet name="Skills" sheetId="15" r:id="rId2"/>
    <sheet name="Spells" sheetId="22" r:id="rId3"/>
    <sheet name="Feats" sheetId="17" r:id="rId4"/>
    <sheet name="Martial" sheetId="6" r:id="rId5"/>
    <sheet name="Equipment" sheetId="19" r:id="rId6"/>
    <sheet name="Animal" sheetId="21" r:id="rId7"/>
  </sheets>
  <externalReferences>
    <externalReference r:id="rId8"/>
  </externalReferences>
  <definedNames>
    <definedName name="NoShade">'[1]Spell Sheet'!$FH$1</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1">Skills!$A$1:$K$29</definedName>
    <definedName name="_xlnm.Print_Area" localSheetId="2">Spells!$A$1:$I$2</definedName>
  </definedNames>
  <calcPr calcId="145621"/>
</workbook>
</file>

<file path=xl/calcChain.xml><?xml version="1.0" encoding="utf-8"?>
<calcChain xmlns="http://schemas.openxmlformats.org/spreadsheetml/2006/main">
  <c r="M23" i="6" l="1"/>
  <c r="M24" i="6"/>
  <c r="G24" i="6"/>
  <c r="G23" i="6"/>
  <c r="G22" i="6"/>
  <c r="G21" i="6"/>
  <c r="B6" i="20" l="1"/>
  <c r="I3" i="6" l="1"/>
  <c r="I4" i="6"/>
  <c r="H4" i="6"/>
  <c r="H3" i="6"/>
  <c r="J4" i="6" l="1"/>
  <c r="J3" i="6"/>
  <c r="I11" i="6"/>
  <c r="H11" i="6"/>
  <c r="D11" i="6"/>
  <c r="C11" i="6"/>
  <c r="J11" i="6" l="1"/>
  <c r="E11" i="20"/>
  <c r="H12" i="6" l="1"/>
  <c r="H10" i="6"/>
  <c r="H9" i="6"/>
  <c r="D12" i="6" l="1"/>
  <c r="D10" i="6"/>
  <c r="D9" i="6"/>
  <c r="I5" i="6" l="1"/>
  <c r="I12" i="6" l="1"/>
  <c r="F12" i="6"/>
  <c r="I9" i="6" l="1"/>
  <c r="I10" i="6"/>
  <c r="F9" i="6"/>
  <c r="H40" i="15" l="1"/>
  <c r="I6" i="17" l="1"/>
  <c r="H6" i="17"/>
  <c r="J6" i="17"/>
  <c r="G6" i="17"/>
  <c r="H24" i="15" l="1"/>
  <c r="C4" i="21" l="1"/>
  <c r="C5" i="21"/>
  <c r="C6" i="21"/>
  <c r="C7" i="21"/>
  <c r="C8" i="21"/>
  <c r="C9" i="21"/>
  <c r="H3" i="15" l="1"/>
  <c r="H4" i="15"/>
  <c r="H5" i="15"/>
  <c r="H6" i="15"/>
  <c r="H7" i="15"/>
  <c r="H8" i="15"/>
  <c r="H9" i="15"/>
  <c r="H10" i="15"/>
  <c r="H11" i="15"/>
  <c r="H12" i="15"/>
  <c r="I12" i="15" s="1"/>
  <c r="H13" i="15"/>
  <c r="H14" i="15"/>
  <c r="I14" i="15" s="1"/>
  <c r="H15" i="15"/>
  <c r="H16" i="15"/>
  <c r="H17" i="15"/>
  <c r="H18" i="15"/>
  <c r="H19" i="15"/>
  <c r="H20" i="15"/>
  <c r="H21" i="15"/>
  <c r="H22" i="15"/>
  <c r="H23" i="15"/>
  <c r="H25" i="15"/>
  <c r="H26" i="15"/>
  <c r="I26" i="15" s="1"/>
  <c r="H27" i="15"/>
  <c r="H28" i="15"/>
  <c r="H29" i="15"/>
  <c r="I29" i="15" s="1"/>
  <c r="H30" i="15"/>
  <c r="I30" i="15" s="1"/>
  <c r="H31" i="15"/>
  <c r="H32" i="15"/>
  <c r="H33" i="15"/>
  <c r="H34" i="15"/>
  <c r="H35" i="15"/>
  <c r="I35" i="15" s="1"/>
  <c r="H36" i="15"/>
  <c r="I36" i="15" s="1"/>
  <c r="H37" i="15"/>
  <c r="I37" i="15" s="1"/>
  <c r="H38" i="15"/>
  <c r="H39" i="15"/>
  <c r="F13" i="6" l="1"/>
  <c r="G16" i="19" l="1"/>
  <c r="C16" i="19"/>
  <c r="M28" i="6" l="1"/>
  <c r="M27" i="6"/>
  <c r="M31" i="6" l="1"/>
  <c r="G20" i="19"/>
  <c r="I13" i="6" l="1"/>
  <c r="I6" i="6"/>
  <c r="B44" i="15" l="1"/>
  <c r="C13" i="20" l="1"/>
  <c r="C12" i="20"/>
  <c r="C11" i="20"/>
  <c r="E53" i="15" s="1"/>
  <c r="C10" i="20"/>
  <c r="C9" i="20"/>
  <c r="C8" i="20"/>
  <c r="E52" i="15" l="1"/>
  <c r="E50" i="15"/>
  <c r="E51" i="15"/>
  <c r="E49" i="15"/>
  <c r="D24" i="15"/>
  <c r="E24" i="15" s="1"/>
  <c r="G24" i="15" s="1"/>
  <c r="I24" i="15" s="1"/>
  <c r="H5" i="6"/>
  <c r="J5" i="6" s="1"/>
  <c r="C10" i="6"/>
  <c r="C9" i="6"/>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J10" i="6"/>
  <c r="J12" i="6"/>
  <c r="J9" i="6"/>
  <c r="D21" i="15"/>
  <c r="E21" i="15" s="1"/>
  <c r="G21" i="15" s="1"/>
  <c r="I21" i="15" s="1"/>
  <c r="D29" i="15"/>
  <c r="E29" i="15" s="1"/>
  <c r="D32" i="15"/>
  <c r="E32" i="15" s="1"/>
  <c r="G32" i="15" s="1"/>
  <c r="I32" i="15" s="1"/>
  <c r="D4" i="15"/>
  <c r="D16" i="15"/>
  <c r="E16" i="15" s="1"/>
  <c r="G16" i="15" s="1"/>
  <c r="I16" i="15" s="1"/>
  <c r="D28" i="15"/>
  <c r="E28" i="15" s="1"/>
  <c r="G28" i="15" s="1"/>
  <c r="I28" i="15" s="1"/>
  <c r="D7" i="15"/>
  <c r="E7" i="15" s="1"/>
  <c r="G7" i="15" s="1"/>
  <c r="I7" i="15" s="1"/>
  <c r="D35" i="15"/>
  <c r="E35" i="15" s="1"/>
  <c r="C12" i="6"/>
  <c r="D3" i="15"/>
  <c r="D10" i="15"/>
  <c r="E10" i="15" s="1"/>
  <c r="G10" i="15" s="1"/>
  <c r="I10" i="15" s="1"/>
  <c r="E10" i="20"/>
  <c r="D42" i="15"/>
  <c r="E42" i="15" s="1"/>
  <c r="D17" i="15"/>
  <c r="E17" i="15" s="1"/>
  <c r="G17" i="15" s="1"/>
  <c r="I17" i="15" s="1"/>
  <c r="D33" i="15"/>
  <c r="E33" i="15" s="1"/>
  <c r="G33" i="15" s="1"/>
  <c r="I33" i="15" s="1"/>
  <c r="D37" i="15"/>
  <c r="E37" i="15" s="1"/>
  <c r="D12" i="15"/>
  <c r="E12" i="15" s="1"/>
  <c r="D14" i="15"/>
  <c r="E14" i="15" s="1"/>
  <c r="D26" i="15"/>
  <c r="E26" i="15" s="1"/>
  <c r="D25" i="15"/>
  <c r="E25" i="15" s="1"/>
  <c r="G25" i="15" s="1"/>
  <c r="I25" i="15" s="1"/>
  <c r="D36" i="15"/>
  <c r="E36" i="15" s="1"/>
  <c r="D6" i="15"/>
  <c r="E6" i="15" s="1"/>
  <c r="G6" i="15" s="1"/>
  <c r="I6" i="15" s="1"/>
  <c r="D11" i="15"/>
  <c r="E11" i="15" s="1"/>
  <c r="G11" i="15" s="1"/>
  <c r="I11" i="15" s="1"/>
  <c r="E46" i="15"/>
  <c r="E45" i="15"/>
  <c r="E44" i="15" s="1"/>
  <c r="E48" i="15"/>
  <c r="H13" i="6"/>
  <c r="J13" i="6" s="1"/>
  <c r="E13" i="20"/>
  <c r="E12" i="20" s="1"/>
  <c r="B7" i="20"/>
  <c r="C6" i="6"/>
  <c r="H6" i="6"/>
  <c r="J6" i="6" s="1"/>
  <c r="D40" i="15"/>
  <c r="E40" i="15" s="1"/>
  <c r="G40" i="15" s="1"/>
  <c r="D41" i="15"/>
  <c r="D43" i="15"/>
  <c r="E43" i="15" s="1"/>
  <c r="G43" i="15" s="1"/>
  <c r="H43" i="15"/>
  <c r="H42" i="15"/>
  <c r="I42" i="15" s="1"/>
  <c r="H41" i="15"/>
  <c r="I41" i="15" s="1"/>
  <c r="E9" i="20"/>
  <c r="E41" i="15"/>
  <c r="E3" i="15" l="1"/>
  <c r="G3" i="15"/>
  <c r="I3" i="15" s="1"/>
  <c r="E4" i="15"/>
  <c r="G4" i="15"/>
  <c r="I4" i="15" s="1"/>
  <c r="E5" i="15"/>
  <c r="G5" i="15"/>
  <c r="I5" i="15" s="1"/>
  <c r="I40" i="15"/>
  <c r="I43"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E8" authorId="0">
      <text>
        <r>
          <rPr>
            <sz val="12"/>
            <color indexed="81"/>
            <rFont val="Times New Roman"/>
            <family val="1"/>
          </rPr>
          <t>See PHB 162</t>
        </r>
      </text>
    </comment>
    <comment ref="E10" authorId="0">
      <text>
        <r>
          <rPr>
            <sz val="12"/>
            <color indexed="81"/>
            <rFont val="Times New Roman"/>
            <family val="1"/>
          </rPr>
          <t>[(3{4} * 8 Centaur) * 75%]
+ [(5 * 8 Ranger) * 75%]
+ (9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Studded Leather Barding -1</t>
        </r>
      </text>
    </comment>
    <comment ref="F9" authorId="0">
      <text>
        <r>
          <rPr>
            <sz val="12"/>
            <color indexed="81"/>
            <rFont val="Times New Roman"/>
            <family val="1"/>
          </rPr>
          <t>Studded Leather Barding -1</t>
        </r>
      </text>
    </comment>
    <comment ref="F16" authorId="0">
      <text>
        <r>
          <rPr>
            <sz val="12"/>
            <color indexed="81"/>
            <rFont val="Times New Roman"/>
            <family val="1"/>
          </rPr>
          <t>Studded Leather Barding -1</t>
        </r>
      </text>
    </comment>
    <comment ref="F20" authorId="0">
      <text>
        <r>
          <rPr>
            <sz val="12"/>
            <color indexed="81"/>
            <rFont val="Times New Roman"/>
            <family val="1"/>
          </rPr>
          <t>Survival Synergy +2</t>
        </r>
      </text>
    </comment>
    <comment ref="F21" authorId="0">
      <text>
        <r>
          <rPr>
            <sz val="12"/>
            <color indexed="81"/>
            <rFont val="Times New Roman"/>
            <family val="1"/>
          </rPr>
          <t>Studded Leather Barding -1</t>
        </r>
      </text>
    </comment>
    <comment ref="F23" authorId="0">
      <text>
        <r>
          <rPr>
            <sz val="12"/>
            <color indexed="81"/>
            <rFont val="Times New Roman"/>
            <family val="1"/>
          </rPr>
          <t>Studded Leather Barding -1</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Studded Leather Barding -1</t>
        </r>
      </text>
    </comment>
    <comment ref="F35" authorId="0">
      <text>
        <r>
          <rPr>
            <sz val="12"/>
            <color indexed="81"/>
            <rFont val="Times New Roman"/>
            <family val="1"/>
          </rPr>
          <t>Studded Leather Barding -1</t>
        </r>
      </text>
    </comment>
    <comment ref="F39" authorId="0">
      <text>
        <r>
          <rPr>
            <sz val="12"/>
            <color indexed="81"/>
            <rFont val="Times New Roman"/>
            <family val="1"/>
          </rPr>
          <t>Synergy from Know:  Nature</t>
        </r>
      </text>
    </comment>
    <comment ref="J39" authorId="0">
      <text>
        <r>
          <rPr>
            <sz val="12"/>
            <color indexed="81"/>
            <rFont val="Times New Roman"/>
            <family val="1"/>
          </rPr>
          <t>Synergy from Know:  Dungn.</t>
        </r>
      </text>
    </comment>
    <comment ref="F41" authorId="0">
      <text>
        <r>
          <rPr>
            <sz val="12"/>
            <color indexed="81"/>
            <rFont val="Times New Roman"/>
            <family val="1"/>
          </rPr>
          <t>Studded Leather Barding -1</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0"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1"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2"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9"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9" authorId="0">
      <text>
        <r>
          <rPr>
            <sz val="12"/>
            <color indexed="81"/>
            <rFont val="Times New Roman"/>
            <family val="1"/>
          </rPr>
          <t>Far Shot feat</t>
        </r>
      </text>
    </commen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A12"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2" authorId="0">
      <text>
        <r>
          <rPr>
            <sz val="12"/>
            <color indexed="81"/>
            <rFont val="Times New Roman"/>
            <family val="1"/>
          </rPr>
          <t>Far Shot feat</t>
        </r>
      </text>
    </comment>
    <comment ref="H12" authorId="0">
      <text>
        <r>
          <rPr>
            <i/>
            <sz val="12"/>
            <color indexed="81"/>
            <rFont val="Times New Roman"/>
            <family val="1"/>
          </rPr>
          <t>includes weapon focus +1</t>
        </r>
      </text>
    </comment>
    <comment ref="F13"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8"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0"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15"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<sst xmlns="http://schemas.openxmlformats.org/spreadsheetml/2006/main" count="415" uniqueCount="255">
  <si>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</si>
  <si>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</si>
  <si>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</si>
  <si>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</si>
  <si>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</si>
  <si>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</si>
  <si>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</si>
  <si>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</si>
  <si>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</si>
  <si>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</si>
  <si>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</si>
  <si>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</si>
  <si>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</si>
  <si>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</si>
  <si>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</si>
  <si>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</si>
  <si>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</si>
  <si>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</si>
  <si>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</si>
  <si>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</si>
  <si>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</si>
  <si>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</si>
  <si>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</si>
  <si>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</si>
  <si>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</si>
  <si>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</si>
  <si>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</si>
  <si>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</si>
  <si>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</si>
  <si>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</si>
  <si>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</si>
  <si>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</si>
  <si>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</si>
  <si>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</si>
  <si>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</si>
  <si>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</si>
  <si>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</si>
  <si>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</si>
  <si>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</si>
  <si>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</si>
  <si>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</si>
  <si>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</si>
  <si>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</si>
  <si>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</si>
  <si>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</si>
  <si>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</si>
  <si>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</si>
  <si>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</si>
  <si>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</si>
  <si>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</si>
  <si>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</si>
  <si>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</si>
  <si>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</si>
  <si>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</si>
  <si>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</si>
  <si>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</si>
  <si>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</si>
  <si>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</si>
  <si>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</si>
  <si>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</si>
  <si>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</si>
  <si>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</si>
  <si>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</si>
  <si>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</si>
  <si>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</si>
  <si>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</si>
  <si>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</si>
  <si>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</si>
  <si>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</si>
  <si>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</si>
  <si>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</si>
  <si>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</si>
  <si>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</si>
  <si>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</si>
  <si>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</si>
  <si>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</si>
  <si>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</si>
  <si>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</si>
  <si>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</si>
  <si>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</si>
  <si>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</si>
  <si>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</si>
  <si>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</si>
  <si>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</si>
  <si>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</si>
  <si>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</si>
  <si>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</si>
  <si>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</si>
  <si>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</si>
  <si>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</si>
  <si>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</si>
  <si>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</si>
  <si>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</si>
  <si>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</si>
  <si>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</si>
  <si>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</si>
  <si>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</si>
  <si>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</si>
  <si>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</si>
  <si>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</si>
  <si>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</si>
  <si>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</si>
  <si>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</si>
  <si>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</si>
  <si>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</si>
  <si>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</si>
  <si>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</si>
  <si>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</si>
  <si>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2-Hoof Attack</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</si>
  <si>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</si>
  <si>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</si>
  <si>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</si>
  <si>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</si>
  <si>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</si>
  <si>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</si>
  <si>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</si>
  <si>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</si>
  <si>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</si>
  <si>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</si>
  <si>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</si>
  <si>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</si>
  <si>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</si>
  <si>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</si>
  <si>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</si>
  <si>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</si>
  <si>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</si>
  <si>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</si>
  <si>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</si>
  <si>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</si>
  <si>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</si>
  <si>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</si>
  <si>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</si>
  <si>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</si>
  <si>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</si>
  <si>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</si>
  <si>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</si>
  <si>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</si>
  <si>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Belt of One Mighty Blow</t>
  </si>
  <si>
    <t>+2d6 to one-handed weapon</t>
  </si>
  <si>
    <t>1 use/day</t>
  </si>
  <si>
    <t>2</t>
  </si>
  <si>
    <t>4th:  Precise Shot</t>
  </si>
  <si>
    <t>Ranger</t>
  </si>
  <si>
    <t>Ranger Features</t>
  </si>
  <si>
    <t>Track</t>
  </si>
  <si>
    <t>Wild Empathy</t>
  </si>
  <si>
    <t>Ranger 1</t>
  </si>
  <si>
    <t>Favored Enemy:  Dragon</t>
  </si>
  <si>
    <t>+1 vs. dragons</t>
  </si>
  <si>
    <t>Arrows</t>
  </si>
  <si>
    <t>1d6</t>
  </si>
  <si>
    <t>Combat Style:  Archery</t>
  </si>
  <si>
    <t>Ranger 2</t>
  </si>
  <si>
    <t>Equity on this page:</t>
  </si>
  <si>
    <t>+0</t>
  </si>
  <si>
    <t>Dragonbane Composite Longbow Str +4</t>
  </si>
  <si>
    <t>Bracers of Armor +1</t>
  </si>
  <si>
    <t>-</t>
  </si>
  <si>
    <t>Greataxe +1</t>
  </si>
  <si>
    <t>Brooch of Stability</t>
  </si>
  <si>
    <t>HPs don't drop to -10</t>
  </si>
  <si>
    <t>Scrolls and Potions</t>
  </si>
  <si>
    <t>Level</t>
  </si>
  <si>
    <t>CLev</t>
  </si>
  <si>
    <t>Cloak of Resistance +1</t>
  </si>
  <si>
    <t>Sack</t>
  </si>
  <si>
    <t>Everlasting Rations</t>
  </si>
  <si>
    <t>1d12</t>
  </si>
  <si>
    <t>+4+1</t>
  </si>
  <si>
    <t>Slashing</t>
  </si>
  <si>
    <t>Endurance</t>
  </si>
  <si>
    <t>6th:  Far Shot</t>
  </si>
  <si>
    <t>Touch AC:</t>
  </si>
  <si>
    <t>Bag of Tricks, Rust</t>
  </si>
  <si>
    <t>Ring of Protection +1</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</si>
  <si>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</si>
  <si>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r>
      <t xml:space="preserve">Potion of </t>
    </r>
    <r>
      <rPr>
        <i/>
        <sz val="12"/>
        <rFont val="Times New Roman"/>
        <family val="1"/>
      </rPr>
      <t>Cure Light Wounds</t>
    </r>
  </si>
  <si>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</si>
  <si>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</si>
  <si>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</si>
  <si>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</si>
  <si>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</si>
  <si>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</si>
  <si>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</si>
  <si>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</si>
  <si>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</si>
  <si>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</si>
  <si>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</si>
  <si>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</si>
  <si>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</si>
  <si>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</si>
  <si>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</si>
  <si>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</si>
  <si>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</si>
  <si>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</si>
  <si>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</si>
  <si>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Track, Hide +2, Listen +3, Move Silently +3, Spot +3, Survival +1*,</t>
  </si>
  <si>
    <t>Weapon Focus (bite, 1d6+1), Trip</t>
  </si>
  <si>
    <t>1 rnd/lvl</t>
  </si>
  <si>
    <t>25’ + 2½’/lvl</t>
  </si>
  <si>
    <t>1 SA</t>
  </si>
  <si>
    <t>V S DF</t>
  </si>
  <si>
    <t>Conjuration</t>
  </si>
  <si>
    <t>Duration</t>
  </si>
  <si>
    <t>Range</t>
  </si>
  <si>
    <t>Casting</t>
  </si>
  <si>
    <t>Components</t>
  </si>
  <si>
    <t>School</t>
  </si>
  <si>
    <t>Spell</t>
  </si>
  <si>
    <t>Knowledge:  Dungeoneering</t>
  </si>
  <si>
    <t>PHB</t>
  </si>
  <si>
    <t>Reference</t>
  </si>
  <si>
    <t>Page</t>
  </si>
  <si>
    <t>DC</t>
  </si>
  <si>
    <t>Cast?</t>
  </si>
  <si>
    <t>Prayers per Day</t>
  </si>
  <si>
    <t>Daily Spells by Level</t>
  </si>
  <si>
    <t>0th</t>
  </si>
  <si>
    <t>1st</t>
  </si>
  <si>
    <t>2nd</t>
  </si>
  <si>
    <t>4th</t>
  </si>
  <si>
    <t>Total Daily Spells</t>
  </si>
  <si>
    <t>Ranger Spells</t>
  </si>
  <si>
    <t>Wisdom Bonus</t>
  </si>
  <si>
    <t>Summon Nature’s Ally I</t>
  </si>
  <si>
    <t>¨</t>
  </si>
  <si>
    <t>Daily Spells</t>
  </si>
  <si>
    <t>Known Spells</t>
  </si>
  <si>
    <t>Simple Weapons, Light Armor, Shields</t>
  </si>
  <si>
    <t>-2</t>
  </si>
  <si>
    <t>Tika</t>
  </si>
  <si>
    <t>Female</t>
  </si>
  <si>
    <t>+2 while underground</t>
  </si>
  <si>
    <t>2nd Shot, Rapid Firing</t>
  </si>
  <si>
    <t>Grapple</t>
  </si>
  <si>
    <t>bonus</t>
  </si>
  <si>
    <t>Elfbane Arrows</t>
  </si>
  <si>
    <t>Dragonbane Arrows</t>
  </si>
  <si>
    <t>Ring of Fire Resistance, Minor</t>
  </si>
  <si>
    <t>Resist Fire 10</t>
  </si>
  <si>
    <t>+1 within 30’</t>
  </si>
  <si>
    <t>Ranger 5</t>
  </si>
  <si>
    <t>Favored Enemy:  Undead</t>
  </si>
  <si>
    <t>9th:  Weapon Focus (Longbow)</t>
  </si>
  <si>
    <t>Alchemist’s Fire (0)</t>
  </si>
  <si>
    <r>
      <t xml:space="preserve">3rd Shot, </t>
    </r>
    <r>
      <rPr>
        <i/>
        <sz val="12"/>
        <rFont val="Times New Roman"/>
        <family val="1"/>
      </rPr>
      <t>haste</t>
    </r>
  </si>
  <si>
    <t>Resist Fire (10)</t>
  </si>
  <si>
    <t>Greataxe +1, 2nd attack</t>
  </si>
  <si>
    <t>+1 haste</t>
  </si>
  <si>
    <t>vs. elves</t>
  </si>
  <si>
    <t>vs. dragons</t>
  </si>
  <si>
    <t>Blunt Arrows</t>
  </si>
  <si>
    <t>Piercing</t>
  </si>
  <si>
    <t>Bludgeoning</t>
  </si>
  <si>
    <t>Mithral Chain Barding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</si>
</sst>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
      <i/>
      <sz val="13"/>
      <name val="Times New Roman"/>
      <family val="1"/>
    </font>
  </fonts>
  <fills count="2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0" fontId="58"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50">
    <xf numFmtId="0" fontId="0" fillId="0" borderId="0" xfId="0"/>
    <xf numFmtId="0" fontId="37" fillId="0" borderId="39" xfId="0" applyFont="1" applyBorder="1" applyAlignment="1">
      <alignment horizontal="centerContinuous" vertical="center" wrapText="1"/>
    </xf>
    <xf numFmtId="0" fontId="45"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40" fillId="0" borderId="39" xfId="0" applyFont="1" applyBorder="1" applyAlignment="1">
      <alignment horizontal="centerContinuous" vertical="center" wrapText="1"/>
    </xf>
    <xf numFmtId="164" fontId="2" fillId="0" borderId="47" xfId="0" applyNumberFormat="1" applyFont="1" applyBorder="1" applyAlignment="1">
      <alignment horizontal="center" vertical="center"/>
    </xf>
    <xf numFmtId="1" fontId="49" fillId="11" borderId="74" xfId="0" applyNumberFormat="1" applyFont="1" applyFill="1" applyBorder="1" applyAlignment="1">
      <alignment horizontal="center" vertical="center"/>
    </xf>
    <xf numFmtId="164" fontId="2" fillId="0" borderId="55" xfId="0" applyNumberFormat="1" applyFont="1" applyBorder="1" applyAlignment="1">
      <alignment horizontal="center" vertical="center"/>
    </xf>
    <xf numFmtId="1" fontId="49" fillId="11" borderId="76" xfId="0" applyNumberFormat="1" applyFont="1" applyFill="1" applyBorder="1" applyAlignment="1">
      <alignment horizontal="center" vertical="center"/>
    </xf>
    <xf numFmtId="0" fontId="5" fillId="0" borderId="83" xfId="0" applyFont="1" applyBorder="1" applyAlignment="1">
      <alignment horizontal="center" vertical="center"/>
    </xf>
    <xf numFmtId="0" fontId="38" fillId="3" borderId="69" xfId="0" applyFont="1" applyFill="1" applyBorder="1" applyAlignment="1">
      <alignment horizontal="right" vertical="center"/>
    </xf>
    <xf numFmtId="0" fontId="38"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5" fillId="3" borderId="70" xfId="0" applyFont="1" applyFill="1" applyBorder="1" applyAlignment="1">
      <alignment horizontal="centerContinuous" vertical="center"/>
    </xf>
    <xf numFmtId="0" fontId="39"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2" xfId="0" applyFont="1" applyBorder="1" applyAlignment="1">
      <alignment horizontal="lef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7"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9" fillId="0" borderId="17" xfId="0" applyFont="1" applyBorder="1" applyAlignment="1">
      <alignment horizontal="center"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7" fillId="0" borderId="0" xfId="0" applyFont="1" applyBorder="1" applyAlignment="1">
      <alignment horizontal="left"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49" fontId="6" fillId="0" borderId="35" xfId="0" applyNumberFormat="1" applyFont="1" applyBorder="1" applyAlignment="1">
      <alignment horizontal="center" vertical="center"/>
    </xf>
    <xf numFmtId="0" fontId="41" fillId="3" borderId="5" xfId="0" applyFont="1" applyFill="1" applyBorder="1" applyAlignment="1">
      <alignment horizontal="right" vertical="center"/>
    </xf>
    <xf numFmtId="0" fontId="11" fillId="2" borderId="4" xfId="0" applyFont="1" applyFill="1" applyBorder="1" applyAlignment="1">
      <alignment horizontal="right" vertical="center"/>
    </xf>
    <xf numFmtId="49" fontId="7" fillId="0" borderId="35" xfId="0" applyNumberFormat="1" applyFont="1" applyBorder="1" applyAlignment="1">
      <alignment horizontal="center"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49" fontId="7" fillId="0" borderId="14" xfId="0" applyNumberFormat="1"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1" fontId="7" fillId="0" borderId="32" xfId="0" applyNumberFormat="1" applyFont="1" applyFill="1" applyBorder="1" applyAlignment="1">
      <alignment horizontal="center" vertical="center" wrapText="1"/>
    </xf>
    <xf numFmtId="0" fontId="44"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0" fontId="45" fillId="0" borderId="66" xfId="0" applyFont="1" applyFill="1" applyBorder="1" applyAlignment="1">
      <alignment horizontal="center" vertical="center" wrapText="1"/>
    </xf>
    <xf numFmtId="0" fontId="7" fillId="0" borderId="66" xfId="0" applyFont="1" applyFill="1" applyBorder="1" applyAlignment="1">
      <alignment horizontal="center" vertical="center" wrapText="1"/>
    </xf>
    <xf numFmtId="1" fontId="7" fillId="0" borderId="66" xfId="0" applyNumberFormat="1" applyFont="1" applyFill="1" applyBorder="1" applyAlignment="1">
      <alignment horizontal="center" vertical="center" wrapText="1"/>
    </xf>
    <xf numFmtId="0" fontId="42"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0" fontId="22"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7" fillId="8" borderId="34"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10" borderId="34"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2"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6"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6" fillId="0" borderId="61" xfId="0" applyFont="1" applyFill="1" applyBorder="1" applyAlignment="1">
      <alignment horizontal="centerContinuous" vertical="center"/>
    </xf>
    <xf numFmtId="0" fontId="46" fillId="0" borderId="61" xfId="0" applyFont="1" applyFill="1" applyBorder="1" applyAlignment="1">
      <alignment horizontal="center" vertical="center" shrinkToFit="1"/>
    </xf>
    <xf numFmtId="0" fontId="46" fillId="0" borderId="41" xfId="0" applyFont="1" applyFill="1" applyBorder="1" applyAlignment="1">
      <alignment horizontal="centerContinuous" vertical="center"/>
    </xf>
    <xf numFmtId="0" fontId="46"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6" xfId="2" applyNumberFormat="1" applyFont="1" applyFill="1" applyBorder="1" applyAlignment="1">
      <alignment horizontal="center" vertical="center"/>
    </xf>
    <xf numFmtId="0" fontId="5" fillId="0" borderId="76" xfId="0" applyFont="1" applyFill="1" applyBorder="1" applyAlignment="1">
      <alignment horizontal="center" vertical="center"/>
    </xf>
    <xf numFmtId="0" fontId="2" fillId="0" borderId="76" xfId="0" applyFont="1" applyBorder="1" applyAlignment="1">
      <alignment horizontal="center" vertical="center"/>
    </xf>
    <xf numFmtId="164" fontId="5" fillId="0" borderId="76"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0" fontId="48" fillId="11" borderId="25" xfId="0" applyFont="1" applyFill="1" applyBorder="1" applyAlignment="1">
      <alignment horizontal="center" vertical="center"/>
    </xf>
    <xf numFmtId="0" fontId="2" fillId="0" borderId="83"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9" xfId="0" applyFont="1" applyFill="1" applyBorder="1" applyAlignment="1">
      <alignment horizontal="centerContinuous" vertical="center"/>
    </xf>
    <xf numFmtId="9" fontId="5" fillId="0" borderId="83" xfId="0" applyNumberFormat="1" applyFont="1" applyBorder="1" applyAlignment="1">
      <alignment horizontal="center" vertical="center"/>
    </xf>
    <xf numFmtId="164" fontId="5" fillId="0" borderId="83" xfId="0" applyNumberFormat="1" applyFont="1" applyFill="1" applyBorder="1" applyAlignment="1">
      <alignment horizontal="center" vertical="center"/>
    </xf>
    <xf numFmtId="164" fontId="2" fillId="0" borderId="84" xfId="0" applyNumberFormat="1" applyFont="1" applyFill="1" applyBorder="1" applyAlignment="1">
      <alignment horizontal="centerContinuous" vertical="center"/>
    </xf>
    <xf numFmtId="164" fontId="2" fillId="0" borderId="87" xfId="0" applyNumberFormat="1" applyFont="1" applyFill="1" applyBorder="1" applyAlignment="1">
      <alignment horizontal="centerContinuous" vertical="center"/>
    </xf>
    <xf numFmtId="0" fontId="2" fillId="0" borderId="88" xfId="0" quotePrefix="1" applyFont="1" applyBorder="1" applyAlignment="1">
      <alignment horizontal="centerContinuous" vertical="center"/>
    </xf>
    <xf numFmtId="164" fontId="5" fillId="0" borderId="60" xfId="0" applyNumberFormat="1" applyFont="1" applyFill="1" applyBorder="1" applyAlignment="1">
      <alignment horizontal="center" vertical="center"/>
    </xf>
    <xf numFmtId="0" fontId="5" fillId="0" borderId="76" xfId="0" applyFont="1" applyBorder="1" applyAlignment="1">
      <alignment horizontal="center" vertical="center"/>
    </xf>
    <xf numFmtId="164" fontId="5" fillId="0" borderId="76" xfId="0" applyNumberFormat="1" applyFont="1" applyBorder="1" applyAlignment="1">
      <alignment horizontal="center" vertical="center"/>
    </xf>
    <xf numFmtId="164" fontId="2" fillId="0" borderId="78" xfId="0" applyNumberFormat="1" applyFont="1" applyFill="1" applyBorder="1" applyAlignment="1">
      <alignment horizontal="centerContinuous" vertical="center"/>
    </xf>
    <xf numFmtId="164" fontId="2" fillId="0" borderId="80" xfId="0" applyNumberFormat="1" applyFont="1" applyFill="1" applyBorder="1" applyAlignment="1">
      <alignment horizontal="centerContinuous" vertical="center"/>
    </xf>
    <xf numFmtId="0" fontId="2" fillId="0" borderId="81"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80"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9" xfId="0" applyNumberFormat="1" applyFont="1" applyBorder="1" applyAlignment="1">
      <alignment horizontal="center" vertical="center" shrinkToFit="1"/>
    </xf>
    <xf numFmtId="0" fontId="5" fillId="0" borderId="53" xfId="0"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0" fontId="4" fillId="0" borderId="0" xfId="0" applyFont="1" applyFill="1" applyBorder="1" applyAlignment="1">
      <alignment horizontal="right" vertical="center"/>
    </xf>
    <xf numFmtId="1" fontId="5" fillId="0" borderId="0" xfId="0" applyNumberFormat="1" applyFont="1" applyBorder="1" applyAlignment="1">
      <alignment horizontal="center" vertical="center"/>
    </xf>
    <xf numFmtId="0" fontId="52" fillId="0" borderId="39" xfId="0" applyFont="1" applyBorder="1" applyAlignment="1">
      <alignment horizontal="centerContinuous" vertical="center"/>
    </xf>
    <xf numFmtId="0" fontId="53"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7" fillId="14" borderId="34"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86" xfId="0" quotePrefix="1" applyFont="1" applyFill="1" applyBorder="1" applyAlignment="1">
      <alignment horizontal="center" vertical="center"/>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164" fontId="5" fillId="0" borderId="0" xfId="0" applyNumberFormat="1" applyFont="1" applyBorder="1" applyAlignment="1">
      <alignment vertical="center"/>
    </xf>
    <xf numFmtId="49"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60" xfId="0" applyNumberFormat="1" applyFont="1" applyFill="1" applyBorder="1" applyAlignment="1">
      <alignment horizontal="center" vertical="center"/>
    </xf>
    <xf numFmtId="0" fontId="2" fillId="0" borderId="83" xfId="0" quotePrefix="1" applyFont="1" applyBorder="1" applyAlignment="1">
      <alignment horizontal="center" vertical="center" wrapText="1"/>
    </xf>
    <xf numFmtId="1" fontId="5" fillId="0" borderId="0" xfId="0" applyNumberFormat="1" applyFont="1" applyBorder="1" applyAlignment="1">
      <alignment vertical="center"/>
    </xf>
    <xf numFmtId="0" fontId="2" fillId="0" borderId="74" xfId="0" applyFont="1" applyBorder="1" applyAlignment="1">
      <alignment horizontal="center" vertical="center"/>
    </xf>
    <xf numFmtId="0" fontId="2" fillId="0" borderId="74" xfId="0" quotePrefix="1" applyFont="1" applyBorder="1" applyAlignment="1">
      <alignment horizontal="center" vertical="center" wrapText="1"/>
    </xf>
    <xf numFmtId="49" fontId="2" fillId="0" borderId="74" xfId="2" applyNumberFormat="1"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0" xfId="0" applyFont="1" applyBorder="1" applyAlignment="1">
      <alignment vertical="center"/>
    </xf>
    <xf numFmtId="0" fontId="2" fillId="0" borderId="45" xfId="0" applyFont="1" applyFill="1" applyBorder="1" applyAlignment="1">
      <alignment horizontal="center" vertical="center"/>
    </xf>
    <xf numFmtId="164" fontId="5" fillId="0" borderId="74" xfId="0" applyNumberFormat="1" applyFont="1" applyBorder="1" applyAlignment="1">
      <alignment horizontal="center" vertical="center"/>
    </xf>
    <xf numFmtId="0" fontId="2" fillId="0" borderId="91" xfId="0" quotePrefix="1" applyFont="1" applyBorder="1" applyAlignment="1">
      <alignment horizontal="center" vertical="center"/>
    </xf>
    <xf numFmtId="164" fontId="5" fillId="0" borderId="61" xfId="0" applyNumberFormat="1" applyFont="1" applyBorder="1" applyAlignment="1">
      <alignment horizontal="center"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164" fontId="2" fillId="0" borderId="89"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1" fontId="2" fillId="0" borderId="75"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49" fontId="7" fillId="0" borderId="96" xfId="0" applyNumberFormat="1" applyFont="1" applyFill="1" applyBorder="1" applyAlignment="1">
      <alignment horizontal="center" vertical="center"/>
    </xf>
    <xf numFmtId="0" fontId="2" fillId="0" borderId="92" xfId="0" applyFont="1" applyFill="1" applyBorder="1" applyAlignment="1">
      <alignment horizontal="centerContinuous" vertical="center" shrinkToFit="1"/>
    </xf>
    <xf numFmtId="0" fontId="21" fillId="0" borderId="87"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88"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5" xfId="0" applyFont="1" applyFill="1" applyBorder="1" applyAlignment="1">
      <alignment horizontal="centerContinuous" vertical="center"/>
    </xf>
    <xf numFmtId="0" fontId="2" fillId="0" borderId="97" xfId="0" applyFont="1" applyFill="1" applyBorder="1" applyAlignment="1">
      <alignment horizontal="center" vertical="center" shrinkToFit="1"/>
    </xf>
    <xf numFmtId="1" fontId="2" fillId="0" borderId="61" xfId="0" applyNumberFormat="1" applyFont="1" applyFill="1" applyBorder="1" applyAlignment="1">
      <alignment horizontal="center" vertical="center"/>
    </xf>
    <xf numFmtId="0" fontId="2" fillId="0" borderId="16" xfId="0" applyFont="1" applyBorder="1" applyAlignment="1">
      <alignment horizontal="center" vertical="center"/>
    </xf>
    <xf numFmtId="0" fontId="5" fillId="0" borderId="32" xfId="0" applyFont="1" applyBorder="1" applyAlignment="1">
      <alignment horizontal="center" vertical="center"/>
    </xf>
    <xf numFmtId="9" fontId="5" fillId="0" borderId="32" xfId="0" applyNumberFormat="1" applyFont="1" applyBorder="1" applyAlignment="1">
      <alignment horizontal="center" vertical="center"/>
    </xf>
    <xf numFmtId="0" fontId="2" fillId="0" borderId="32" xfId="0" applyFont="1" applyBorder="1" applyAlignment="1">
      <alignment horizontal="center" vertical="center"/>
    </xf>
    <xf numFmtId="164" fontId="5" fillId="0" borderId="32" xfId="0" applyNumberFormat="1" applyFont="1" applyFill="1" applyBorder="1" applyAlignment="1">
      <alignment horizontal="center" vertical="center"/>
    </xf>
    <xf numFmtId="164" fontId="2" fillId="0" borderId="33"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2" fillId="0" borderId="2" xfId="0" quotePrefix="1" applyFont="1" applyBorder="1" applyAlignment="1">
      <alignment horizontal="centerContinuous" vertical="center"/>
    </xf>
    <xf numFmtId="164" fontId="5" fillId="0" borderId="98" xfId="0" applyNumberFormat="1" applyFont="1" applyFill="1" applyBorder="1" applyAlignment="1">
      <alignment horizontal="center" vertical="center"/>
    </xf>
    <xf numFmtId="0" fontId="5" fillId="0" borderId="83" xfId="0" applyFont="1" applyFill="1" applyBorder="1" applyAlignment="1">
      <alignment horizontal="center" vertical="center"/>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80"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9" xfId="0" applyFont="1" applyFill="1" applyBorder="1" applyAlignment="1">
      <alignment horizontal="centerContinuous" vertical="center"/>
    </xf>
    <xf numFmtId="0" fontId="21" fillId="0" borderId="75" xfId="0" applyFont="1" applyFill="1" applyBorder="1" applyAlignment="1">
      <alignment horizontal="centerContinuous" vertical="center"/>
    </xf>
    <xf numFmtId="0" fontId="2" fillId="0" borderId="77"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4"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100" xfId="3" applyFont="1" applyFill="1" applyBorder="1" applyAlignment="1">
      <alignment horizontal="right" vertical="center"/>
    </xf>
    <xf numFmtId="0" fontId="26" fillId="0" borderId="101"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100"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5" fillId="3" borderId="102" xfId="3" applyFont="1" applyFill="1" applyBorder="1" applyAlignment="1">
      <alignment horizontal="right" vertical="center"/>
    </xf>
    <xf numFmtId="0" fontId="4" fillId="3" borderId="103" xfId="3" applyFont="1" applyFill="1" applyBorder="1" applyAlignment="1">
      <alignment horizontal="centerContinuous" vertical="center"/>
    </xf>
    <xf numFmtId="0" fontId="2" fillId="3" borderId="103" xfId="3" applyFont="1" applyFill="1" applyBorder="1" applyAlignment="1">
      <alignment horizontal="left" vertical="center"/>
    </xf>
    <xf numFmtId="0" fontId="20" fillId="3" borderId="103" xfId="3" applyFont="1" applyFill="1" applyBorder="1" applyAlignment="1">
      <alignment horizontal="left" vertical="center"/>
    </xf>
    <xf numFmtId="0" fontId="56" fillId="3" borderId="104" xfId="3" applyFont="1" applyFill="1" applyBorder="1" applyAlignment="1">
      <alignment horizontal="right" vertical="center"/>
    </xf>
    <xf numFmtId="0" fontId="2" fillId="0" borderId="0" xfId="6" applyFont="1" applyBorder="1" applyAlignment="1">
      <alignment vertical="center" wrapText="1"/>
    </xf>
    <xf numFmtId="0" fontId="4" fillId="0" borderId="0" xfId="6" applyFont="1" applyBorder="1" applyAlignment="1">
      <alignment horizontal="right" vertical="center" wrapText="1"/>
    </xf>
    <xf numFmtId="0" fontId="2" fillId="0" borderId="0" xfId="6" applyFont="1" applyBorder="1" applyAlignment="1">
      <alignment horizontal="left" vertical="center" wrapText="1"/>
    </xf>
    <xf numFmtId="0" fontId="7" fillId="0" borderId="63" xfId="2" applyNumberFormat="1" applyFont="1" applyFill="1" applyBorder="1" applyAlignment="1">
      <alignment horizontal="center" vertical="center" shrinkToFit="1"/>
    </xf>
    <xf numFmtId="0" fontId="2" fillId="0" borderId="63" xfId="2" applyNumberFormat="1" applyFont="1" applyFill="1" applyBorder="1" applyAlignment="1">
      <alignment horizontal="center" vertical="center" shrinkToFit="1"/>
    </xf>
    <xf numFmtId="0" fontId="2" fillId="0" borderId="63" xfId="6" applyFont="1" applyFill="1" applyBorder="1" applyAlignment="1">
      <alignment horizontal="center" vertical="center" shrinkToFit="1"/>
    </xf>
    <xf numFmtId="9" fontId="7" fillId="0" borderId="63" xfId="2" applyFont="1" applyFill="1" applyBorder="1" applyAlignment="1">
      <alignment horizontal="center" vertical="center" shrinkToFit="1"/>
    </xf>
    <xf numFmtId="9" fontId="7" fillId="0" borderId="62" xfId="2" applyFont="1" applyFill="1" applyBorder="1" applyAlignment="1">
      <alignment horizontal="center" vertical="center" shrinkToFit="1"/>
    </xf>
    <xf numFmtId="0" fontId="7" fillId="0" borderId="62" xfId="6" applyFont="1" applyFill="1" applyBorder="1" applyAlignment="1">
      <alignment horizontal="center" vertical="center" wrapText="1"/>
    </xf>
    <xf numFmtId="0" fontId="27" fillId="0" borderId="9" xfId="6" applyFont="1" applyFill="1" applyBorder="1" applyAlignment="1">
      <alignment horizontal="center" vertical="center" shrinkToFit="1"/>
    </xf>
    <xf numFmtId="0" fontId="4" fillId="0" borderId="0" xfId="6" applyFont="1" applyBorder="1" applyAlignment="1">
      <alignment vertical="center" wrapText="1"/>
    </xf>
    <xf numFmtId="0" fontId="12" fillId="18" borderId="27" xfId="6" applyFont="1" applyFill="1" applyBorder="1" applyAlignment="1">
      <alignment horizontal="center" vertical="center" wrapText="1"/>
    </xf>
    <xf numFmtId="0" fontId="21" fillId="18" borderId="27" xfId="6" applyFont="1" applyFill="1" applyBorder="1" applyAlignment="1">
      <alignment horizontal="center" vertical="center" wrapText="1"/>
    </xf>
    <xf numFmtId="0" fontId="12" fillId="18" borderId="26" xfId="6" applyFont="1" applyFill="1" applyBorder="1" applyAlignment="1">
      <alignment horizontal="centerContinuous" vertical="center" wrapText="1"/>
    </xf>
    <xf numFmtId="0" fontId="15" fillId="0" borderId="0" xfId="6" applyFont="1" applyBorder="1" applyAlignment="1">
      <alignment horizontal="centerContinuous" vertical="center" wrapText="1"/>
    </xf>
    <xf numFmtId="0" fontId="12" fillId="19" borderId="27" xfId="0" applyFont="1" applyFill="1" applyBorder="1" applyAlignment="1">
      <alignment horizontal="center" vertical="center" wrapText="1"/>
    </xf>
    <xf numFmtId="0" fontId="12" fillId="19" borderId="105" xfId="0" applyNumberFormat="1" applyFont="1" applyFill="1" applyBorder="1" applyAlignment="1">
      <alignment horizontal="centerContinuous" vertical="center" wrapText="1"/>
    </xf>
    <xf numFmtId="0" fontId="7" fillId="0" borderId="29" xfId="2"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wrapText="1"/>
    </xf>
    <xf numFmtId="0" fontId="59" fillId="0" borderId="106" xfId="0" applyFont="1" applyBorder="1" applyAlignment="1">
      <alignment horizontal="centerContinuous" vertical="center" wrapText="1"/>
    </xf>
    <xf numFmtId="0" fontId="15" fillId="0" borderId="107" xfId="0" applyFont="1" applyBorder="1" applyAlignment="1">
      <alignment horizontal="centerContinuous" vertical="center" wrapText="1"/>
    </xf>
    <xf numFmtId="0" fontId="15" fillId="0" borderId="108"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9"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60"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1" fillId="0" borderId="0" xfId="0" applyFont="1" applyBorder="1" applyAlignment="1">
      <alignment horizontal="centerContinuous" vertical="center" wrapText="1"/>
    </xf>
    <xf numFmtId="0" fontId="62" fillId="0" borderId="0" xfId="0" applyFont="1" applyBorder="1" applyAlignment="1">
      <alignment horizontal="centerContinuous" vertical="center" wrapText="1"/>
    </xf>
    <xf numFmtId="0" fontId="59"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0" xfId="0" applyFont="1" applyBorder="1" applyAlignment="1">
      <alignment horizontal="right" vertical="center"/>
    </xf>
    <xf numFmtId="0" fontId="2" fillId="0" borderId="111" xfId="0" applyFont="1" applyBorder="1" applyAlignment="1">
      <alignment horizontal="center" vertical="center" wrapText="1"/>
    </xf>
    <xf numFmtId="0" fontId="2" fillId="20" borderId="112" xfId="0" applyFont="1" applyFill="1" applyBorder="1" applyAlignment="1">
      <alignment horizontal="center" vertical="center" wrapText="1"/>
    </xf>
    <xf numFmtId="0" fontId="2" fillId="20" borderId="113"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5"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3" fillId="19" borderId="77"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59" fillId="0" borderId="28" xfId="6" applyFont="1" applyBorder="1" applyAlignment="1">
      <alignment horizontal="centerContinuous" vertical="center" wrapText="1"/>
    </xf>
    <xf numFmtId="0" fontId="2" fillId="0" borderId="83" xfId="0" applyFont="1" applyFill="1" applyBorder="1" applyAlignment="1">
      <alignment horizontal="center" vertical="center"/>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16" borderId="83" xfId="0" applyNumberFormat="1" applyFont="1" applyFill="1" applyBorder="1" applyAlignment="1">
      <alignment horizontal="center" vertical="center"/>
    </xf>
    <xf numFmtId="164" fontId="2" fillId="0" borderId="83" xfId="0" applyNumberFormat="1" applyFont="1" applyFill="1" applyBorder="1" applyAlignment="1">
      <alignment horizontal="center" vertical="center"/>
    </xf>
    <xf numFmtId="164" fontId="2" fillId="0" borderId="84" xfId="0" applyNumberFormat="1" applyFont="1" applyFill="1" applyBorder="1" applyAlignment="1">
      <alignment horizontal="center" vertical="center"/>
    </xf>
    <xf numFmtId="1" fontId="49" fillId="11" borderId="84" xfId="0"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164" fontId="2" fillId="10" borderId="98" xfId="0" applyNumberFormat="1" applyFont="1" applyFill="1" applyBorder="1" applyAlignment="1">
      <alignment horizontal="center" vertical="center"/>
    </xf>
    <xf numFmtId="0" fontId="2" fillId="10" borderId="46" xfId="0" applyFont="1" applyFill="1" applyBorder="1" applyAlignment="1">
      <alignment horizontal="center" vertical="center"/>
    </xf>
    <xf numFmtId="49" fontId="2" fillId="10" borderId="46" xfId="0" applyNumberFormat="1" applyFont="1" applyFill="1" applyBorder="1" applyAlignment="1">
      <alignment horizontal="center" vertical="center"/>
    </xf>
    <xf numFmtId="164" fontId="2" fillId="10" borderId="46" xfId="0"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 fontId="49" fillId="11" borderId="116" xfId="0" applyNumberFormat="1" applyFont="1" applyFill="1" applyBorder="1" applyAlignment="1">
      <alignment horizontal="center" vertical="center"/>
    </xf>
    <xf numFmtId="1" fontId="2" fillId="0" borderId="116" xfId="0" applyNumberFormat="1"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8" xfId="0" quotePrefix="1" applyFont="1" applyBorder="1" applyAlignment="1">
      <alignment horizontal="center" vertical="center" wrapText="1"/>
    </xf>
    <xf numFmtId="0" fontId="2" fillId="16" borderId="118" xfId="0" applyNumberFormat="1" applyFont="1" applyFill="1" applyBorder="1" applyAlignment="1">
      <alignment horizontal="center" vertical="center"/>
    </xf>
    <xf numFmtId="164" fontId="2" fillId="0" borderId="118" xfId="0" applyNumberFormat="1" applyFont="1" applyFill="1" applyBorder="1" applyAlignment="1">
      <alignment horizontal="center" vertical="center"/>
    </xf>
    <xf numFmtId="164" fontId="2" fillId="0" borderId="119" xfId="0" applyNumberFormat="1" applyFont="1" applyFill="1" applyBorder="1" applyAlignment="1">
      <alignment horizontal="center" vertical="center"/>
    </xf>
    <xf numFmtId="1" fontId="49" fillId="11" borderId="119" xfId="0" applyNumberFormat="1" applyFont="1" applyFill="1" applyBorder="1" applyAlignment="1">
      <alignment horizontal="center" vertical="center"/>
    </xf>
    <xf numFmtId="1" fontId="2" fillId="0" borderId="119"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121" xfId="0" applyFont="1" applyBorder="1" applyAlignment="1">
      <alignment horizontal="center" vertical="center"/>
    </xf>
    <xf numFmtId="49" fontId="2" fillId="0" borderId="121" xfId="2" applyNumberFormat="1" applyFont="1" applyBorder="1" applyAlignment="1">
      <alignment horizontal="center" vertical="center"/>
    </xf>
    <xf numFmtId="164" fontId="2" fillId="0" borderId="51" xfId="0" applyNumberFormat="1" applyFont="1" applyBorder="1" applyAlignment="1">
      <alignment horizontal="center" vertical="center"/>
    </xf>
    <xf numFmtId="1" fontId="49" fillId="11" borderId="121"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0" fontId="2" fillId="0" borderId="123" xfId="0" quotePrefix="1" applyFont="1" applyBorder="1" applyAlignment="1">
      <alignment horizontal="center" vertical="center"/>
    </xf>
    <xf numFmtId="164" fontId="5" fillId="10" borderId="89" xfId="0" applyNumberFormat="1" applyFont="1" applyFill="1" applyBorder="1" applyAlignment="1">
      <alignment horizontal="center" vertical="center"/>
    </xf>
    <xf numFmtId="164" fontId="5" fillId="10" borderId="41" xfId="0" applyNumberFormat="1" applyFont="1" applyFill="1" applyBorder="1" applyAlignment="1">
      <alignment horizontal="center" vertical="center"/>
    </xf>
    <xf numFmtId="0" fontId="2" fillId="0" borderId="92" xfId="0" applyFont="1" applyFill="1" applyBorder="1" applyAlignment="1">
      <alignment horizontal="centerContinuous" vertical="center"/>
    </xf>
    <xf numFmtId="0" fontId="5" fillId="0" borderId="124" xfId="0" applyFont="1" applyFill="1" applyBorder="1" applyAlignment="1">
      <alignment horizontal="centerContinuous" vertical="center"/>
    </xf>
    <xf numFmtId="49" fontId="2" fillId="0" borderId="84" xfId="0" applyNumberFormat="1" applyFont="1" applyFill="1" applyBorder="1" applyAlignment="1">
      <alignment horizontal="centerContinuous" vertical="center"/>
    </xf>
    <xf numFmtId="49" fontId="2" fillId="0" borderId="87"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26"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0" fontId="5" fillId="0" borderId="76" xfId="0" applyFont="1" applyFill="1" applyBorder="1" applyAlignment="1">
      <alignment horizontal="centerContinuous" vertical="center"/>
    </xf>
    <xf numFmtId="164" fontId="2" fillId="0" borderId="76"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50" xfId="0" applyFont="1" applyBorder="1" applyAlignment="1">
      <alignment horizontal="center" vertical="center" shrinkToFit="1"/>
    </xf>
    <xf numFmtId="0" fontId="2" fillId="0" borderId="51"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64" fontId="2" fillId="0" borderId="89" xfId="0" applyNumberFormat="1" applyFont="1" applyFill="1" applyBorder="1" applyAlignment="1">
      <alignment horizontal="center" vertical="center"/>
    </xf>
    <xf numFmtId="0" fontId="2" fillId="0" borderId="114" xfId="0" quotePrefix="1" applyFont="1" applyBorder="1" applyAlignment="1">
      <alignment horizontal="center" vertical="center"/>
    </xf>
    <xf numFmtId="0" fontId="2" fillId="0" borderId="120" xfId="0" quotePrefix="1" applyFont="1" applyBorder="1" applyAlignment="1">
      <alignment horizontal="center" vertical="center"/>
    </xf>
    <xf numFmtId="0" fontId="2" fillId="0" borderId="115" xfId="0" applyFont="1" applyBorder="1" applyAlignment="1">
      <alignment horizontal="center" vertical="center"/>
    </xf>
    <xf numFmtId="49" fontId="2" fillId="16" borderId="74" xfId="0" applyNumberFormat="1" applyFont="1" applyFill="1" applyBorder="1" applyAlignment="1">
      <alignment horizontal="center" vertical="center"/>
    </xf>
    <xf numFmtId="49" fontId="2" fillId="16" borderId="118" xfId="0" applyNumberFormat="1" applyFont="1" applyFill="1" applyBorder="1" applyAlignment="1">
      <alignment horizontal="center" vertical="center"/>
    </xf>
    <xf numFmtId="0" fontId="65" fillId="0" borderId="6" xfId="0" applyFont="1" applyBorder="1" applyAlignment="1">
      <alignment vertical="center"/>
    </xf>
    <xf numFmtId="1" fontId="7" fillId="16" borderId="35" xfId="0" applyNumberFormat="1" applyFont="1" applyFill="1" applyBorder="1" applyAlignment="1">
      <alignment horizontal="center" vertical="center"/>
    </xf>
    <xf numFmtId="0" fontId="2" fillId="10" borderId="85" xfId="0" applyFont="1" applyFill="1" applyBorder="1" applyAlignment="1">
      <alignment horizontal="center" vertical="center"/>
    </xf>
    <xf numFmtId="0" fontId="5" fillId="10" borderId="76" xfId="0" applyFont="1" applyFill="1" applyBorder="1" applyAlignment="1">
      <alignment horizontal="center" vertical="center"/>
    </xf>
    <xf numFmtId="49" fontId="5" fillId="10" borderId="76" xfId="0" applyNumberFormat="1" applyFont="1" applyFill="1" applyBorder="1" applyAlignment="1">
      <alignment horizontal="center" vertical="center"/>
    </xf>
    <xf numFmtId="49" fontId="2" fillId="10" borderId="76" xfId="0" applyNumberFormat="1" applyFont="1" applyFill="1" applyBorder="1" applyAlignment="1">
      <alignment horizontal="center" vertical="center"/>
    </xf>
    <xf numFmtId="0" fontId="2" fillId="10" borderId="76" xfId="0" applyNumberFormat="1" applyFont="1" applyFill="1" applyBorder="1" applyAlignment="1">
      <alignment horizontal="center" vertical="center"/>
    </xf>
    <xf numFmtId="164" fontId="5" fillId="10" borderId="76" xfId="0" applyNumberFormat="1" applyFont="1" applyFill="1" applyBorder="1" applyAlignment="1">
      <alignment horizontal="center" vertical="center"/>
    </xf>
    <xf numFmtId="164" fontId="2" fillId="10" borderId="78" xfId="0" applyNumberFormat="1" applyFont="1" applyFill="1" applyBorder="1" applyAlignment="1">
      <alignment horizontal="center" vertical="center"/>
    </xf>
    <xf numFmtId="1" fontId="49" fillId="10" borderId="78" xfId="0" applyNumberFormat="1" applyFont="1" applyFill="1" applyBorder="1" applyAlignment="1">
      <alignment horizontal="center" vertical="center"/>
    </xf>
    <xf numFmtId="1" fontId="2" fillId="10" borderId="78" xfId="0" applyNumberFormat="1" applyFont="1" applyFill="1" applyBorder="1" applyAlignment="1">
      <alignment horizontal="center" vertical="center"/>
    </xf>
    <xf numFmtId="0" fontId="2" fillId="10" borderId="86" xfId="0" quotePrefix="1" applyFont="1" applyFill="1" applyBorder="1" applyAlignment="1">
      <alignment horizontal="center" vertical="center"/>
    </xf>
    <xf numFmtId="0" fontId="2" fillId="0" borderId="121" xfId="0" quotePrefix="1" applyFont="1" applyBorder="1" applyAlignment="1">
      <alignment horizontal="center" vertical="center" wrapText="1"/>
    </xf>
    <xf numFmtId="0" fontId="2" fillId="0" borderId="121" xfId="0" applyFont="1" applyBorder="1" applyAlignment="1">
      <alignment horizontal="center" vertical="center" shrinkToFit="1"/>
    </xf>
    <xf numFmtId="164" fontId="5" fillId="0" borderId="121" xfId="0" applyNumberFormat="1" applyFont="1" applyBorder="1" applyAlignment="1">
      <alignment horizontal="center" vertical="center"/>
    </xf>
    <xf numFmtId="0" fontId="7" fillId="0" borderId="59" xfId="0" applyNumberFormat="1" applyFont="1" applyFill="1" applyBorder="1" applyAlignment="1">
      <alignment horizontal="centerContinuous" vertical="center"/>
    </xf>
    <xf numFmtId="0" fontId="7" fillId="0" borderId="31" xfId="0" applyFont="1" applyFill="1" applyBorder="1" applyAlignment="1">
      <alignment horizontal="centerContinuous" vertical="center"/>
    </xf>
    <xf numFmtId="0" fontId="2" fillId="0" borderId="127" xfId="0" applyFont="1" applyFill="1" applyBorder="1" applyAlignment="1">
      <alignment horizontal="centerContinuous" vertical="center"/>
    </xf>
    <xf numFmtId="0" fontId="5" fillId="0" borderId="128" xfId="0" applyFont="1" applyFill="1" applyBorder="1" applyAlignment="1">
      <alignment horizontal="centerContinuous" vertical="center"/>
    </xf>
    <xf numFmtId="0" fontId="5" fillId="0" borderId="118" xfId="0" applyFont="1" applyFill="1" applyBorder="1" applyAlignment="1">
      <alignment horizontal="centerContinuous" vertical="center"/>
    </xf>
    <xf numFmtId="164" fontId="5" fillId="0" borderId="118" xfId="0" applyNumberFormat="1" applyFont="1" applyFill="1" applyBorder="1" applyAlignment="1">
      <alignment horizontal="center" vertical="center"/>
    </xf>
    <xf numFmtId="49" fontId="2" fillId="0" borderId="118" xfId="0" applyNumberFormat="1" applyFont="1" applyFill="1" applyBorder="1" applyAlignment="1">
      <alignment horizontal="center" vertical="center"/>
    </xf>
    <xf numFmtId="49" fontId="2" fillId="0" borderId="119" xfId="0" applyNumberFormat="1" applyFont="1" applyFill="1" applyBorder="1" applyAlignment="1">
      <alignment horizontal="centerContinuous" vertical="center"/>
    </xf>
    <xf numFmtId="49" fontId="2" fillId="0" borderId="129" xfId="0" applyNumberFormat="1" applyFont="1" applyFill="1" applyBorder="1" applyAlignment="1">
      <alignment horizontal="centerContinuous" vertical="center"/>
    </xf>
    <xf numFmtId="0" fontId="2" fillId="0" borderId="130" xfId="0" applyFont="1" applyFill="1" applyBorder="1" applyAlignment="1">
      <alignment horizontal="centerContinuous" vertical="center"/>
    </xf>
    <xf numFmtId="164" fontId="2" fillId="0" borderId="61" xfId="0" applyNumberFormat="1" applyFont="1" applyFill="1" applyBorder="1" applyAlignment="1">
      <alignment horizontal="center" vertical="center"/>
    </xf>
    <xf numFmtId="49" fontId="2" fillId="0" borderId="78" xfId="0" applyNumberFormat="1" applyFont="1" applyFill="1" applyBorder="1" applyAlignment="1">
      <alignment horizontal="left" vertical="center"/>
    </xf>
    <xf numFmtId="0" fontId="2" fillId="10" borderId="45" xfId="0" applyFont="1" applyFill="1" applyBorder="1" applyAlignment="1">
      <alignment horizontal="centerContinuous" vertical="center"/>
    </xf>
    <xf numFmtId="0" fontId="5" fillId="10" borderId="125" xfId="0" applyFont="1" applyFill="1" applyBorder="1" applyAlignment="1">
      <alignment horizontal="centerContinuous" vertical="center"/>
    </xf>
    <xf numFmtId="0" fontId="2" fillId="10" borderId="74" xfId="0" applyFont="1" applyFill="1" applyBorder="1" applyAlignment="1">
      <alignment horizontal="centerContinuous" vertical="center"/>
    </xf>
    <xf numFmtId="164" fontId="2" fillId="10" borderId="74" xfId="0" applyNumberFormat="1" applyFont="1" applyFill="1" applyBorder="1" applyAlignment="1">
      <alignment horizontal="center" vertical="center"/>
    </xf>
    <xf numFmtId="49" fontId="2" fillId="10" borderId="74" xfId="0" applyNumberFormat="1" applyFont="1" applyFill="1" applyBorder="1" applyAlignment="1">
      <alignment horizontal="center" vertical="center"/>
    </xf>
    <xf numFmtId="49" fontId="2" fillId="10" borderId="116" xfId="0" applyNumberFormat="1" applyFont="1" applyFill="1" applyBorder="1" applyAlignment="1">
      <alignment horizontal="left" vertical="center"/>
    </xf>
    <xf numFmtId="49" fontId="2" fillId="10" borderId="94" xfId="0" applyNumberFormat="1" applyFont="1" applyFill="1" applyBorder="1" applyAlignment="1">
      <alignment horizontal="centerContinuous" vertical="center"/>
    </xf>
    <xf numFmtId="0" fontId="2" fillId="10" borderId="95" xfId="0" applyFont="1" applyFill="1" applyBorder="1" applyAlignment="1">
      <alignment horizontal="centerContinuous" vertical="center"/>
    </xf>
    <xf numFmtId="164" fontId="2" fillId="10" borderId="61" xfId="0" applyNumberFormat="1" applyFont="1" applyFill="1" applyBorder="1" applyAlignment="1">
      <alignment horizontal="center"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15">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workbookViewId="0"/>
  </sheetViews>
  <sheetFormatPr defaultRowHeight="15.75"/>
  <cols>
    <col min="1" max="1" width="14.5" style="17" customWidth="1"/>
    <col min="2" max="2" width="9.25" style="17" customWidth="1"/>
    <col min="3" max="3" width="4.875" style="17" customWidth="1"/>
    <col min="4" max="4" width="13.875" style="17" bestFit="1" customWidth="1"/>
    <col min="5" max="5" width="10.25" style="17" bestFit="1" customWidth="1"/>
    <col min="6" max="6" width="11.75" style="17" customWidth="1"/>
    <col min="7" max="7" width="12.5" style="17" customWidth="1"/>
    <col min="8" max="16384" width="9" style="17"/>
  </cols>
  <sheetData>
    <row r="1" spans="1:7" ht="29.25" thickTop="1" thickBot="1">
      <c r="A1" s="11" t="s">
        <v>100</v>
      </c>
      <c r="B1" s="12"/>
      <c r="C1" s="13"/>
      <c r="D1" s="14"/>
      <c r="E1" s="15"/>
      <c r="F1" s="14"/>
      <c r="G1" s="16" t="s">
        <v>101</v>
      </c>
    </row>
    <row r="2" spans="1:7" ht="17.25" thickTop="1">
      <c r="A2" s="18" t="s">
        <v>0</v>
      </c>
      <c r="B2" s="19" t="s">
        <v>91</v>
      </c>
      <c r="C2" s="20"/>
      <c r="D2" s="21"/>
      <c r="E2" s="20"/>
      <c r="G2" s="22"/>
    </row>
    <row r="3" spans="1:7" ht="16.5">
      <c r="A3" s="18" t="s">
        <v>64</v>
      </c>
      <c r="B3" s="19" t="s">
        <v>91</v>
      </c>
      <c r="C3" s="23"/>
      <c r="D3" s="21" t="s">
        <v>65</v>
      </c>
      <c r="E3" s="20">
        <v>4</v>
      </c>
      <c r="F3" s="21"/>
      <c r="G3" s="22"/>
    </row>
    <row r="4" spans="1:7" ht="16.5">
      <c r="A4" s="18" t="s">
        <v>64</v>
      </c>
      <c r="B4" s="19" t="s">
        <v>142</v>
      </c>
      <c r="C4" s="23"/>
      <c r="D4" s="21" t="s">
        <v>65</v>
      </c>
      <c r="E4" s="20">
        <v>5</v>
      </c>
      <c r="F4" s="21"/>
      <c r="G4" s="22"/>
    </row>
    <row r="5" spans="1:7" ht="17.25" thickBot="1">
      <c r="A5" s="18" t="s">
        <v>66</v>
      </c>
      <c r="B5" s="19" t="s">
        <v>94</v>
      </c>
      <c r="C5" s="20"/>
      <c r="D5" s="21" t="s">
        <v>1</v>
      </c>
      <c r="E5" s="20" t="s">
        <v>95</v>
      </c>
      <c r="F5" s="21"/>
      <c r="G5" s="22"/>
    </row>
    <row r="6" spans="1:7" ht="17.25" thickTop="1">
      <c r="A6" s="24" t="s">
        <v>124</v>
      </c>
      <c r="B6" s="529">
        <f>6+1</f>
        <v>7</v>
      </c>
      <c r="C6" s="530"/>
      <c r="D6" s="25" t="s">
        <v>76</v>
      </c>
      <c r="E6" s="26" t="s">
        <v>119</v>
      </c>
      <c r="F6" s="21"/>
      <c r="G6" s="22"/>
    </row>
    <row r="7" spans="1:7" ht="17.25" thickBot="1">
      <c r="A7" s="503" t="s">
        <v>120</v>
      </c>
      <c r="B7" s="27" t="str">
        <f>C9</f>
        <v>+4</v>
      </c>
      <c r="C7" s="28"/>
      <c r="D7" s="29" t="s">
        <v>121</v>
      </c>
      <c r="E7" s="30" t="s">
        <v>119</v>
      </c>
      <c r="F7" s="21"/>
      <c r="G7" s="22"/>
    </row>
    <row r="8" spans="1:7" ht="17.25" thickTop="1">
      <c r="A8" s="31" t="s">
        <v>2</v>
      </c>
      <c r="B8" s="32">
        <v>18</v>
      </c>
      <c r="C8" s="33" t="str">
        <f t="shared" ref="C8:C13" si="0">IF(B8&gt;9.9,CONCATENATE("+",ROUNDDOWN((B8-10)/2,0)),ROUNDUP((B8-10)/2,0))</f>
        <v>+4</v>
      </c>
      <c r="D8" s="34" t="s">
        <v>74</v>
      </c>
      <c r="E8" s="344" t="s">
        <v>175</v>
      </c>
      <c r="F8" s="21"/>
      <c r="G8" s="22"/>
    </row>
    <row r="9" spans="1:7" ht="16.5">
      <c r="A9" s="35" t="s">
        <v>3</v>
      </c>
      <c r="B9" s="36">
        <v>19</v>
      </c>
      <c r="C9" s="37" t="str">
        <f t="shared" si="0"/>
        <v>+4</v>
      </c>
      <c r="D9" s="38" t="s">
        <v>75</v>
      </c>
      <c r="E9" s="39">
        <f>(SUM(Martial!G3:G21)+SUM(Equipment!C3:C18))</f>
        <v>89.68</v>
      </c>
      <c r="F9" s="40"/>
      <c r="G9" s="22"/>
    </row>
    <row r="10" spans="1:7" ht="16.5">
      <c r="A10" s="41" t="s">
        <v>12</v>
      </c>
      <c r="B10" s="42">
        <v>12</v>
      </c>
      <c r="C10" s="43" t="str">
        <f t="shared" si="0"/>
        <v>+1</v>
      </c>
      <c r="D10" s="38" t="s">
        <v>14</v>
      </c>
      <c r="E10" s="44">
        <f>((3*8)*0.75)+((E4*8)*0.75)+(SUM(E3:E4)*C10)</f>
        <v>57</v>
      </c>
      <c r="F10" s="40"/>
      <c r="G10" s="22"/>
    </row>
    <row r="11" spans="1:7" ht="16.5">
      <c r="A11" s="45" t="s">
        <v>13</v>
      </c>
      <c r="B11" s="42">
        <v>12</v>
      </c>
      <c r="C11" s="37" t="str">
        <f t="shared" si="0"/>
        <v>+1</v>
      </c>
      <c r="D11" s="46" t="s">
        <v>172</v>
      </c>
      <c r="E11" s="515">
        <f>10+C9+1</f>
        <v>15</v>
      </c>
      <c r="F11" s="40"/>
      <c r="G11" s="22"/>
    </row>
    <row r="12" spans="1:7" ht="16.5">
      <c r="A12" s="48" t="s">
        <v>15</v>
      </c>
      <c r="B12" s="49">
        <v>14</v>
      </c>
      <c r="C12" s="37" t="str">
        <f t="shared" si="0"/>
        <v>+2</v>
      </c>
      <c r="D12" s="46" t="s">
        <v>111</v>
      </c>
      <c r="E12" s="47">
        <f>E13-C9</f>
        <v>18</v>
      </c>
      <c r="F12" s="40"/>
      <c r="G12" s="22"/>
    </row>
    <row r="13" spans="1:7" ht="17.25" thickBot="1">
      <c r="A13" s="50" t="s">
        <v>11</v>
      </c>
      <c r="B13" s="51">
        <v>12</v>
      </c>
      <c r="C13" s="52" t="str">
        <f t="shared" si="0"/>
        <v>+1</v>
      </c>
      <c r="D13" s="53" t="s">
        <v>63</v>
      </c>
      <c r="E13" s="54">
        <f>E11+SUM(Martial!B16:B18)</f>
        <v>22</v>
      </c>
      <c r="F13" s="18"/>
      <c r="G13" s="22"/>
    </row>
    <row r="14" spans="1:7" ht="17.25" thickTop="1">
      <c r="A14" s="514" t="s">
        <v>246</v>
      </c>
      <c r="B14" s="55"/>
      <c r="C14" s="55"/>
      <c r="D14" s="55"/>
      <c r="E14" s="55"/>
      <c r="F14" s="55"/>
      <c r="G14" s="56"/>
    </row>
    <row r="15" spans="1:7" ht="16.5">
      <c r="A15" s="57"/>
      <c r="B15" s="19"/>
      <c r="C15" s="19"/>
      <c r="D15" s="19"/>
      <c r="E15" s="19"/>
      <c r="F15" s="19"/>
      <c r="G15" s="58"/>
    </row>
    <row r="16" spans="1:7" ht="16.5">
      <c r="A16" s="57"/>
      <c r="B16" s="19"/>
      <c r="C16" s="19"/>
      <c r="D16" s="19"/>
      <c r="E16" s="19"/>
      <c r="F16" s="19"/>
      <c r="G16" s="58"/>
    </row>
    <row r="17" spans="1:7" ht="16.5">
      <c r="A17" s="57"/>
      <c r="B17" s="19"/>
      <c r="C17" s="19"/>
      <c r="D17" s="19"/>
      <c r="E17" s="19"/>
      <c r="F17" s="19"/>
      <c r="G17" s="58"/>
    </row>
    <row r="18" spans="1:7" ht="17.25" thickBot="1">
      <c r="A18" s="59"/>
      <c r="B18" s="60"/>
      <c r="C18" s="60"/>
      <c r="D18" s="60"/>
      <c r="E18" s="60"/>
      <c r="F18" s="60"/>
      <c r="G18" s="61"/>
    </row>
    <row r="19" spans="1:7" ht="16.5" thickTop="1"/>
  </sheetData>
  <conditionalFormatting sqref="E9">
    <cfRule type="cellIs" dxfId="14" priority="4" stopIfTrue="1" operator="greaterThan">
      <formula>153</formula>
    </cfRule>
    <cfRule type="cellIs" dxfId="13"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showGridLines="0" workbookViewId="0">
      <pane ySplit="2" topLeftCell="A3" activePane="bottomLeft" state="frozen"/>
      <selection pane="bottomLeft" activeCell="A3" sqref="A3"/>
    </sheetView>
  </sheetViews>
  <sheetFormatPr defaultColWidth="13" defaultRowHeight="15.75"/>
  <cols>
    <col min="1" max="1" width="27.875" style="174" bestFit="1" customWidth="1"/>
    <col min="2" max="2" width="5.875" style="174" bestFit="1" customWidth="1"/>
    <col min="3" max="3" width="7.625" style="176" hidden="1" customWidth="1"/>
    <col min="4" max="4" width="5.875" style="176" hidden="1" customWidth="1"/>
    <col min="5" max="5" width="9.125" style="176" bestFit="1" customWidth="1"/>
    <col min="6" max="6" width="6.75" style="176" bestFit="1" customWidth="1"/>
    <col min="7" max="7" width="6" style="177" bestFit="1" customWidth="1"/>
    <col min="8" max="8" width="5.25" style="177" bestFit="1" customWidth="1"/>
    <col min="9" max="9" width="6.875" style="177" bestFit="1" customWidth="1"/>
    <col min="10" max="10" width="23.375" style="174" bestFit="1" customWidth="1"/>
    <col min="11" max="16384" width="13" style="65"/>
  </cols>
  <sheetData>
    <row r="1" spans="1:10" ht="24" thickBot="1">
      <c r="A1" s="62" t="s">
        <v>10</v>
      </c>
      <c r="B1" s="63"/>
      <c r="C1" s="63"/>
      <c r="D1" s="63"/>
      <c r="E1" s="63"/>
      <c r="F1" s="63"/>
      <c r="G1" s="64"/>
      <c r="H1" s="64"/>
      <c r="I1" s="64"/>
      <c r="J1" s="63"/>
    </row>
    <row r="2" spans="1:10" s="70" customFormat="1" ht="33.75" thickBot="1">
      <c r="A2" s="66" t="s">
        <v>131</v>
      </c>
      <c r="B2" s="67" t="s">
        <v>29</v>
      </c>
      <c r="C2" s="67" t="s">
        <v>36</v>
      </c>
      <c r="D2" s="67" t="s">
        <v>28</v>
      </c>
      <c r="E2" s="68" t="s">
        <v>61</v>
      </c>
      <c r="F2" s="68" t="s">
        <v>37</v>
      </c>
      <c r="G2" s="69" t="s">
        <v>67</v>
      </c>
      <c r="H2" s="2" t="s">
        <v>102</v>
      </c>
      <c r="I2" s="3" t="s">
        <v>83</v>
      </c>
      <c r="J2" s="4" t="s">
        <v>81</v>
      </c>
    </row>
    <row r="3" spans="1:10" s="70" customFormat="1" ht="16.5">
      <c r="A3" s="71" t="s">
        <v>69</v>
      </c>
      <c r="B3" s="72">
        <v>5</v>
      </c>
      <c r="C3" s="73" t="s">
        <v>31</v>
      </c>
      <c r="D3" s="74" t="str">
        <f>IF(C3="Str",'Personal File'!$C$8,IF(C3="Dex",'Personal File'!$C$9,IF(C3="Con",'Personal File'!$C$10,IF(C3="Int",'Personal File'!$C$11,IF(C3="Wis",'Personal File'!$C$12,IF(C3="Cha",'Personal File'!$C$13))))))</f>
        <v>+1</v>
      </c>
      <c r="E3" s="74" t="str">
        <f>CONCATENATE(C3," (",D3,")")</f>
        <v>Con (+1)</v>
      </c>
      <c r="F3" s="83">
        <v>1</v>
      </c>
      <c r="G3" s="75">
        <f>B3+D3+F3</f>
        <v>7</v>
      </c>
      <c r="H3" s="76">
        <f ca="1">RANDBETWEEN(1,20)</f>
        <v>8</v>
      </c>
      <c r="I3" s="321">
        <f t="shared" ref="I3:I43" ca="1" si="0">SUM(G3:H3)</f>
        <v>15</v>
      </c>
      <c r="J3" s="460"/>
    </row>
    <row r="4" spans="1:10" s="70" customFormat="1" ht="16.5">
      <c r="A4" s="78" t="s">
        <v>70</v>
      </c>
      <c r="B4" s="79">
        <v>7</v>
      </c>
      <c r="C4" s="80" t="s">
        <v>34</v>
      </c>
      <c r="D4" s="81" t="str">
        <f>IF(C4="Str",'Personal File'!$C$8,IF(C4="Dex",'Personal File'!$C$9,IF(C4="Con",'Personal File'!$C$10,IF(C4="Int",'Personal File'!$C$11,IF(C4="Wis",'Personal File'!$C$12,IF(C4="Cha",'Personal File'!$C$13))))))</f>
        <v>+4</v>
      </c>
      <c r="E4" s="82" t="str">
        <f>CONCATENATE(C4," (",D4,")")</f>
        <v>Dex (+4)</v>
      </c>
      <c r="F4" s="83">
        <v>1</v>
      </c>
      <c r="G4" s="84">
        <f>B4+D4+F4</f>
        <v>12</v>
      </c>
      <c r="H4" s="76">
        <f t="shared" ref="H4:H43" ca="1" si="1">RANDBETWEEN(1,20)</f>
        <v>3</v>
      </c>
      <c r="I4" s="84">
        <f t="shared" ca="1" si="0"/>
        <v>15</v>
      </c>
      <c r="J4" s="460" t="s">
        <v>248</v>
      </c>
    </row>
    <row r="5" spans="1:10" s="70" customFormat="1" ht="16.5">
      <c r="A5" s="85" t="s">
        <v>71</v>
      </c>
      <c r="B5" s="86">
        <v>4</v>
      </c>
      <c r="C5" s="87" t="s">
        <v>33</v>
      </c>
      <c r="D5" s="88" t="str">
        <f>IF(C5="Str",'Personal File'!$C$8,IF(C5="Dex",'Personal File'!$C$9,IF(C5="Con",'Personal File'!$C$10,IF(C5="Int",'Personal File'!$C$11,IF(C5="Wis",'Personal File'!$C$12,IF(C5="Cha",'Personal File'!$C$13))))))</f>
        <v>+2</v>
      </c>
      <c r="E5" s="89" t="str">
        <f>CONCATENATE(C5," (",D5,")")</f>
        <v>Wis (+2)</v>
      </c>
      <c r="F5" s="90">
        <v>1</v>
      </c>
      <c r="G5" s="91">
        <f>B5+D5+F5</f>
        <v>7</v>
      </c>
      <c r="H5" s="92">
        <f t="shared" ca="1" si="1"/>
        <v>12</v>
      </c>
      <c r="I5" s="91">
        <f t="shared" ca="1" si="0"/>
        <v>19</v>
      </c>
      <c r="J5" s="461"/>
    </row>
    <row r="6" spans="1:10" s="98" customFormat="1" ht="16.5">
      <c r="A6" s="93" t="s">
        <v>38</v>
      </c>
      <c r="B6" s="94">
        <v>0</v>
      </c>
      <c r="C6" s="95" t="s">
        <v>32</v>
      </c>
      <c r="D6" s="96" t="str">
        <f>IF(C6="Str",'Personal File'!$C$8,IF(C6="Dex",'Personal File'!$C$9,IF(C6="Con",'Personal File'!$C$10,IF(C6="Int",'Personal File'!$C$11,IF(C6="Wis",'Personal File'!$C$12,IF(C6="Cha",'Personal File'!$C$13))))))</f>
        <v>+1</v>
      </c>
      <c r="E6" s="96" t="str">
        <f t="shared" ref="E6:E43" si="2">CONCATENATE(C6," (",D6,")")</f>
        <v>Int (+1)</v>
      </c>
      <c r="F6" s="97" t="s">
        <v>62</v>
      </c>
      <c r="G6" s="75">
        <f t="shared" ref="G6:G11" si="3">B6+MID(E6,6,2)+F6</f>
        <v>1</v>
      </c>
      <c r="H6" s="76">
        <f t="shared" ca="1" si="1"/>
        <v>12</v>
      </c>
      <c r="I6" s="75">
        <f t="shared" ca="1" si="0"/>
        <v>13</v>
      </c>
      <c r="J6" s="462"/>
    </row>
    <row r="7" spans="1:10" s="100" customFormat="1" ht="16.5">
      <c r="A7" s="99" t="s">
        <v>39</v>
      </c>
      <c r="B7" s="94">
        <v>0</v>
      </c>
      <c r="C7" s="80" t="s">
        <v>34</v>
      </c>
      <c r="D7" s="81" t="str">
        <f>IF(C7="Str",'Personal File'!$C$8,IF(C7="Dex",'Personal File'!$C$9,IF(C7="Con",'Personal File'!$C$10,IF(C7="Int",'Personal File'!$C$11,IF(C7="Wis",'Personal File'!$C$12,IF(C7="Cha",'Personal File'!$C$13))))))</f>
        <v>+4</v>
      </c>
      <c r="E7" s="81" t="str">
        <f t="shared" si="2"/>
        <v>Dex (+4)</v>
      </c>
      <c r="F7" s="75" t="s">
        <v>229</v>
      </c>
      <c r="G7" s="75">
        <f t="shared" si="3"/>
        <v>2</v>
      </c>
      <c r="H7" s="76">
        <f t="shared" ca="1" si="1"/>
        <v>4</v>
      </c>
      <c r="I7" s="75">
        <f t="shared" ca="1" si="0"/>
        <v>6</v>
      </c>
      <c r="J7" s="462"/>
    </row>
    <row r="8" spans="1:10" s="105" customFormat="1" ht="16.5">
      <c r="A8" s="101" t="s">
        <v>40</v>
      </c>
      <c r="B8" s="94">
        <v>0</v>
      </c>
      <c r="C8" s="102" t="s">
        <v>30</v>
      </c>
      <c r="D8" s="103" t="str">
        <f>IF(C8="Str",'Personal File'!$C$8,IF(C8="Dex",'Personal File'!$C$9,IF(C8="Con",'Personal File'!$C$10,IF(C8="Int",'Personal File'!$C$11,IF(C8="Wis",'Personal File'!$C$12,IF(C8="Cha",'Personal File'!$C$13))))))</f>
        <v>+1</v>
      </c>
      <c r="E8" s="104" t="str">
        <f t="shared" si="2"/>
        <v>Cha (+1)</v>
      </c>
      <c r="F8" s="75" t="s">
        <v>62</v>
      </c>
      <c r="G8" s="75">
        <f t="shared" si="3"/>
        <v>1</v>
      </c>
      <c r="H8" s="76">
        <f t="shared" ca="1" si="1"/>
        <v>11</v>
      </c>
      <c r="I8" s="75">
        <f t="shared" ca="1" si="0"/>
        <v>12</v>
      </c>
      <c r="J8" s="462"/>
    </row>
    <row r="9" spans="1:10" s="106" customFormat="1" ht="16.5">
      <c r="A9" s="71" t="s">
        <v>41</v>
      </c>
      <c r="B9" s="94">
        <v>0</v>
      </c>
      <c r="C9" s="73" t="s">
        <v>35</v>
      </c>
      <c r="D9" s="74" t="str">
        <f>IF(C9="Str",'Personal File'!$C$8,IF(C9="Dex",'Personal File'!$C$9,IF(C9="Con",'Personal File'!$C$10,IF(C9="Int",'Personal File'!$C$11,IF(C9="Wis",'Personal File'!$C$12,IF(C9="Cha",'Personal File'!$C$13))))))</f>
        <v>+4</v>
      </c>
      <c r="E9" s="74" t="str">
        <f t="shared" si="2"/>
        <v>Str (+4)</v>
      </c>
      <c r="F9" s="75" t="s">
        <v>229</v>
      </c>
      <c r="G9" s="75">
        <f t="shared" si="3"/>
        <v>2</v>
      </c>
      <c r="H9" s="76">
        <f t="shared" ca="1" si="1"/>
        <v>12</v>
      </c>
      <c r="I9" s="75">
        <f t="shared" ca="1" si="0"/>
        <v>14</v>
      </c>
      <c r="J9" s="462"/>
    </row>
    <row r="10" spans="1:10" s="106" customFormat="1" ht="16.5">
      <c r="A10" s="107" t="s">
        <v>16</v>
      </c>
      <c r="B10" s="94">
        <v>0</v>
      </c>
      <c r="C10" s="108" t="s">
        <v>31</v>
      </c>
      <c r="D10" s="109" t="str">
        <f>IF(C10="Str",'Personal File'!$C$8,IF(C10="Dex",'Personal File'!$C$9,IF(C10="Con",'Personal File'!$C$10,IF(C10="Int",'Personal File'!$C$11,IF(C10="Wis",'Personal File'!$C$12,IF(C10="Cha",'Personal File'!$C$13))))))</f>
        <v>+1</v>
      </c>
      <c r="E10" s="109" t="str">
        <f t="shared" si="2"/>
        <v>Con (+1)</v>
      </c>
      <c r="F10" s="75" t="s">
        <v>62</v>
      </c>
      <c r="G10" s="75">
        <f t="shared" si="3"/>
        <v>1</v>
      </c>
      <c r="H10" s="76">
        <f t="shared" ca="1" si="1"/>
        <v>9</v>
      </c>
      <c r="I10" s="75">
        <f t="shared" ca="1" si="0"/>
        <v>10</v>
      </c>
      <c r="J10" s="462"/>
    </row>
    <row r="11" spans="1:10" s="98" customFormat="1" ht="16.5">
      <c r="A11" s="93" t="s">
        <v>114</v>
      </c>
      <c r="B11" s="94">
        <v>0</v>
      </c>
      <c r="C11" s="95" t="s">
        <v>32</v>
      </c>
      <c r="D11" s="96" t="str">
        <f>IF(C11="Str",'Personal File'!$C$8,IF(C11="Dex",'Personal File'!$C$9,IF(C11="Con",'Personal File'!$C$10,IF(C11="Int",'Personal File'!$C$11,IF(C11="Wis",'Personal File'!$C$12,IF(C11="Cha",'Personal File'!$C$13))))))</f>
        <v>+1</v>
      </c>
      <c r="E11" s="96" t="str">
        <f t="shared" si="2"/>
        <v>Int (+1)</v>
      </c>
      <c r="F11" s="75" t="s">
        <v>62</v>
      </c>
      <c r="G11" s="75">
        <f t="shared" si="3"/>
        <v>1</v>
      </c>
      <c r="H11" s="76">
        <f t="shared" ca="1" si="1"/>
        <v>9</v>
      </c>
      <c r="I11" s="75">
        <f t="shared" ca="1" si="0"/>
        <v>10</v>
      </c>
      <c r="J11" s="462"/>
    </row>
    <row r="12" spans="1:10" s="117" customFormat="1" ht="16.5">
      <c r="A12" s="110" t="s">
        <v>42</v>
      </c>
      <c r="B12" s="111">
        <v>0</v>
      </c>
      <c r="C12" s="112" t="s">
        <v>32</v>
      </c>
      <c r="D12" s="113" t="str">
        <f>IF(C12="Str",'Personal File'!$C$8,IF(C12="Dex",'Personal File'!$C$9,IF(C12="Con",'Personal File'!$C$10,IF(C12="Int",'Personal File'!$C$11,IF(C12="Wis",'Personal File'!$C$12,IF(C12="Cha",'Personal File'!$C$13))))))</f>
        <v>+1</v>
      </c>
      <c r="E12" s="113" t="str">
        <f t="shared" si="2"/>
        <v>Int (+1)</v>
      </c>
      <c r="F12" s="114" t="s">
        <v>62</v>
      </c>
      <c r="G12" s="115">
        <v>0</v>
      </c>
      <c r="H12" s="76">
        <f t="shared" ca="1" si="1"/>
        <v>3</v>
      </c>
      <c r="I12" s="115">
        <f t="shared" ca="1" si="0"/>
        <v>3</v>
      </c>
      <c r="J12" s="139"/>
    </row>
    <row r="13" spans="1:10" s="100" customFormat="1" ht="16.5">
      <c r="A13" s="101" t="s">
        <v>43</v>
      </c>
      <c r="B13" s="94">
        <v>0</v>
      </c>
      <c r="C13" s="102" t="s">
        <v>30</v>
      </c>
      <c r="D13" s="103" t="str">
        <f>IF(C13="Str",'Personal File'!$C$8,IF(C13="Dex",'Personal File'!$C$9,IF(C13="Con",'Personal File'!$C$10,IF(C13="Int",'Personal File'!$C$11,IF(C13="Wis",'Personal File'!$C$12,IF(C13="Cha",'Personal File'!$C$13))))))</f>
        <v>+1</v>
      </c>
      <c r="E13" s="104" t="str">
        <f t="shared" si="2"/>
        <v>Cha (+1)</v>
      </c>
      <c r="F13" s="75" t="s">
        <v>62</v>
      </c>
      <c r="G13" s="75">
        <f>B13+MID(E13,6,2)+F13</f>
        <v>1</v>
      </c>
      <c r="H13" s="76">
        <f t="shared" ca="1" si="1"/>
        <v>1</v>
      </c>
      <c r="I13" s="75">
        <f t="shared" ca="1" si="0"/>
        <v>2</v>
      </c>
      <c r="J13" s="77"/>
    </row>
    <row r="14" spans="1:10" s="100" customFormat="1" ht="16.5">
      <c r="A14" s="110" t="s">
        <v>44</v>
      </c>
      <c r="B14" s="111">
        <v>0</v>
      </c>
      <c r="C14" s="112" t="s">
        <v>32</v>
      </c>
      <c r="D14" s="113" t="str">
        <f>IF(C14="Str",'Personal File'!$C$8,IF(C14="Dex",'Personal File'!$C$9,IF(C14="Con",'Personal File'!$C$10,IF(C14="Int",'Personal File'!$C$11,IF(C14="Wis",'Personal File'!$C$12,IF(C14="Cha",'Personal File'!$C$13))))))</f>
        <v>+1</v>
      </c>
      <c r="E14" s="113" t="str">
        <f t="shared" si="2"/>
        <v>Int (+1)</v>
      </c>
      <c r="F14" s="114" t="s">
        <v>62</v>
      </c>
      <c r="G14" s="115">
        <v>0</v>
      </c>
      <c r="H14" s="76">
        <f t="shared" ca="1" si="1"/>
        <v>1</v>
      </c>
      <c r="I14" s="115">
        <f t="shared" ca="1" si="0"/>
        <v>1</v>
      </c>
      <c r="J14" s="139"/>
    </row>
    <row r="15" spans="1:10" s="100" customFormat="1" ht="16.5">
      <c r="A15" s="101" t="s">
        <v>45</v>
      </c>
      <c r="B15" s="94">
        <v>0</v>
      </c>
      <c r="C15" s="102" t="s">
        <v>30</v>
      </c>
      <c r="D15" s="103" t="str">
        <f>IF(C15="Str",'Personal File'!$C$8,IF(C15="Dex",'Personal File'!$C$9,IF(C15="Con",'Personal File'!$C$10,IF(C15="Int",'Personal File'!$C$11,IF(C15="Wis",'Personal File'!$C$12,IF(C15="Cha",'Personal File'!$C$13))))))</f>
        <v>+1</v>
      </c>
      <c r="E15" s="104" t="str">
        <f t="shared" si="2"/>
        <v>Cha (+1)</v>
      </c>
      <c r="F15" s="75" t="s">
        <v>62</v>
      </c>
      <c r="G15" s="75">
        <f t="shared" ref="G15:G24" si="4">B15+MID(E15,6,2)+F15</f>
        <v>1</v>
      </c>
      <c r="H15" s="76">
        <f t="shared" ca="1" si="1"/>
        <v>8</v>
      </c>
      <c r="I15" s="75">
        <f t="shared" ca="1" si="0"/>
        <v>9</v>
      </c>
      <c r="J15" s="77"/>
    </row>
    <row r="16" spans="1:10" s="100" customFormat="1" ht="16.5">
      <c r="A16" s="99" t="s">
        <v>46</v>
      </c>
      <c r="B16" s="94">
        <v>0</v>
      </c>
      <c r="C16" s="80" t="s">
        <v>34</v>
      </c>
      <c r="D16" s="81" t="str">
        <f>IF(C16="Str",'Personal File'!$C$8,IF(C16="Dex",'Personal File'!$C$9,IF(C16="Con",'Personal File'!$C$10,IF(C16="Int",'Personal File'!$C$11,IF(C16="Wis",'Personal File'!$C$12,IF(C16="Cha",'Personal File'!$C$13))))))</f>
        <v>+4</v>
      </c>
      <c r="E16" s="82" t="str">
        <f t="shared" si="2"/>
        <v>Dex (+4)</v>
      </c>
      <c r="F16" s="75" t="s">
        <v>229</v>
      </c>
      <c r="G16" s="75">
        <f t="shared" si="4"/>
        <v>2</v>
      </c>
      <c r="H16" s="76">
        <f t="shared" ca="1" si="1"/>
        <v>10</v>
      </c>
      <c r="I16" s="75">
        <f t="shared" ca="1" si="0"/>
        <v>12</v>
      </c>
      <c r="J16" s="77"/>
    </row>
    <row r="17" spans="1:10" s="100" customFormat="1" ht="16.5">
      <c r="A17" s="118" t="s">
        <v>47</v>
      </c>
      <c r="B17" s="119">
        <v>0</v>
      </c>
      <c r="C17" s="120" t="s">
        <v>32</v>
      </c>
      <c r="D17" s="121" t="str">
        <f>IF(C17="Str",'Personal File'!$C$8,IF(C17="Dex",'Personal File'!$C$9,IF(C17="Con",'Personal File'!$C$10,IF(C17="Int",'Personal File'!$C$11,IF(C17="Wis",'Personal File'!$C$12,IF(C17="Cha",'Personal File'!$C$13))))))</f>
        <v>+1</v>
      </c>
      <c r="E17" s="121" t="str">
        <f t="shared" si="2"/>
        <v>Int (+1)</v>
      </c>
      <c r="F17" s="122" t="s">
        <v>62</v>
      </c>
      <c r="G17" s="122">
        <f t="shared" si="4"/>
        <v>1</v>
      </c>
      <c r="H17" s="76">
        <f t="shared" ca="1" si="1"/>
        <v>8</v>
      </c>
      <c r="I17" s="122">
        <f t="shared" ca="1" si="0"/>
        <v>9</v>
      </c>
      <c r="J17" s="77"/>
    </row>
    <row r="18" spans="1:10" s="100" customFormat="1" ht="16.5">
      <c r="A18" s="101" t="s">
        <v>48</v>
      </c>
      <c r="B18" s="94">
        <v>0</v>
      </c>
      <c r="C18" s="102" t="s">
        <v>30</v>
      </c>
      <c r="D18" s="103" t="str">
        <f>IF(C18="Str",'Personal File'!$C$8,IF(C18="Dex",'Personal File'!$C$9,IF(C18="Con",'Personal File'!$C$10,IF(C18="Int",'Personal File'!$C$11,IF(C18="Wis",'Personal File'!$C$12,IF(C18="Cha",'Personal File'!$C$13))))))</f>
        <v>+1</v>
      </c>
      <c r="E18" s="104" t="str">
        <f t="shared" si="2"/>
        <v>Cha (+1)</v>
      </c>
      <c r="F18" s="75" t="s">
        <v>62</v>
      </c>
      <c r="G18" s="75">
        <f t="shared" si="4"/>
        <v>1</v>
      </c>
      <c r="H18" s="76">
        <f t="shared" ca="1" si="1"/>
        <v>11</v>
      </c>
      <c r="I18" s="75">
        <f t="shared" ca="1" si="0"/>
        <v>12</v>
      </c>
      <c r="J18" s="77"/>
    </row>
    <row r="19" spans="1:10" s="100" customFormat="1" ht="16.5">
      <c r="A19" s="264" t="s">
        <v>18</v>
      </c>
      <c r="B19" s="265">
        <v>2</v>
      </c>
      <c r="C19" s="266" t="s">
        <v>30</v>
      </c>
      <c r="D19" s="267" t="str">
        <f>IF(C19="Str",'Personal File'!$C$8,IF(C19="Dex",'Personal File'!$C$9,IF(C19="Con",'Personal File'!$C$10,IF(C19="Int",'Personal File'!$C$11,IF(C19="Wis",'Personal File'!$C$12,IF(C19="Cha",'Personal File'!$C$13))))))</f>
        <v>+1</v>
      </c>
      <c r="E19" s="267" t="str">
        <f t="shared" si="2"/>
        <v>Cha (+1)</v>
      </c>
      <c r="F19" s="268" t="s">
        <v>62</v>
      </c>
      <c r="G19" s="145">
        <f t="shared" si="4"/>
        <v>3</v>
      </c>
      <c r="H19" s="76">
        <f t="shared" ca="1" si="1"/>
        <v>20</v>
      </c>
      <c r="I19" s="145">
        <f t="shared" ca="1" si="0"/>
        <v>23</v>
      </c>
      <c r="J19" s="269"/>
    </row>
    <row r="20" spans="1:10" s="100" customFormat="1" ht="16.5">
      <c r="A20" s="127" t="s">
        <v>49</v>
      </c>
      <c r="B20" s="94">
        <v>0</v>
      </c>
      <c r="C20" s="128" t="s">
        <v>33</v>
      </c>
      <c r="D20" s="129" t="str">
        <f>IF(C20="Str",'Personal File'!$C$8,IF(C20="Dex",'Personal File'!$C$9,IF(C20="Con",'Personal File'!$C$10,IF(C20="Int",'Personal File'!$C$11,IF(C20="Wis",'Personal File'!$C$12,IF(C20="Cha",'Personal File'!$C$13))))))</f>
        <v>+2</v>
      </c>
      <c r="E20" s="129" t="str">
        <f t="shared" si="2"/>
        <v>Wis (+2)</v>
      </c>
      <c r="F20" s="75" t="s">
        <v>140</v>
      </c>
      <c r="G20" s="75">
        <f t="shared" si="4"/>
        <v>4</v>
      </c>
      <c r="H20" s="76">
        <f t="shared" ca="1" si="1"/>
        <v>1</v>
      </c>
      <c r="I20" s="75">
        <f t="shared" ca="1" si="0"/>
        <v>5</v>
      </c>
      <c r="J20" s="77"/>
    </row>
    <row r="21" spans="1:10" s="100" customFormat="1" ht="16.5">
      <c r="A21" s="283" t="s">
        <v>50</v>
      </c>
      <c r="B21" s="271">
        <v>5</v>
      </c>
      <c r="C21" s="284" t="s">
        <v>34</v>
      </c>
      <c r="D21" s="285" t="str">
        <f>IF(C21="Str",'Personal File'!$C$8,IF(C21="Dex",'Personal File'!$C$9,IF(C21="Con",'Personal File'!$C$10,IF(C21="Int",'Personal File'!$C$11,IF(C21="Wis",'Personal File'!$C$12,IF(C21="Cha",'Personal File'!$C$13))))))</f>
        <v>+4</v>
      </c>
      <c r="E21" s="285" t="str">
        <f t="shared" si="2"/>
        <v>Dex (+4)</v>
      </c>
      <c r="F21" s="145" t="s">
        <v>229</v>
      </c>
      <c r="G21" s="274">
        <f t="shared" si="4"/>
        <v>7</v>
      </c>
      <c r="H21" s="76">
        <f t="shared" ca="1" si="1"/>
        <v>14</v>
      </c>
      <c r="I21" s="274">
        <f t="shared" ca="1" si="0"/>
        <v>21</v>
      </c>
      <c r="J21" s="275"/>
    </row>
    <row r="22" spans="1:10" s="100" customFormat="1" ht="16.5">
      <c r="A22" s="130" t="s">
        <v>51</v>
      </c>
      <c r="B22" s="119">
        <v>0</v>
      </c>
      <c r="C22" s="131" t="s">
        <v>30</v>
      </c>
      <c r="D22" s="132" t="str">
        <f>IF(C22="Str",'Personal File'!$C$8,IF(C22="Dex",'Personal File'!$C$9,IF(C22="Con",'Personal File'!$C$10,IF(C22="Int",'Personal File'!$C$11,IF(C22="Wis",'Personal File'!$C$12,IF(C22="Cha",'Personal File'!$C$13))))))</f>
        <v>+1</v>
      </c>
      <c r="E22" s="133" t="str">
        <f t="shared" si="2"/>
        <v>Cha (+1)</v>
      </c>
      <c r="F22" s="122" t="s">
        <v>62</v>
      </c>
      <c r="G22" s="122">
        <f t="shared" si="4"/>
        <v>1</v>
      </c>
      <c r="H22" s="76">
        <f t="shared" ca="1" si="1"/>
        <v>13</v>
      </c>
      <c r="I22" s="122">
        <f t="shared" ca="1" si="0"/>
        <v>14</v>
      </c>
      <c r="J22" s="123"/>
    </row>
    <row r="23" spans="1:10" s="100" customFormat="1" ht="16.5">
      <c r="A23" s="270" t="s">
        <v>52</v>
      </c>
      <c r="B23" s="271">
        <v>4</v>
      </c>
      <c r="C23" s="272" t="s">
        <v>35</v>
      </c>
      <c r="D23" s="273" t="str">
        <f>IF(C23="Str",'Personal File'!$C$8,IF(C23="Dex",'Personal File'!$C$9,IF(C23="Con",'Personal File'!$C$10,IF(C23="Int",'Personal File'!$C$11,IF(C23="Wis",'Personal File'!$C$12,IF(C23="Cha",'Personal File'!$C$13))))))</f>
        <v>+4</v>
      </c>
      <c r="E23" s="273" t="str">
        <f t="shared" si="2"/>
        <v>Str (+4)</v>
      </c>
      <c r="F23" s="145" t="s">
        <v>229</v>
      </c>
      <c r="G23" s="274">
        <f t="shared" si="4"/>
        <v>6</v>
      </c>
      <c r="H23" s="76">
        <f t="shared" ca="1" si="1"/>
        <v>18</v>
      </c>
      <c r="I23" s="274">
        <f t="shared" ca="1" si="0"/>
        <v>24</v>
      </c>
      <c r="J23" s="275"/>
    </row>
    <row r="24" spans="1:10" s="100" customFormat="1" ht="16.5">
      <c r="A24" s="279" t="s">
        <v>209</v>
      </c>
      <c r="B24" s="271">
        <v>5</v>
      </c>
      <c r="C24" s="280" t="s">
        <v>32</v>
      </c>
      <c r="D24" s="281" t="str">
        <f>IF(C24="Str",'Personal File'!$C$8,IF(C24="Dex",'Personal File'!$C$9,IF(C24="Con",'Personal File'!$C$10,IF(C24="Int",'Personal File'!$C$11,IF(C24="Wis",'Personal File'!$C$12,IF(C24="Cha",'Personal File'!$C$13))))))</f>
        <v>+1</v>
      </c>
      <c r="E24" s="281" t="str">
        <f t="shared" ref="E24" si="5">CONCATENATE(C24," (",D24,")")</f>
        <v>Int (+1)</v>
      </c>
      <c r="F24" s="274" t="s">
        <v>140</v>
      </c>
      <c r="G24" s="274">
        <f t="shared" si="4"/>
        <v>8</v>
      </c>
      <c r="H24" s="76">
        <f t="shared" ca="1" si="1"/>
        <v>16</v>
      </c>
      <c r="I24" s="274">
        <f t="shared" ref="I24" ca="1" si="6">SUM(G24:H24)</f>
        <v>24</v>
      </c>
      <c r="J24" s="275"/>
    </row>
    <row r="25" spans="1:10" s="100" customFormat="1" ht="16.5">
      <c r="A25" s="279" t="s">
        <v>89</v>
      </c>
      <c r="B25" s="271">
        <v>5</v>
      </c>
      <c r="C25" s="280" t="s">
        <v>32</v>
      </c>
      <c r="D25" s="281" t="str">
        <f>IF(C25="Str",'Personal File'!$C$8,IF(C25="Dex",'Personal File'!$C$9,IF(C25="Con",'Personal File'!$C$10,IF(C25="Int",'Personal File'!$C$11,IF(C25="Wis",'Personal File'!$C$12,IF(C25="Cha",'Personal File'!$C$13))))))</f>
        <v>+1</v>
      </c>
      <c r="E25" s="281" t="str">
        <f t="shared" si="2"/>
        <v>Int (+1)</v>
      </c>
      <c r="F25" s="274" t="s">
        <v>140</v>
      </c>
      <c r="G25" s="274">
        <f t="shared" ref="G25" si="7">B25+MID(E25,6,2)+F25</f>
        <v>8</v>
      </c>
      <c r="H25" s="76">
        <f t="shared" ca="1" si="1"/>
        <v>9</v>
      </c>
      <c r="I25" s="274">
        <f t="shared" ca="1" si="0"/>
        <v>17</v>
      </c>
      <c r="J25" s="275"/>
    </row>
    <row r="26" spans="1:10" s="100" customFormat="1" ht="16.5">
      <c r="A26" s="134" t="s">
        <v>90</v>
      </c>
      <c r="B26" s="135">
        <v>0</v>
      </c>
      <c r="C26" s="136" t="s">
        <v>32</v>
      </c>
      <c r="D26" s="137" t="str">
        <f>IF(C26="Str",'Personal File'!$C$8,IF(C26="Dex",'Personal File'!$C$9,IF(C26="Con",'Personal File'!$C$10,IF(C26="Int",'Personal File'!$C$11,IF(C26="Wis",'Personal File'!$C$12,IF(C26="Cha",'Personal File'!$C$13))))))</f>
        <v>+1</v>
      </c>
      <c r="E26" s="137" t="str">
        <f t="shared" si="2"/>
        <v>Int (+1)</v>
      </c>
      <c r="F26" s="138" t="s">
        <v>62</v>
      </c>
      <c r="G26" s="115">
        <v>0</v>
      </c>
      <c r="H26" s="76">
        <f t="shared" ca="1" si="1"/>
        <v>11</v>
      </c>
      <c r="I26" s="115">
        <f t="shared" ca="1" si="0"/>
        <v>11</v>
      </c>
      <c r="J26" s="139"/>
    </row>
    <row r="27" spans="1:10" s="100" customFormat="1" ht="16.5">
      <c r="A27" s="140" t="s">
        <v>53</v>
      </c>
      <c r="B27" s="141">
        <v>5</v>
      </c>
      <c r="C27" s="142" t="s">
        <v>33</v>
      </c>
      <c r="D27" s="143" t="str">
        <f>IF(C27="Str",'Personal File'!$C$8,IF(C27="Dex",'Personal File'!$C$9,IF(C27="Con",'Personal File'!$C$10,IF(C27="Int",'Personal File'!$C$11,IF(C27="Wis",'Personal File'!$C$12,IF(C27="Cha",'Personal File'!$C$13))))))</f>
        <v>+2</v>
      </c>
      <c r="E27" s="144" t="str">
        <f t="shared" si="2"/>
        <v>Wis (+2)</v>
      </c>
      <c r="F27" s="145" t="s">
        <v>62</v>
      </c>
      <c r="G27" s="145">
        <f>B27+MID(E27,6,2)+F27</f>
        <v>7</v>
      </c>
      <c r="H27" s="76">
        <f t="shared" ca="1" si="1"/>
        <v>7</v>
      </c>
      <c r="I27" s="145">
        <f t="shared" ca="1" si="0"/>
        <v>14</v>
      </c>
      <c r="J27" s="269"/>
    </row>
    <row r="28" spans="1:10" s="100" customFormat="1" ht="16.5">
      <c r="A28" s="147" t="s">
        <v>19</v>
      </c>
      <c r="B28" s="141">
        <v>5</v>
      </c>
      <c r="C28" s="148" t="s">
        <v>34</v>
      </c>
      <c r="D28" s="149" t="str">
        <f>IF(C28="Str",'Personal File'!$C$8,IF(C28="Dex",'Personal File'!$C$9,IF(C28="Con",'Personal File'!$C$10,IF(C28="Int",'Personal File'!$C$11,IF(C28="Wis",'Personal File'!$C$12,IF(C28="Cha",'Personal File'!$C$13))))))</f>
        <v>+4</v>
      </c>
      <c r="E28" s="149" t="str">
        <f t="shared" si="2"/>
        <v>Dex (+4)</v>
      </c>
      <c r="F28" s="145" t="s">
        <v>229</v>
      </c>
      <c r="G28" s="145">
        <f>B28+MID(E28,6,2)+F28</f>
        <v>7</v>
      </c>
      <c r="H28" s="76">
        <f t="shared" ca="1" si="1"/>
        <v>8</v>
      </c>
      <c r="I28" s="145">
        <f t="shared" ca="1" si="0"/>
        <v>15</v>
      </c>
      <c r="J28" s="146"/>
    </row>
    <row r="29" spans="1:10" s="100" customFormat="1" ht="16.5">
      <c r="A29" s="150" t="s">
        <v>54</v>
      </c>
      <c r="B29" s="111">
        <v>0</v>
      </c>
      <c r="C29" s="151" t="s">
        <v>34</v>
      </c>
      <c r="D29" s="152" t="str">
        <f>IF(C29="Str",'Personal File'!$C$8,IF(C29="Dex",'Personal File'!$C$9,IF(C29="Con",'Personal File'!$C$10,IF(C29="Int",'Personal File'!$C$11,IF(C29="Wis",'Personal File'!$C$12,IF(C29="Cha",'Personal File'!$C$13))))))</f>
        <v>+4</v>
      </c>
      <c r="E29" s="152" t="str">
        <f t="shared" si="2"/>
        <v>Dex (+4)</v>
      </c>
      <c r="F29" s="114" t="s">
        <v>62</v>
      </c>
      <c r="G29" s="115">
        <v>0</v>
      </c>
      <c r="H29" s="76">
        <f t="shared" ca="1" si="1"/>
        <v>9</v>
      </c>
      <c r="I29" s="115">
        <f t="shared" ca="1" si="0"/>
        <v>9</v>
      </c>
      <c r="J29" s="116"/>
    </row>
    <row r="30" spans="1:10" ht="16.5">
      <c r="A30" s="153" t="s">
        <v>113</v>
      </c>
      <c r="B30" s="135">
        <v>0</v>
      </c>
      <c r="C30" s="154" t="s">
        <v>30</v>
      </c>
      <c r="D30" s="155" t="str">
        <f>IF(C30="Str",'Personal File'!$C$8,IF(C30="Dex",'Personal File'!$C$9,IF(C30="Con",'Personal File'!$C$10,IF(C30="Int",'Personal File'!$C$11,IF(C30="Wis",'Personal File'!$C$12,IF(C30="Cha",'Personal File'!$C$13))))))</f>
        <v>+1</v>
      </c>
      <c r="E30" s="155" t="str">
        <f t="shared" si="2"/>
        <v>Cha (+1)</v>
      </c>
      <c r="F30" s="138" t="s">
        <v>62</v>
      </c>
      <c r="G30" s="115">
        <v>0</v>
      </c>
      <c r="H30" s="76">
        <f t="shared" ca="1" si="1"/>
        <v>20</v>
      </c>
      <c r="I30" s="115">
        <f t="shared" ca="1" si="0"/>
        <v>20</v>
      </c>
      <c r="J30" s="139"/>
    </row>
    <row r="31" spans="1:10" ht="16.5">
      <c r="A31" s="156" t="s">
        <v>112</v>
      </c>
      <c r="B31" s="157">
        <v>0</v>
      </c>
      <c r="C31" s="158" t="s">
        <v>33</v>
      </c>
      <c r="D31" s="159" t="str">
        <f>IF(C31="Str",'Personal File'!$C$8,IF(C31="Dex",'Personal File'!$C$9,IF(C31="Con",'Personal File'!$C$10,IF(C31="Int",'Personal File'!$C$11,IF(C31="Wis",'Personal File'!$C$12,IF(C31="Cha",'Personal File'!$C$13))))))</f>
        <v>+2</v>
      </c>
      <c r="E31" s="159" t="str">
        <f t="shared" si="2"/>
        <v>Wis (+2)</v>
      </c>
      <c r="F31" s="160" t="s">
        <v>62</v>
      </c>
      <c r="G31" s="161">
        <f>B31+MID(E31,6,2)+F31</f>
        <v>2</v>
      </c>
      <c r="H31" s="76">
        <f t="shared" ca="1" si="1"/>
        <v>13</v>
      </c>
      <c r="I31" s="161">
        <f t="shared" ca="1" si="0"/>
        <v>15</v>
      </c>
      <c r="J31" s="162"/>
    </row>
    <row r="32" spans="1:10" ht="16.5">
      <c r="A32" s="99" t="s">
        <v>20</v>
      </c>
      <c r="B32" s="94">
        <v>0</v>
      </c>
      <c r="C32" s="80" t="s">
        <v>34</v>
      </c>
      <c r="D32" s="81" t="str">
        <f>IF(C32="Str",'Personal File'!$C$8,IF(C32="Dex",'Personal File'!$C$9,IF(C32="Con",'Personal File'!$C$10,IF(C32="Int",'Personal File'!$C$11,IF(C32="Wis",'Personal File'!$C$12,IF(C32="Cha",'Personal File'!$C$13))))))</f>
        <v>+4</v>
      </c>
      <c r="E32" s="82" t="str">
        <f t="shared" si="2"/>
        <v>Dex (+4)</v>
      </c>
      <c r="F32" s="75" t="s">
        <v>62</v>
      </c>
      <c r="G32" s="75">
        <f>B32+MID(E32,6,2)+F32</f>
        <v>4</v>
      </c>
      <c r="H32" s="76">
        <f t="shared" ca="1" si="1"/>
        <v>15</v>
      </c>
      <c r="I32" s="75">
        <f t="shared" ca="1" si="0"/>
        <v>19</v>
      </c>
      <c r="J32" s="77"/>
    </row>
    <row r="33" spans="1:10" ht="16.5">
      <c r="A33" s="93" t="s">
        <v>21</v>
      </c>
      <c r="B33" s="94">
        <v>0</v>
      </c>
      <c r="C33" s="95" t="s">
        <v>32</v>
      </c>
      <c r="D33" s="96" t="str">
        <f>IF(C33="Str",'Personal File'!$C$8,IF(C33="Dex",'Personal File'!$C$9,IF(C33="Con",'Personal File'!$C$10,IF(C33="Int",'Personal File'!$C$11,IF(C33="Wis",'Personal File'!$C$12,IF(C33="Cha",'Personal File'!$C$13))))))</f>
        <v>+1</v>
      </c>
      <c r="E33" s="96" t="str">
        <f t="shared" si="2"/>
        <v>Int (+1)</v>
      </c>
      <c r="F33" s="75" t="s">
        <v>62</v>
      </c>
      <c r="G33" s="75">
        <f>B33+MID(E33,6,2)+F33</f>
        <v>1</v>
      </c>
      <c r="H33" s="76">
        <f t="shared" ca="1" si="1"/>
        <v>3</v>
      </c>
      <c r="I33" s="75">
        <f t="shared" ca="1" si="0"/>
        <v>4</v>
      </c>
      <c r="J33" s="77"/>
    </row>
    <row r="34" spans="1:10" ht="16.5">
      <c r="A34" s="127" t="s">
        <v>55</v>
      </c>
      <c r="B34" s="94">
        <v>0</v>
      </c>
      <c r="C34" s="128" t="s">
        <v>33</v>
      </c>
      <c r="D34" s="129" t="str">
        <f>IF(C34="Str",'Personal File'!$C$8,IF(C34="Dex",'Personal File'!$C$9,IF(C34="Con",'Personal File'!$C$10,IF(C34="Int",'Personal File'!$C$11,IF(C34="Wis",'Personal File'!$C$12,IF(C34="Cha",'Personal File'!$C$13))))))</f>
        <v>+2</v>
      </c>
      <c r="E34" s="129" t="str">
        <f t="shared" si="2"/>
        <v>Wis (+2)</v>
      </c>
      <c r="F34" s="75" t="s">
        <v>62</v>
      </c>
      <c r="G34" s="75">
        <f>B34+MID(E34,6,2)+F34</f>
        <v>2</v>
      </c>
      <c r="H34" s="76">
        <f t="shared" ca="1" si="1"/>
        <v>13</v>
      </c>
      <c r="I34" s="75">
        <f t="shared" ca="1" si="0"/>
        <v>15</v>
      </c>
      <c r="J34" s="77"/>
    </row>
    <row r="35" spans="1:10" ht="16.5">
      <c r="A35" s="150" t="s">
        <v>98</v>
      </c>
      <c r="B35" s="111">
        <v>0</v>
      </c>
      <c r="C35" s="151" t="s">
        <v>34</v>
      </c>
      <c r="D35" s="152" t="str">
        <f>IF(C35="Str",'Personal File'!$C$8,IF(C35="Dex",'Personal File'!$C$9,IF(C35="Con",'Personal File'!$C$10,IF(C35="Int",'Personal File'!$C$11,IF(C35="Wis",'Personal File'!$C$12,IF(C35="Cha",'Personal File'!$C$13))))))</f>
        <v>+4</v>
      </c>
      <c r="E35" s="152" t="str">
        <f t="shared" si="2"/>
        <v>Dex (+4)</v>
      </c>
      <c r="F35" s="114" t="s">
        <v>229</v>
      </c>
      <c r="G35" s="115">
        <v>0</v>
      </c>
      <c r="H35" s="76">
        <f t="shared" ca="1" si="1"/>
        <v>20</v>
      </c>
      <c r="I35" s="115">
        <f t="shared" ca="1" si="0"/>
        <v>20</v>
      </c>
      <c r="J35" s="116"/>
    </row>
    <row r="36" spans="1:10" ht="16.5">
      <c r="A36" s="134" t="s">
        <v>87</v>
      </c>
      <c r="B36" s="135">
        <v>0</v>
      </c>
      <c r="C36" s="136" t="s">
        <v>32</v>
      </c>
      <c r="D36" s="137" t="str">
        <f>IF(C36="Str",'Personal File'!$C$8,IF(C36="Dex",'Personal File'!$C$9,IF(C36="Con",'Personal File'!$C$10,IF(C36="Int",'Personal File'!$C$11,IF(C36="Wis",'Personal File'!$C$12,IF(C36="Cha",'Personal File'!$C$13))))))</f>
        <v>+1</v>
      </c>
      <c r="E36" s="137" t="str">
        <f t="shared" si="2"/>
        <v>Int (+1)</v>
      </c>
      <c r="F36" s="138" t="s">
        <v>62</v>
      </c>
      <c r="G36" s="115">
        <v>0</v>
      </c>
      <c r="H36" s="76">
        <f t="shared" ca="1" si="1"/>
        <v>10</v>
      </c>
      <c r="I36" s="115">
        <f t="shared" ca="1" si="0"/>
        <v>10</v>
      </c>
      <c r="J36" s="139"/>
    </row>
    <row r="37" spans="1:10" ht="16.5">
      <c r="A37" s="134" t="s">
        <v>56</v>
      </c>
      <c r="B37" s="135">
        <v>0</v>
      </c>
      <c r="C37" s="136" t="s">
        <v>32</v>
      </c>
      <c r="D37" s="137" t="str">
        <f>IF(C37="Str",'Personal File'!$C$8,IF(C37="Dex",'Personal File'!$C$9,IF(C37="Con",'Personal File'!$C$10,IF(C37="Int",'Personal File'!$C$11,IF(C37="Wis",'Personal File'!$C$12,IF(C37="Cha",'Personal File'!$C$13))))))</f>
        <v>+1</v>
      </c>
      <c r="E37" s="137" t="str">
        <f t="shared" si="2"/>
        <v>Int (+1)</v>
      </c>
      <c r="F37" s="138" t="s">
        <v>62</v>
      </c>
      <c r="G37" s="115">
        <v>0</v>
      </c>
      <c r="H37" s="76">
        <f t="shared" ca="1" si="1"/>
        <v>4</v>
      </c>
      <c r="I37" s="115">
        <f t="shared" ca="1" si="0"/>
        <v>4</v>
      </c>
      <c r="J37" s="163"/>
    </row>
    <row r="38" spans="1:10" ht="16.5">
      <c r="A38" s="140" t="s">
        <v>57</v>
      </c>
      <c r="B38" s="141">
        <v>8</v>
      </c>
      <c r="C38" s="142" t="s">
        <v>33</v>
      </c>
      <c r="D38" s="143" t="str">
        <f>IF(C38="Str",'Personal File'!$C$8,IF(C38="Dex",'Personal File'!$C$9,IF(C38="Con",'Personal File'!$C$10,IF(C38="Int",'Personal File'!$C$11,IF(C38="Wis",'Personal File'!$C$12,IF(C38="Cha",'Personal File'!$C$13))))))</f>
        <v>+2</v>
      </c>
      <c r="E38" s="143" t="str">
        <f t="shared" si="2"/>
        <v>Wis (+2)</v>
      </c>
      <c r="F38" s="145" t="s">
        <v>62</v>
      </c>
      <c r="G38" s="145">
        <f>B38+MID(E38,6,2)+F38</f>
        <v>10</v>
      </c>
      <c r="H38" s="76">
        <f t="shared" ca="1" si="1"/>
        <v>15</v>
      </c>
      <c r="I38" s="145">
        <f t="shared" ca="1" si="0"/>
        <v>25</v>
      </c>
      <c r="J38" s="146"/>
    </row>
    <row r="39" spans="1:10" ht="16.5">
      <c r="A39" s="140" t="s">
        <v>99</v>
      </c>
      <c r="B39" s="141">
        <v>12</v>
      </c>
      <c r="C39" s="142" t="s">
        <v>33</v>
      </c>
      <c r="D39" s="143" t="str">
        <f>IF(C39="Str",'Personal File'!$C$8,IF(C39="Dex",'Personal File'!$C$9,IF(C39="Con",'Personal File'!$C$10,IF(C39="Int",'Personal File'!$C$11,IF(C39="Wis",'Personal File'!$C$12,IF(C39="Cha",'Personal File'!$C$13))))))</f>
        <v>+2</v>
      </c>
      <c r="E39" s="143" t="str">
        <f t="shared" si="2"/>
        <v>Wis (+2)</v>
      </c>
      <c r="F39" s="145" t="s">
        <v>140</v>
      </c>
      <c r="G39" s="145">
        <f>B39+MID(E39,6,2)+F39</f>
        <v>16</v>
      </c>
      <c r="H39" s="76">
        <f t="shared" ca="1" si="1"/>
        <v>2</v>
      </c>
      <c r="I39" s="145">
        <f t="shared" ca="1" si="0"/>
        <v>18</v>
      </c>
      <c r="J39" s="459" t="s">
        <v>232</v>
      </c>
    </row>
    <row r="40" spans="1:10" ht="16.5">
      <c r="A40" s="270" t="s">
        <v>22</v>
      </c>
      <c r="B40" s="271">
        <v>2</v>
      </c>
      <c r="C40" s="272" t="s">
        <v>35</v>
      </c>
      <c r="D40" s="273" t="str">
        <f>IF(C40="Str",'Personal File'!$C$8,IF(C40="Dex",'Personal File'!$C$9,IF(C40="Con",'Personal File'!$C$10,IF(C40="Int",'Personal File'!$C$11,IF(C40="Wis",'Personal File'!$C$12,IF(C40="Cha",'Personal File'!$C$13))))))</f>
        <v>+4</v>
      </c>
      <c r="E40" s="273" t="str">
        <f t="shared" si="2"/>
        <v>Str (+4)</v>
      </c>
      <c r="F40" s="274" t="s">
        <v>62</v>
      </c>
      <c r="G40" s="274">
        <f>B40+MID(E40,6,2)+F40</f>
        <v>6</v>
      </c>
      <c r="H40" s="76">
        <f t="shared" ca="1" si="1"/>
        <v>7</v>
      </c>
      <c r="I40" s="274">
        <f t="shared" ca="1" si="0"/>
        <v>13</v>
      </c>
      <c r="J40" s="275"/>
    </row>
    <row r="41" spans="1:10" ht="16.5">
      <c r="A41" s="164" t="s">
        <v>58</v>
      </c>
      <c r="B41" s="135">
        <v>0</v>
      </c>
      <c r="C41" s="165" t="s">
        <v>34</v>
      </c>
      <c r="D41" s="166" t="str">
        <f>IF(C41="Str",'Personal File'!$C$8,IF(C41="Dex",'Personal File'!$C$9,IF(C41="Con",'Personal File'!$C$10,IF(C41="Int",'Personal File'!$C$11,IF(C41="Wis",'Personal File'!$C$12,IF(C41="Cha",'Personal File'!$C$13))))))</f>
        <v>+4</v>
      </c>
      <c r="E41" s="166" t="str">
        <f t="shared" si="2"/>
        <v>Dex (+4)</v>
      </c>
      <c r="F41" s="114" t="s">
        <v>229</v>
      </c>
      <c r="G41" s="115">
        <v>0</v>
      </c>
      <c r="H41" s="76">
        <f t="shared" ca="1" si="1"/>
        <v>20</v>
      </c>
      <c r="I41" s="115">
        <f t="shared" ca="1" si="0"/>
        <v>20</v>
      </c>
      <c r="J41" s="139"/>
    </row>
    <row r="42" spans="1:10" ht="16.5">
      <c r="A42" s="124" t="s">
        <v>59</v>
      </c>
      <c r="B42" s="111">
        <v>0</v>
      </c>
      <c r="C42" s="125" t="s">
        <v>30</v>
      </c>
      <c r="D42" s="126" t="str">
        <f>IF(C42="Str",'Personal File'!$C$8,IF(C42="Dex",'Personal File'!$C$9,IF(C42="Con",'Personal File'!$C$10,IF(C42="Int",'Personal File'!$C$11,IF(C42="Wis",'Personal File'!$C$12,IF(C42="Cha",'Personal File'!$C$13))))))</f>
        <v>+1</v>
      </c>
      <c r="E42" s="126" t="str">
        <f t="shared" si="2"/>
        <v>Cha (+1)</v>
      </c>
      <c r="F42" s="114" t="s">
        <v>62</v>
      </c>
      <c r="G42" s="115">
        <v>0</v>
      </c>
      <c r="H42" s="76">
        <f t="shared" ca="1" si="1"/>
        <v>15</v>
      </c>
      <c r="I42" s="115">
        <f t="shared" ca="1" si="0"/>
        <v>15</v>
      </c>
      <c r="J42" s="116"/>
    </row>
    <row r="43" spans="1:10" ht="17.25" thickBot="1">
      <c r="A43" s="167" t="s">
        <v>60</v>
      </c>
      <c r="B43" s="168">
        <v>0</v>
      </c>
      <c r="C43" s="169" t="s">
        <v>34</v>
      </c>
      <c r="D43" s="170" t="str">
        <f>IF(C43="Str",'Personal File'!$C$8,IF(C43="Dex",'Personal File'!$C$9,IF(C43="Con",'Personal File'!$C$10,IF(C43="Int",'Personal File'!$C$11,IF(C43="Wis",'Personal File'!$C$12,IF(C43="Cha",'Personal File'!$C$13))))))</f>
        <v>+4</v>
      </c>
      <c r="E43" s="170" t="str">
        <f t="shared" si="2"/>
        <v>Dex (+4)</v>
      </c>
      <c r="F43" s="171" t="s">
        <v>62</v>
      </c>
      <c r="G43" s="171">
        <f>B43+MID(E43,6,2)+F43</f>
        <v>4</v>
      </c>
      <c r="H43" s="172">
        <f t="shared" ca="1" si="1"/>
        <v>6</v>
      </c>
      <c r="I43" s="171">
        <f t="shared" ca="1" si="0"/>
        <v>10</v>
      </c>
      <c r="J43" s="173"/>
    </row>
    <row r="44" spans="1:10" ht="16.5" thickTop="1">
      <c r="B44" s="175">
        <f>SUM(B6:B43)</f>
        <v>53</v>
      </c>
      <c r="E44" s="175">
        <f>SUM(E45:E53)</f>
        <v>53</v>
      </c>
      <c r="F44" s="179"/>
    </row>
    <row r="45" spans="1:10">
      <c r="B45" s="175"/>
      <c r="E45" s="178">
        <f>(2+'Personal File'!$C$11)*4</f>
        <v>12</v>
      </c>
      <c r="F45" s="179" t="s">
        <v>132</v>
      </c>
    </row>
    <row r="46" spans="1:10">
      <c r="E46" s="180">
        <f>2+'Personal File'!$C$11</f>
        <v>3</v>
      </c>
      <c r="F46" s="179" t="s">
        <v>133</v>
      </c>
    </row>
    <row r="47" spans="1:10">
      <c r="E47" s="282">
        <v>0</v>
      </c>
      <c r="F47" s="179" t="s">
        <v>134</v>
      </c>
    </row>
    <row r="48" spans="1:10">
      <c r="E48" s="180">
        <f>2+'Personal File'!$C$11</f>
        <v>3</v>
      </c>
      <c r="F48" s="179" t="s">
        <v>135</v>
      </c>
    </row>
    <row r="49" spans="5:6">
      <c r="E49" s="180">
        <f>6+'Personal File'!$C$11</f>
        <v>7</v>
      </c>
      <c r="F49" s="179" t="s">
        <v>146</v>
      </c>
    </row>
    <row r="50" spans="5:6">
      <c r="E50" s="180">
        <f>6+'Personal File'!$C$11</f>
        <v>7</v>
      </c>
      <c r="F50" s="179" t="s">
        <v>152</v>
      </c>
    </row>
    <row r="51" spans="5:6">
      <c r="E51" s="180">
        <f>6+'Personal File'!$C$11</f>
        <v>7</v>
      </c>
      <c r="F51" s="179" t="s">
        <v>178</v>
      </c>
    </row>
    <row r="52" spans="5:6">
      <c r="E52" s="180">
        <f>6+'Personal File'!$C$11</f>
        <v>7</v>
      </c>
      <c r="F52" s="179" t="s">
        <v>179</v>
      </c>
    </row>
    <row r="53" spans="5:6">
      <c r="E53" s="180">
        <f>6+'Personal File'!$C$11</f>
        <v>7</v>
      </c>
      <c r="F53" s="179" t="s">
        <v>241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pane ySplit="2" topLeftCell="A3" activePane="bottomLeft" state="frozen"/>
      <selection pane="bottomLeft" activeCell="A3" sqref="A3"/>
    </sheetView>
  </sheetViews>
  <sheetFormatPr defaultColWidth="13" defaultRowHeight="15.75"/>
  <cols>
    <col min="1" max="1" width="22" style="405" bestFit="1" customWidth="1"/>
    <col min="2" max="2" width="6.25" style="405" bestFit="1" customWidth="1"/>
    <col min="3" max="4" width="11.25" style="406" bestFit="1" customWidth="1"/>
    <col min="5" max="5" width="7.25" style="406" bestFit="1" customWidth="1"/>
    <col min="6" max="6" width="10.875" style="406" bestFit="1" customWidth="1"/>
    <col min="7" max="7" width="9.5" style="406" bestFit="1" customWidth="1"/>
    <col min="8" max="8" width="10.375" style="405" bestFit="1" customWidth="1"/>
    <col min="9" max="9" width="5.625" style="404" bestFit="1" customWidth="1"/>
    <col min="10" max="16384" width="13" style="404"/>
  </cols>
  <sheetData>
    <row r="1" spans="1:9" ht="24" thickBot="1">
      <c r="A1" s="457" t="s">
        <v>227</v>
      </c>
      <c r="B1" s="418"/>
      <c r="C1" s="418"/>
      <c r="D1" s="418"/>
      <c r="E1" s="418"/>
      <c r="F1" s="418"/>
      <c r="G1" s="418"/>
      <c r="H1" s="418"/>
      <c r="I1" s="418"/>
    </row>
    <row r="2" spans="1:9" s="414" customFormat="1" ht="16.5">
      <c r="A2" s="417" t="s">
        <v>208</v>
      </c>
      <c r="B2" s="415" t="s">
        <v>162</v>
      </c>
      <c r="C2" s="415" t="s">
        <v>207</v>
      </c>
      <c r="D2" s="416" t="s">
        <v>206</v>
      </c>
      <c r="E2" s="416" t="s">
        <v>205</v>
      </c>
      <c r="F2" s="415" t="s">
        <v>204</v>
      </c>
      <c r="G2" s="415" t="s">
        <v>203</v>
      </c>
      <c r="H2" s="419" t="s">
        <v>211</v>
      </c>
      <c r="I2" s="420" t="s">
        <v>212</v>
      </c>
    </row>
    <row r="3" spans="1:9" ht="17.25" thickBot="1">
      <c r="A3" s="413" t="s">
        <v>224</v>
      </c>
      <c r="B3" s="412">
        <v>1</v>
      </c>
      <c r="C3" s="411" t="s">
        <v>202</v>
      </c>
      <c r="D3" s="410" t="s">
        <v>201</v>
      </c>
      <c r="E3" s="409" t="s">
        <v>200</v>
      </c>
      <c r="F3" s="408" t="s">
        <v>199</v>
      </c>
      <c r="G3" s="407" t="s">
        <v>198</v>
      </c>
      <c r="H3" s="421" t="s">
        <v>210</v>
      </c>
      <c r="I3" s="422">
        <v>288</v>
      </c>
    </row>
    <row r="4" spans="1:9" ht="16.5" thickTop="1"/>
  </sheetData>
  <printOptions gridLinesSet="0"/>
  <pageMargins left="0.62" right="0.33" top="0.5" bottom="0.63" header="0.5" footer="0.5"/>
  <pageSetup orientation="portrait" horizontalDpi="120" verticalDpi="1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showGridLines="0" workbookViewId="0"/>
  </sheetViews>
  <sheetFormatPr defaultColWidth="9.125" defaultRowHeight="15.75"/>
  <cols>
    <col min="1" max="1" width="23.25" style="182" bestFit="1" customWidth="1"/>
    <col min="2" max="2" width="6.25" style="182" bestFit="1" customWidth="1"/>
    <col min="3" max="3" width="4.125" style="182" bestFit="1" customWidth="1"/>
    <col min="4" max="4" width="6.375" style="182" bestFit="1" customWidth="1"/>
    <col min="5" max="5" width="4.25" style="182" customWidth="1"/>
    <col min="6" max="6" width="16.5" style="182" bestFit="1" customWidth="1"/>
    <col min="7" max="10" width="4.875" style="182" customWidth="1"/>
    <col min="11" max="11" width="3" style="182" customWidth="1"/>
    <col min="12" max="12" width="24.125" style="188" bestFit="1" customWidth="1"/>
    <col min="13" max="13" width="2.5" style="192" customWidth="1"/>
    <col min="14" max="14" width="35.125" style="182" bestFit="1" customWidth="1"/>
    <col min="15" max="16384" width="9.125" style="182"/>
  </cols>
  <sheetData>
    <row r="1" spans="1:14" ht="24.75" thickTop="1" thickBot="1">
      <c r="A1" s="423" t="s">
        <v>226</v>
      </c>
      <c r="B1" s="424"/>
      <c r="C1" s="424"/>
      <c r="D1" s="425"/>
      <c r="F1" s="435" t="s">
        <v>215</v>
      </c>
      <c r="G1" s="435"/>
      <c r="H1" s="436"/>
      <c r="I1" s="433"/>
      <c r="J1" s="437"/>
      <c r="L1" s="181" t="s">
        <v>103</v>
      </c>
      <c r="M1" s="182"/>
      <c r="N1" s="181" t="s">
        <v>104</v>
      </c>
    </row>
    <row r="2" spans="1:14" ht="17.25" thickTop="1">
      <c r="A2" s="426" t="s">
        <v>208</v>
      </c>
      <c r="B2" s="427" t="s">
        <v>162</v>
      </c>
      <c r="C2" s="427" t="s">
        <v>213</v>
      </c>
      <c r="D2" s="428" t="s">
        <v>214</v>
      </c>
      <c r="F2" s="434"/>
      <c r="G2" s="438" t="s">
        <v>216</v>
      </c>
      <c r="H2" s="439"/>
      <c r="I2" s="440"/>
      <c r="J2" s="441"/>
      <c r="L2" s="183" t="s">
        <v>92</v>
      </c>
      <c r="M2" s="182"/>
      <c r="N2" s="184" t="s">
        <v>115</v>
      </c>
    </row>
    <row r="3" spans="1:14" ht="17.25" thickBot="1">
      <c r="A3" s="429" t="s">
        <v>224</v>
      </c>
      <c r="B3" s="430">
        <v>1</v>
      </c>
      <c r="C3" s="431">
        <f>10+B3+'Personal File'!$C$12</f>
        <v>13</v>
      </c>
      <c r="D3" s="432" t="s">
        <v>225</v>
      </c>
      <c r="F3" s="434"/>
      <c r="G3" s="442" t="s">
        <v>217</v>
      </c>
      <c r="H3" s="443" t="s">
        <v>218</v>
      </c>
      <c r="I3" s="443" t="s">
        <v>219</v>
      </c>
      <c r="J3" s="444" t="s">
        <v>220</v>
      </c>
      <c r="L3" s="185" t="s">
        <v>106</v>
      </c>
      <c r="M3" s="182"/>
      <c r="N3" s="184" t="s">
        <v>141</v>
      </c>
    </row>
    <row r="4" spans="1:14" ht="18" thickTop="1" thickBot="1">
      <c r="F4" s="445" t="s">
        <v>222</v>
      </c>
      <c r="G4" s="446">
        <v>0</v>
      </c>
      <c r="H4" s="447">
        <v>0</v>
      </c>
      <c r="I4" s="447">
        <v>0</v>
      </c>
      <c r="J4" s="448">
        <v>0</v>
      </c>
      <c r="L4" s="187" t="s">
        <v>123</v>
      </c>
      <c r="M4" s="182"/>
      <c r="N4" s="184" t="s">
        <v>171</v>
      </c>
    </row>
    <row r="5" spans="1:14" ht="18" thickTop="1" thickBot="1">
      <c r="F5" s="449" t="s">
        <v>223</v>
      </c>
      <c r="G5" s="450">
        <v>1</v>
      </c>
      <c r="H5" s="451">
        <v>0</v>
      </c>
      <c r="I5" s="451">
        <v>0</v>
      </c>
      <c r="J5" s="452">
        <v>0</v>
      </c>
      <c r="M5" s="182"/>
      <c r="N5" s="186" t="s">
        <v>243</v>
      </c>
    </row>
    <row r="6" spans="1:14" ht="24.75" thickTop="1" thickBot="1">
      <c r="F6" s="453" t="s">
        <v>221</v>
      </c>
      <c r="G6" s="454">
        <f t="shared" ref="G6:J6" si="0">SUM(G4:G5)</f>
        <v>1</v>
      </c>
      <c r="H6" s="455">
        <f t="shared" si="0"/>
        <v>0</v>
      </c>
      <c r="I6" s="455">
        <f t="shared" si="0"/>
        <v>0</v>
      </c>
      <c r="J6" s="456">
        <f t="shared" si="0"/>
        <v>0</v>
      </c>
      <c r="L6" s="262" t="s">
        <v>143</v>
      </c>
      <c r="M6" s="182"/>
    </row>
    <row r="7" spans="1:14" ht="24.75" thickTop="1" thickBot="1">
      <c r="L7" s="183" t="s">
        <v>147</v>
      </c>
      <c r="M7" s="182"/>
      <c r="N7" s="5" t="s">
        <v>105</v>
      </c>
    </row>
    <row r="8" spans="1:14" ht="16.5">
      <c r="L8" s="185" t="s">
        <v>242</v>
      </c>
      <c r="M8" s="182"/>
      <c r="N8" s="189" t="s">
        <v>228</v>
      </c>
    </row>
    <row r="9" spans="1:14" ht="17.25" thickBot="1">
      <c r="L9" s="185" t="s">
        <v>151</v>
      </c>
      <c r="M9" s="182"/>
      <c r="N9" s="191" t="s">
        <v>136</v>
      </c>
    </row>
    <row r="10" spans="1:14" ht="18" thickTop="1" thickBot="1">
      <c r="L10" s="276" t="s">
        <v>144</v>
      </c>
      <c r="M10" s="182"/>
    </row>
    <row r="11" spans="1:14" ht="20.25" thickTop="1" thickBot="1">
      <c r="L11" s="276" t="s">
        <v>170</v>
      </c>
      <c r="M11" s="182"/>
      <c r="N11" s="1" t="s">
        <v>77</v>
      </c>
    </row>
    <row r="12" spans="1:14" ht="17.25" thickBot="1">
      <c r="L12" s="263" t="s">
        <v>145</v>
      </c>
      <c r="M12" s="182"/>
      <c r="N12" s="190" t="s">
        <v>107</v>
      </c>
    </row>
    <row r="13" spans="1:14" ht="16.5" thickTop="1">
      <c r="L13" s="182"/>
    </row>
  </sheetData>
  <phoneticPr fontId="0" type="noConversion"/>
  <conditionalFormatting sqref="D3">
    <cfRule type="cellIs" dxfId="1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showGridLines="0" workbookViewId="0"/>
  </sheetViews>
  <sheetFormatPr defaultColWidth="13" defaultRowHeight="15.75"/>
  <cols>
    <col min="1" max="1" width="36" style="178" bestFit="1" customWidth="1"/>
    <col min="2" max="2" width="8.625" style="178" customWidth="1"/>
    <col min="3" max="3" width="6.125" style="178" bestFit="1" customWidth="1"/>
    <col min="4" max="4" width="8" style="178" customWidth="1"/>
    <col min="5" max="5" width="9.5" style="178" customWidth="1"/>
    <col min="6" max="6" width="8" style="178" bestFit="1" customWidth="1"/>
    <col min="7" max="7" width="4.375" style="178" bestFit="1" customWidth="1"/>
    <col min="8" max="8" width="4" style="178" bestFit="1" customWidth="1"/>
    <col min="9" max="9" width="5.625" style="178" bestFit="1" customWidth="1"/>
    <col min="10" max="10" width="6.25" style="178" bestFit="1" customWidth="1"/>
    <col min="11" max="11" width="20.125" style="178" bestFit="1" customWidth="1"/>
    <col min="12" max="12" width="2.625" style="65" customWidth="1"/>
    <col min="13" max="13" width="7.375" style="65" bestFit="1" customWidth="1"/>
    <col min="14" max="14" width="7.75" style="178" bestFit="1" customWidth="1"/>
    <col min="15" max="16384" width="13" style="65"/>
  </cols>
  <sheetData>
    <row r="1" spans="1:13" ht="24" thickBot="1">
      <c r="A1" s="193" t="s">
        <v>23</v>
      </c>
      <c r="B1" s="193"/>
      <c r="C1" s="193"/>
      <c r="D1" s="193"/>
      <c r="E1" s="193"/>
      <c r="F1" s="193"/>
      <c r="G1" s="193"/>
      <c r="H1" s="193"/>
      <c r="I1" s="193"/>
      <c r="J1" s="193"/>
      <c r="K1" s="193"/>
    </row>
    <row r="2" spans="1:13" ht="17.25" thickTop="1" thickBot="1">
      <c r="A2" s="194" t="s">
        <v>5</v>
      </c>
      <c r="B2" s="195" t="s">
        <v>6</v>
      </c>
      <c r="C2" s="195" t="s">
        <v>25</v>
      </c>
      <c r="D2" s="195" t="s">
        <v>26</v>
      </c>
      <c r="E2" s="196" t="s">
        <v>68</v>
      </c>
      <c r="F2" s="195" t="s">
        <v>24</v>
      </c>
      <c r="G2" s="195" t="s">
        <v>27</v>
      </c>
      <c r="H2" s="197" t="s">
        <v>122</v>
      </c>
      <c r="I2" s="198" t="s">
        <v>102</v>
      </c>
      <c r="J2" s="199" t="s">
        <v>83</v>
      </c>
      <c r="K2" s="200" t="s">
        <v>4</v>
      </c>
      <c r="M2" s="201" t="s">
        <v>128</v>
      </c>
    </row>
    <row r="3" spans="1:13">
      <c r="A3" s="299" t="s">
        <v>158</v>
      </c>
      <c r="B3" s="292" t="s">
        <v>167</v>
      </c>
      <c r="C3" s="293" t="s">
        <v>168</v>
      </c>
      <c r="D3" s="294">
        <v>1</v>
      </c>
      <c r="E3" s="294" t="s">
        <v>96</v>
      </c>
      <c r="F3" s="295" t="s">
        <v>169</v>
      </c>
      <c r="G3" s="300">
        <v>12</v>
      </c>
      <c r="H3" s="6" t="str">
        <f>CONCATENATE("+",RIGHT('Personal File'!$B$6,1)+RIGHT('Personal File'!$C$8)+D3)</f>
        <v>+12</v>
      </c>
      <c r="I3" s="7">
        <f t="shared" ref="I3:I4" ca="1" si="0">RANDBETWEEN(1,20)</f>
        <v>5</v>
      </c>
      <c r="J3" s="319">
        <f t="shared" ref="J3:J4" ca="1" si="1">I3+H3</f>
        <v>17</v>
      </c>
      <c r="K3" s="301" t="s">
        <v>148</v>
      </c>
      <c r="M3" s="302">
        <v>2000</v>
      </c>
    </row>
    <row r="4" spans="1:13">
      <c r="A4" s="483" t="s">
        <v>247</v>
      </c>
      <c r="B4" s="484" t="s">
        <v>167</v>
      </c>
      <c r="C4" s="526" t="s">
        <v>168</v>
      </c>
      <c r="D4" s="485">
        <v>1</v>
      </c>
      <c r="E4" s="485" t="s">
        <v>96</v>
      </c>
      <c r="F4" s="527" t="s">
        <v>169</v>
      </c>
      <c r="G4" s="528">
        <v>12</v>
      </c>
      <c r="H4" s="486" t="str">
        <f>CONCATENATE("+",RIGHT('Personal File'!$B$6,1)+RIGHT('Personal File'!$C$8)+D4-5)</f>
        <v>+7</v>
      </c>
      <c r="I4" s="487">
        <f t="shared" ca="1" si="0"/>
        <v>8</v>
      </c>
      <c r="J4" s="488">
        <f t="shared" ca="1" si="1"/>
        <v>15</v>
      </c>
      <c r="K4" s="489" t="s">
        <v>148</v>
      </c>
      <c r="M4" s="490"/>
    </row>
    <row r="5" spans="1:13">
      <c r="A5" s="483" t="s">
        <v>234</v>
      </c>
      <c r="B5" s="484" t="s">
        <v>157</v>
      </c>
      <c r="C5" s="484" t="s">
        <v>157</v>
      </c>
      <c r="D5" s="485" t="s">
        <v>62</v>
      </c>
      <c r="E5" s="484" t="s">
        <v>157</v>
      </c>
      <c r="F5" s="484" t="s">
        <v>157</v>
      </c>
      <c r="G5" s="484" t="s">
        <v>157</v>
      </c>
      <c r="H5" s="486" t="str">
        <f>CONCATENATE("+",RIGHT('Personal File'!$B$6,1)+RIGHT('Personal File'!$C$8)+D5)</f>
        <v>+11</v>
      </c>
      <c r="I5" s="487">
        <f t="shared" ref="I5" ca="1" si="2">RANDBETWEEN(1,20)</f>
        <v>14</v>
      </c>
      <c r="J5" s="488">
        <f t="shared" ref="J5" ca="1" si="3">I5+H5</f>
        <v>25</v>
      </c>
      <c r="K5" s="489" t="s">
        <v>148</v>
      </c>
      <c r="M5" s="490"/>
    </row>
    <row r="6" spans="1:13" ht="16.5" thickBot="1">
      <c r="A6" s="202" t="s">
        <v>108</v>
      </c>
      <c r="B6" s="203" t="s">
        <v>109</v>
      </c>
      <c r="C6" s="204" t="str">
        <f>'Personal File'!$C$8</f>
        <v>+4</v>
      </c>
      <c r="D6" s="205">
        <v>0</v>
      </c>
      <c r="E6" s="206" t="s">
        <v>110</v>
      </c>
      <c r="F6" s="203" t="s">
        <v>88</v>
      </c>
      <c r="G6" s="207">
        <v>0</v>
      </c>
      <c r="H6" s="8" t="str">
        <f>CONCATENATE("+",RIGHT('Personal File'!$B$6,1)+RIGHT('Personal File'!$C$8)+D6)</f>
        <v>+11</v>
      </c>
      <c r="I6" s="9">
        <f t="shared" ref="I6" ca="1" si="4">RANDBETWEEN(1,20)</f>
        <v>9</v>
      </c>
      <c r="J6" s="320">
        <f t="shared" ref="J6" ca="1" si="5">I6+H6</f>
        <v>20</v>
      </c>
      <c r="K6" s="277" t="s">
        <v>148</v>
      </c>
      <c r="M6" s="491"/>
    </row>
    <row r="7" spans="1:13" ht="6" customHeight="1" thickTop="1" thickBot="1">
      <c r="M7" s="178"/>
    </row>
    <row r="8" spans="1:13" ht="17.25" thickTop="1" thickBot="1">
      <c r="A8" s="194" t="s">
        <v>8</v>
      </c>
      <c r="B8" s="195" t="s">
        <v>6</v>
      </c>
      <c r="C8" s="195" t="s">
        <v>25</v>
      </c>
      <c r="D8" s="195" t="s">
        <v>26</v>
      </c>
      <c r="E8" s="196" t="s">
        <v>68</v>
      </c>
      <c r="F8" s="195" t="s">
        <v>9</v>
      </c>
      <c r="G8" s="195" t="s">
        <v>27</v>
      </c>
      <c r="H8" s="197" t="s">
        <v>122</v>
      </c>
      <c r="I8" s="209" t="s">
        <v>102</v>
      </c>
      <c r="J8" s="197" t="s">
        <v>83</v>
      </c>
      <c r="K8" s="200" t="s">
        <v>4</v>
      </c>
      <c r="M8" s="201" t="s">
        <v>128</v>
      </c>
    </row>
    <row r="9" spans="1:13">
      <c r="A9" s="296" t="s">
        <v>155</v>
      </c>
      <c r="B9" s="210" t="s">
        <v>86</v>
      </c>
      <c r="C9" s="290" t="str">
        <f>'Personal File'!C8</f>
        <v>+4</v>
      </c>
      <c r="D9" s="463">
        <f>1+2</f>
        <v>3</v>
      </c>
      <c r="E9" s="210" t="s">
        <v>96</v>
      </c>
      <c r="F9" s="463" t="str">
        <f t="shared" ref="F9:F12" si="6">CONCATENATE(110*1.5,"’")</f>
        <v>165’</v>
      </c>
      <c r="G9" s="464">
        <v>3</v>
      </c>
      <c r="H9" s="465" t="str">
        <f>CONCATENATE("+",RIGHT('Personal File'!$B$6,1)+RIGHT('Personal File'!$C$9)+D9-2+1)</f>
        <v>+13</v>
      </c>
      <c r="I9" s="466">
        <f t="shared" ref="I9:I12" ca="1" si="7">RANDBETWEEN(1,20)</f>
        <v>8</v>
      </c>
      <c r="J9" s="467">
        <f t="shared" ref="J9:J13" ca="1" si="8">I9+H9</f>
        <v>21</v>
      </c>
      <c r="K9" s="509" t="s">
        <v>240</v>
      </c>
      <c r="M9" s="289">
        <v>3100</v>
      </c>
    </row>
    <row r="10" spans="1:13">
      <c r="A10" s="511" t="s">
        <v>233</v>
      </c>
      <c r="B10" s="292" t="s">
        <v>86</v>
      </c>
      <c r="C10" s="293" t="str">
        <f>'Personal File'!C8</f>
        <v>+4</v>
      </c>
      <c r="D10" s="512">
        <f t="shared" ref="D10:D12" si="9">1+2</f>
        <v>3</v>
      </c>
      <c r="E10" s="469"/>
      <c r="F10" s="470"/>
      <c r="G10" s="471"/>
      <c r="H10" s="472" t="str">
        <f>CONCATENATE("+",RIGHT('Personal File'!$B$6,1)+RIGHT('Personal File'!$C$9)+D10-2+1)</f>
        <v>+13</v>
      </c>
      <c r="I10" s="473">
        <f t="shared" ca="1" si="7"/>
        <v>4</v>
      </c>
      <c r="J10" s="474">
        <f t="shared" ca="1" si="8"/>
        <v>17</v>
      </c>
      <c r="K10" s="301" t="s">
        <v>240</v>
      </c>
      <c r="M10" s="468"/>
    </row>
    <row r="11" spans="1:13">
      <c r="A11" s="511" t="s">
        <v>245</v>
      </c>
      <c r="B11" s="292" t="s">
        <v>86</v>
      </c>
      <c r="C11" s="293" t="str">
        <f>'Personal File'!C9</f>
        <v>+4</v>
      </c>
      <c r="D11" s="512">
        <f t="shared" si="9"/>
        <v>3</v>
      </c>
      <c r="E11" s="469"/>
      <c r="F11" s="470"/>
      <c r="G11" s="471"/>
      <c r="H11" s="472" t="str">
        <f>CONCATENATE("+",RIGHT('Personal File'!$B$6,1)+RIGHT('Personal File'!$C$9)+D11-2+1)</f>
        <v>+13</v>
      </c>
      <c r="I11" s="473">
        <f t="shared" ca="1" si="7"/>
        <v>20</v>
      </c>
      <c r="J11" s="474">
        <f t="shared" ref="J11" ca="1" si="10">I11+H11</f>
        <v>33</v>
      </c>
      <c r="K11" s="301" t="s">
        <v>240</v>
      </c>
      <c r="M11" s="468"/>
    </row>
    <row r="12" spans="1:13">
      <c r="A12" s="475" t="s">
        <v>155</v>
      </c>
      <c r="B12" s="476" t="s">
        <v>86</v>
      </c>
      <c r="C12" s="477" t="str">
        <f>'Personal File'!C10</f>
        <v>+1</v>
      </c>
      <c r="D12" s="513">
        <f t="shared" si="9"/>
        <v>3</v>
      </c>
      <c r="E12" s="476" t="s">
        <v>96</v>
      </c>
      <c r="F12" s="478" t="str">
        <f t="shared" si="6"/>
        <v>165’</v>
      </c>
      <c r="G12" s="479">
        <v>3</v>
      </c>
      <c r="H12" s="480" t="str">
        <f>CONCATENATE("+",RIGHT('Personal File'!$B$6,1)+RIGHT('Personal File'!$C$9)+D12+1)</f>
        <v>+15</v>
      </c>
      <c r="I12" s="481">
        <f t="shared" ca="1" si="7"/>
        <v>13</v>
      </c>
      <c r="J12" s="482">
        <f t="shared" ref="J12" ca="1" si="11">I12+H12</f>
        <v>28</v>
      </c>
      <c r="K12" s="510" t="s">
        <v>240</v>
      </c>
      <c r="M12" s="468"/>
    </row>
    <row r="13" spans="1:13" ht="16.5" thickBot="1">
      <c r="A13" s="516" t="s">
        <v>244</v>
      </c>
      <c r="B13" s="517" t="s">
        <v>150</v>
      </c>
      <c r="C13" s="518" t="s">
        <v>62</v>
      </c>
      <c r="D13" s="519" t="s">
        <v>62</v>
      </c>
      <c r="E13" s="517" t="s">
        <v>110</v>
      </c>
      <c r="F13" s="520" t="str">
        <f>CONCATENATE(10*2,"’")</f>
        <v>20’</v>
      </c>
      <c r="G13" s="521">
        <v>2</v>
      </c>
      <c r="H13" s="522" t="str">
        <f>CONCATENATE("+",RIGHT('Personal File'!$B$6,1)+RIGHT('Personal File'!$C$9)+D13)</f>
        <v>+11</v>
      </c>
      <c r="I13" s="523">
        <f t="shared" ref="I13" ca="1" si="12">RANDBETWEEN(1,20)</f>
        <v>6</v>
      </c>
      <c r="J13" s="524">
        <f t="shared" ca="1" si="8"/>
        <v>17</v>
      </c>
      <c r="K13" s="525" t="s">
        <v>240</v>
      </c>
      <c r="L13" s="288"/>
      <c r="M13" s="491">
        <v>20</v>
      </c>
    </row>
    <row r="14" spans="1:13" ht="6" customHeight="1" thickTop="1" thickBot="1">
      <c r="D14" s="211"/>
      <c r="E14" s="211"/>
      <c r="G14" s="212"/>
      <c r="H14" s="212"/>
      <c r="I14" s="212"/>
      <c r="J14" s="212"/>
      <c r="M14" s="212"/>
    </row>
    <row r="15" spans="1:13" ht="17.25" thickTop="1" thickBot="1">
      <c r="A15" s="194" t="s">
        <v>72</v>
      </c>
      <c r="B15" s="195" t="s">
        <v>17</v>
      </c>
      <c r="C15" s="195" t="s">
        <v>34</v>
      </c>
      <c r="D15" s="195" t="s">
        <v>83</v>
      </c>
      <c r="E15" s="195" t="s">
        <v>84</v>
      </c>
      <c r="F15" s="195" t="s">
        <v>85</v>
      </c>
      <c r="G15" s="195" t="s">
        <v>27</v>
      </c>
      <c r="H15" s="213" t="s">
        <v>81</v>
      </c>
      <c r="I15" s="214"/>
      <c r="J15" s="214"/>
      <c r="K15" s="215"/>
      <c r="M15" s="201" t="s">
        <v>128</v>
      </c>
    </row>
    <row r="16" spans="1:13">
      <c r="A16" s="296" t="s">
        <v>254</v>
      </c>
      <c r="B16" s="10">
        <v>5</v>
      </c>
      <c r="C16" s="343">
        <v>4</v>
      </c>
      <c r="D16" s="458">
        <v>-2</v>
      </c>
      <c r="E16" s="216">
        <v>0.2</v>
      </c>
      <c r="F16" s="210" t="s">
        <v>119</v>
      </c>
      <c r="G16" s="217">
        <v>20</v>
      </c>
      <c r="H16" s="218"/>
      <c r="I16" s="219"/>
      <c r="J16" s="219"/>
      <c r="K16" s="220"/>
      <c r="M16" s="221">
        <v>3200</v>
      </c>
    </row>
    <row r="17" spans="1:13">
      <c r="A17" s="334" t="s">
        <v>174</v>
      </c>
      <c r="B17" s="335">
        <v>1</v>
      </c>
      <c r="C17" s="293" t="s">
        <v>157</v>
      </c>
      <c r="D17" s="294" t="s">
        <v>157</v>
      </c>
      <c r="E17" s="336" t="s">
        <v>157</v>
      </c>
      <c r="F17" s="337" t="s">
        <v>157</v>
      </c>
      <c r="G17" s="338">
        <v>0</v>
      </c>
      <c r="H17" s="339"/>
      <c r="I17" s="340"/>
      <c r="J17" s="340"/>
      <c r="K17" s="341"/>
      <c r="M17" s="342">
        <v>2000</v>
      </c>
    </row>
    <row r="18" spans="1:13" ht="16.5" thickBot="1">
      <c r="A18" s="297" t="s">
        <v>156</v>
      </c>
      <c r="B18" s="222">
        <v>1</v>
      </c>
      <c r="C18" s="222" t="s">
        <v>157</v>
      </c>
      <c r="D18" s="222" t="s">
        <v>157</v>
      </c>
      <c r="E18" s="222" t="s">
        <v>157</v>
      </c>
      <c r="F18" s="222" t="s">
        <v>157</v>
      </c>
      <c r="G18" s="223">
        <v>0</v>
      </c>
      <c r="H18" s="224"/>
      <c r="I18" s="225"/>
      <c r="J18" s="225"/>
      <c r="K18" s="226"/>
      <c r="M18" s="208">
        <v>1000</v>
      </c>
    </row>
    <row r="19" spans="1:13" ht="6.75" customHeight="1" thickTop="1" thickBot="1">
      <c r="M19" s="178"/>
    </row>
    <row r="20" spans="1:13" ht="17.25" thickTop="1" thickBot="1">
      <c r="A20" s="227"/>
      <c r="B20" s="212"/>
      <c r="D20" s="228" t="s">
        <v>73</v>
      </c>
      <c r="E20" s="229"/>
      <c r="F20" s="213" t="s">
        <v>7</v>
      </c>
      <c r="G20" s="195" t="s">
        <v>27</v>
      </c>
      <c r="H20" s="197" t="s">
        <v>122</v>
      </c>
      <c r="I20" s="213" t="s">
        <v>81</v>
      </c>
      <c r="J20" s="214"/>
      <c r="K20" s="215"/>
      <c r="M20" s="201" t="s">
        <v>128</v>
      </c>
    </row>
    <row r="21" spans="1:13">
      <c r="A21" s="227"/>
      <c r="B21" s="212"/>
      <c r="D21" s="492" t="s">
        <v>149</v>
      </c>
      <c r="E21" s="493"/>
      <c r="F21" s="498">
        <v>100</v>
      </c>
      <c r="G21" s="217">
        <f t="shared" ref="G21:G24" si="13">F21/10</f>
        <v>10</v>
      </c>
      <c r="H21" s="499" t="s">
        <v>154</v>
      </c>
      <c r="I21" s="494" t="s">
        <v>252</v>
      </c>
      <c r="J21" s="495"/>
      <c r="K21" s="326"/>
      <c r="M21" s="289"/>
    </row>
    <row r="22" spans="1:13">
      <c r="A22" s="227"/>
      <c r="B22" s="212"/>
      <c r="D22" s="531" t="s">
        <v>251</v>
      </c>
      <c r="E22" s="532"/>
      <c r="F22" s="533">
        <v>40</v>
      </c>
      <c r="G22" s="534">
        <f>F22/5</f>
        <v>8</v>
      </c>
      <c r="H22" s="535" t="s">
        <v>154</v>
      </c>
      <c r="I22" s="536" t="s">
        <v>253</v>
      </c>
      <c r="J22" s="537"/>
      <c r="K22" s="538"/>
      <c r="M22" s="539">
        <v>2</v>
      </c>
    </row>
    <row r="23" spans="1:13">
      <c r="A23" s="227"/>
      <c r="B23" s="212"/>
      <c r="D23" s="541" t="s">
        <v>236</v>
      </c>
      <c r="E23" s="542"/>
      <c r="F23" s="543">
        <v>0</v>
      </c>
      <c r="G23" s="544">
        <f t="shared" si="13"/>
        <v>0</v>
      </c>
      <c r="H23" s="545" t="s">
        <v>191</v>
      </c>
      <c r="I23" s="546" t="s">
        <v>249</v>
      </c>
      <c r="J23" s="547"/>
      <c r="K23" s="548"/>
      <c r="M23" s="549">
        <f t="shared" ref="M23:M24" si="14">F23*25</f>
        <v>0</v>
      </c>
    </row>
    <row r="24" spans="1:13" ht="16.5" thickBot="1">
      <c r="A24" s="227"/>
      <c r="B24" s="212"/>
      <c r="D24" s="496" t="s">
        <v>237</v>
      </c>
      <c r="E24" s="497"/>
      <c r="F24" s="500">
        <v>25</v>
      </c>
      <c r="G24" s="501">
        <f t="shared" si="13"/>
        <v>2.5</v>
      </c>
      <c r="H24" s="287" t="s">
        <v>191</v>
      </c>
      <c r="I24" s="540" t="s">
        <v>250</v>
      </c>
      <c r="J24" s="230"/>
      <c r="K24" s="226"/>
      <c r="M24" s="502">
        <f t="shared" si="14"/>
        <v>625</v>
      </c>
    </row>
    <row r="25" spans="1:13" ht="17.25" thickTop="1" thickBot="1">
      <c r="A25" s="227"/>
      <c r="B25" s="212"/>
      <c r="D25" s="303"/>
      <c r="E25" s="304"/>
      <c r="F25" s="304"/>
      <c r="G25" s="305"/>
      <c r="H25" s="306"/>
      <c r="I25" s="307"/>
      <c r="J25" s="307"/>
      <c r="K25" s="303"/>
      <c r="M25" s="305"/>
    </row>
    <row r="26" spans="1:13" ht="17.25" thickTop="1" thickBot="1">
      <c r="A26" s="227"/>
      <c r="B26" s="212"/>
      <c r="D26" s="228" t="s">
        <v>161</v>
      </c>
      <c r="E26" s="214"/>
      <c r="F26" s="214"/>
      <c r="G26" s="214"/>
      <c r="H26" s="308" t="s">
        <v>7</v>
      </c>
      <c r="I26" s="308" t="s">
        <v>162</v>
      </c>
      <c r="J26" s="308" t="s">
        <v>163</v>
      </c>
      <c r="K26" s="215" t="s">
        <v>81</v>
      </c>
      <c r="L26" s="298"/>
      <c r="M26" s="201" t="s">
        <v>128</v>
      </c>
    </row>
    <row r="27" spans="1:13">
      <c r="A27" s="227"/>
      <c r="B27" s="212"/>
      <c r="D27" s="322" t="s">
        <v>176</v>
      </c>
      <c r="E27" s="323"/>
      <c r="F27" s="323"/>
      <c r="G27" s="349"/>
      <c r="H27" s="324">
        <v>0</v>
      </c>
      <c r="I27" s="325">
        <v>1</v>
      </c>
      <c r="J27" s="325">
        <v>1</v>
      </c>
      <c r="K27" s="326"/>
      <c r="L27" s="298"/>
      <c r="M27" s="289">
        <f>H27*50</f>
        <v>0</v>
      </c>
    </row>
    <row r="28" spans="1:13">
      <c r="A28" s="227"/>
      <c r="B28" s="212"/>
      <c r="D28" s="327" t="s">
        <v>177</v>
      </c>
      <c r="E28" s="328"/>
      <c r="F28" s="328"/>
      <c r="G28" s="350"/>
      <c r="H28" s="329">
        <v>0</v>
      </c>
      <c r="I28" s="330">
        <v>2</v>
      </c>
      <c r="J28" s="330">
        <v>4</v>
      </c>
      <c r="K28" s="331"/>
      <c r="L28" s="298"/>
      <c r="M28" s="309">
        <f>H28*300</f>
        <v>0</v>
      </c>
    </row>
    <row r="29" spans="1:13" ht="16.5" thickBot="1">
      <c r="A29" s="227"/>
      <c r="B29" s="212"/>
      <c r="D29" s="345"/>
      <c r="E29" s="346"/>
      <c r="F29" s="346"/>
      <c r="G29" s="351"/>
      <c r="H29" s="347"/>
      <c r="I29" s="348"/>
      <c r="J29" s="348"/>
      <c r="K29" s="226"/>
      <c r="L29" s="298"/>
      <c r="M29" s="310" t="s">
        <v>235</v>
      </c>
    </row>
    <row r="30" spans="1:13" ht="16.5" thickTop="1"/>
    <row r="31" spans="1:13">
      <c r="K31" s="174" t="s">
        <v>153</v>
      </c>
      <c r="M31" s="286">
        <f>SUM(M3:M29)</f>
        <v>11947</v>
      </c>
    </row>
  </sheetData>
  <phoneticPr fontId="0" type="noConversion"/>
  <conditionalFormatting sqref="I3:I6">
    <cfRule type="cellIs" dxfId="11" priority="19" operator="equal">
      <formula>20</formula>
    </cfRule>
    <cfRule type="cellIs" dxfId="10" priority="20" operator="equal">
      <formula>1</formula>
    </cfRule>
  </conditionalFormatting>
  <conditionalFormatting sqref="I13">
    <cfRule type="cellIs" dxfId="9" priority="17" operator="equal">
      <formula>20</formula>
    </cfRule>
    <cfRule type="cellIs" dxfId="8" priority="18" operator="equal">
      <formula>1</formula>
    </cfRule>
  </conditionalFormatting>
  <conditionalFormatting sqref="I9:I10">
    <cfRule type="cellIs" dxfId="7" priority="15" operator="equal">
      <formula>20</formula>
    </cfRule>
    <cfRule type="cellIs" dxfId="6" priority="16" operator="equal">
      <formula>1</formula>
    </cfRule>
  </conditionalFormatting>
  <conditionalFormatting sqref="I12">
    <cfRule type="cellIs" dxfId="5" priority="3" operator="equal">
      <formula>20</formula>
    </cfRule>
    <cfRule type="cellIs" dxfId="4" priority="4" operator="equal">
      <formula>1</formula>
    </cfRule>
  </conditionalFormatting>
  <conditionalFormatting sqref="I11">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75"/>
  <cols>
    <col min="1" max="1" width="27.375" style="178" bestFit="1" customWidth="1"/>
    <col min="2" max="2" width="4.5" style="212" bestFit="1" customWidth="1"/>
    <col min="3" max="3" width="6.875" style="212" bestFit="1" customWidth="1"/>
    <col min="4" max="4" width="23.375" style="65" bestFit="1" customWidth="1"/>
    <col min="5" max="5" width="19.375" style="65" customWidth="1"/>
    <col min="6" max="6" width="2.375" style="65" customWidth="1"/>
    <col min="7" max="7" width="5.875" style="65" bestFit="1" customWidth="1"/>
    <col min="8" max="16384" width="13" style="65"/>
  </cols>
  <sheetData>
    <row r="1" spans="1:7" ht="24" thickBot="1">
      <c r="A1" s="193" t="s">
        <v>78</v>
      </c>
      <c r="B1" s="231"/>
      <c r="C1" s="231"/>
      <c r="D1" s="193"/>
      <c r="E1" s="193"/>
    </row>
    <row r="2" spans="1:7" s="178" customFormat="1" ht="17.25" thickTop="1" thickBot="1">
      <c r="A2" s="232" t="s">
        <v>79</v>
      </c>
      <c r="B2" s="232" t="s">
        <v>7</v>
      </c>
      <c r="C2" s="233" t="s">
        <v>126</v>
      </c>
      <c r="D2" s="234" t="s">
        <v>80</v>
      </c>
      <c r="E2" s="235" t="s">
        <v>81</v>
      </c>
      <c r="G2" s="236" t="s">
        <v>128</v>
      </c>
    </row>
    <row r="3" spans="1:7">
      <c r="A3" s="237" t="s">
        <v>93</v>
      </c>
      <c r="B3" s="238">
        <v>1</v>
      </c>
      <c r="C3" s="239" t="s">
        <v>127</v>
      </c>
      <c r="D3" s="240"/>
      <c r="E3" s="241"/>
      <c r="G3" s="242">
        <v>0</v>
      </c>
    </row>
    <row r="4" spans="1:7">
      <c r="A4" s="237" t="s">
        <v>116</v>
      </c>
      <c r="B4" s="238">
        <v>1</v>
      </c>
      <c r="C4" s="243">
        <v>1</v>
      </c>
      <c r="D4" s="240"/>
      <c r="E4" s="241"/>
      <c r="G4" s="244">
        <v>0</v>
      </c>
    </row>
    <row r="5" spans="1:7">
      <c r="A5" s="245" t="s">
        <v>165</v>
      </c>
      <c r="B5" s="238">
        <v>1</v>
      </c>
      <c r="C5" s="243">
        <v>1</v>
      </c>
      <c r="D5" s="248"/>
      <c r="E5" s="249"/>
      <c r="G5" s="250">
        <v>0</v>
      </c>
    </row>
    <row r="6" spans="1:7">
      <c r="A6" s="245" t="s">
        <v>238</v>
      </c>
      <c r="B6" s="504">
        <v>1</v>
      </c>
      <c r="C6" s="318">
        <v>0</v>
      </c>
      <c r="D6" s="505" t="s">
        <v>239</v>
      </c>
      <c r="E6" s="506"/>
      <c r="F6" s="507"/>
      <c r="G6" s="508" t="s">
        <v>235</v>
      </c>
    </row>
    <row r="7" spans="1:7">
      <c r="A7" s="278" t="s">
        <v>164</v>
      </c>
      <c r="B7" s="246">
        <v>2</v>
      </c>
      <c r="C7" s="247">
        <v>1</v>
      </c>
      <c r="D7" s="248"/>
      <c r="E7" s="249"/>
      <c r="G7" s="250">
        <v>1000</v>
      </c>
    </row>
    <row r="8" spans="1:7">
      <c r="A8" s="245" t="s">
        <v>166</v>
      </c>
      <c r="B8" s="317">
        <v>1</v>
      </c>
      <c r="C8" s="318">
        <v>2</v>
      </c>
      <c r="D8" s="248"/>
      <c r="E8" s="249"/>
      <c r="G8" s="250">
        <v>350</v>
      </c>
    </row>
    <row r="9" spans="1:7">
      <c r="A9" s="245" t="s">
        <v>159</v>
      </c>
      <c r="B9" s="246">
        <v>1</v>
      </c>
      <c r="C9" s="247">
        <v>0</v>
      </c>
      <c r="D9" s="248" t="s">
        <v>160</v>
      </c>
      <c r="E9" s="249" t="s">
        <v>139</v>
      </c>
      <c r="G9" s="250">
        <v>1000</v>
      </c>
    </row>
    <row r="10" spans="1:7" ht="16.5" thickBot="1">
      <c r="A10" s="251" t="s">
        <v>137</v>
      </c>
      <c r="B10" s="252">
        <v>1</v>
      </c>
      <c r="C10" s="253">
        <v>1</v>
      </c>
      <c r="D10" s="254" t="s">
        <v>138</v>
      </c>
      <c r="E10" s="255" t="s">
        <v>139</v>
      </c>
      <c r="G10" s="256">
        <v>1500</v>
      </c>
    </row>
    <row r="11" spans="1:7" ht="24.75" thickTop="1" thickBot="1">
      <c r="A11" s="193" t="s">
        <v>82</v>
      </c>
      <c r="B11" s="257"/>
      <c r="C11" s="257"/>
      <c r="D11" s="193"/>
      <c r="E11" s="258"/>
    </row>
    <row r="12" spans="1:7" ht="17.25" thickTop="1" thickBot="1">
      <c r="A12" s="232" t="s">
        <v>79</v>
      </c>
      <c r="B12" s="232" t="s">
        <v>7</v>
      </c>
      <c r="C12" s="233" t="s">
        <v>126</v>
      </c>
      <c r="D12" s="234" t="s">
        <v>80</v>
      </c>
      <c r="E12" s="235" t="s">
        <v>81</v>
      </c>
      <c r="G12" s="236" t="s">
        <v>128</v>
      </c>
    </row>
    <row r="13" spans="1:7">
      <c r="A13" s="237" t="s">
        <v>97</v>
      </c>
      <c r="B13" s="238">
        <v>2</v>
      </c>
      <c r="C13" s="243">
        <v>1</v>
      </c>
      <c r="D13" s="259"/>
      <c r="E13" s="241"/>
      <c r="G13" s="244">
        <v>0</v>
      </c>
    </row>
    <row r="14" spans="1:7">
      <c r="A14" s="237" t="s">
        <v>118</v>
      </c>
      <c r="B14" s="238">
        <v>1</v>
      </c>
      <c r="C14" s="243">
        <v>3</v>
      </c>
      <c r="D14" s="240"/>
      <c r="E14" s="241"/>
      <c r="G14" s="244">
        <v>0</v>
      </c>
    </row>
    <row r="15" spans="1:7">
      <c r="A15" s="332" t="s">
        <v>173</v>
      </c>
      <c r="B15" s="317">
        <v>1</v>
      </c>
      <c r="C15" s="239">
        <v>3.5</v>
      </c>
      <c r="D15" s="240"/>
      <c r="E15" s="241"/>
      <c r="G15" s="333">
        <v>3000</v>
      </c>
    </row>
    <row r="16" spans="1:7">
      <c r="A16" s="245" t="s">
        <v>125</v>
      </c>
      <c r="B16" s="246">
        <v>1318</v>
      </c>
      <c r="C16" s="247">
        <f>B16/100</f>
        <v>13.18</v>
      </c>
      <c r="D16" s="240"/>
      <c r="E16" s="241"/>
      <c r="G16" s="250">
        <f>B16</f>
        <v>1318</v>
      </c>
    </row>
    <row r="17" spans="1:7">
      <c r="A17" s="237" t="s">
        <v>117</v>
      </c>
      <c r="B17" s="238">
        <v>0</v>
      </c>
      <c r="C17" s="243">
        <v>0</v>
      </c>
      <c r="D17" s="240"/>
      <c r="E17" s="241"/>
      <c r="G17" s="244">
        <v>0</v>
      </c>
    </row>
    <row r="18" spans="1:7" s="288" customFormat="1" ht="16.5" thickBot="1">
      <c r="A18" s="311" t="s">
        <v>129</v>
      </c>
      <c r="B18" s="312">
        <v>1</v>
      </c>
      <c r="C18" s="313">
        <v>1</v>
      </c>
      <c r="D18" s="314"/>
      <c r="E18" s="315"/>
      <c r="G18" s="316">
        <v>110</v>
      </c>
    </row>
    <row r="19" spans="1:7" ht="16.5" thickTop="1">
      <c r="A19" s="65"/>
      <c r="B19" s="65"/>
      <c r="C19" s="65"/>
    </row>
    <row r="20" spans="1:7">
      <c r="A20" s="65"/>
      <c r="B20" s="65"/>
      <c r="F20" s="260" t="s">
        <v>130</v>
      </c>
      <c r="G20" s="261">
        <f>SUM(G3:G18,Martial!M3:M29)</f>
        <v>20225</v>
      </c>
    </row>
    <row r="21" spans="1:7">
      <c r="A21" s="65"/>
      <c r="B21" s="65"/>
      <c r="C21" s="65"/>
      <c r="G21" s="291"/>
    </row>
    <row r="23" spans="1:7">
      <c r="A23" s="65"/>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354" customWidth="1"/>
    <col min="2" max="2" width="10" style="353" customWidth="1"/>
    <col min="3" max="3" width="5.5" style="353" customWidth="1"/>
    <col min="4" max="4" width="13.75" style="354" bestFit="1" customWidth="1"/>
    <col min="5" max="5" width="9.625" style="353" bestFit="1" customWidth="1"/>
    <col min="6" max="6" width="14.875" style="354" customWidth="1"/>
    <col min="7" max="7" width="17.875" style="353" customWidth="1"/>
    <col min="8" max="16384" width="13" style="352"/>
  </cols>
  <sheetData>
    <row r="1" spans="1:7" ht="29.25" thickTop="1" thickBot="1">
      <c r="A1" s="403" t="s">
        <v>230</v>
      </c>
      <c r="B1" s="402"/>
      <c r="C1" s="402"/>
      <c r="D1" s="402"/>
      <c r="E1" s="401"/>
      <c r="F1" s="400"/>
      <c r="G1" s="399" t="s">
        <v>189</v>
      </c>
    </row>
    <row r="2" spans="1:7" ht="17.25" thickTop="1">
      <c r="A2" s="363" t="s">
        <v>0</v>
      </c>
      <c r="B2" s="398" t="s">
        <v>190</v>
      </c>
      <c r="C2" s="397"/>
      <c r="D2" s="395" t="s">
        <v>1</v>
      </c>
      <c r="E2" s="396" t="s">
        <v>231</v>
      </c>
      <c r="F2" s="395" t="s">
        <v>120</v>
      </c>
      <c r="G2" s="394" t="s">
        <v>191</v>
      </c>
    </row>
    <row r="3" spans="1:7" ht="17.25" thickBot="1">
      <c r="A3" s="393" t="s">
        <v>195</v>
      </c>
      <c r="B3" s="392" t="s">
        <v>194</v>
      </c>
      <c r="C3" s="392"/>
      <c r="D3" s="390" t="s">
        <v>188</v>
      </c>
      <c r="E3" s="391" t="s">
        <v>187</v>
      </c>
      <c r="F3" s="390" t="s">
        <v>186</v>
      </c>
      <c r="G3" s="389" t="s">
        <v>192</v>
      </c>
    </row>
    <row r="4" spans="1:7" ht="17.25" thickTop="1">
      <c r="A4" s="388" t="s">
        <v>2</v>
      </c>
      <c r="B4" s="387">
        <v>13</v>
      </c>
      <c r="C4" s="386" t="str">
        <f t="shared" ref="C4:C9" si="0">IF(B4&gt;9.9,CONCATENATE("+",ROUNDDOWN((B4-10)/2,0)),ROUNDUP((B4-10)/2,0))</f>
        <v>+1</v>
      </c>
      <c r="D4" s="376" t="s">
        <v>14</v>
      </c>
      <c r="E4" s="385">
        <v>13</v>
      </c>
      <c r="F4" s="384">
        <v>13</v>
      </c>
      <c r="G4" s="383"/>
    </row>
    <row r="5" spans="1:7" ht="16.5">
      <c r="A5" s="382" t="s">
        <v>3</v>
      </c>
      <c r="B5" s="373">
        <v>15</v>
      </c>
      <c r="C5" s="377" t="str">
        <f t="shared" si="0"/>
        <v>+2</v>
      </c>
      <c r="D5" s="381" t="s">
        <v>185</v>
      </c>
      <c r="E5" s="370" t="s">
        <v>193</v>
      </c>
      <c r="F5" s="379"/>
      <c r="G5" s="361"/>
    </row>
    <row r="6" spans="1:7" ht="16.5">
      <c r="A6" s="380" t="s">
        <v>12</v>
      </c>
      <c r="B6" s="373">
        <v>15</v>
      </c>
      <c r="C6" s="377" t="str">
        <f t="shared" si="0"/>
        <v>+2</v>
      </c>
      <c r="D6" s="376" t="s">
        <v>184</v>
      </c>
      <c r="E6" s="375">
        <v>3</v>
      </c>
      <c r="F6" s="379"/>
      <c r="G6" s="361"/>
    </row>
    <row r="7" spans="1:7" ht="16.5">
      <c r="A7" s="378" t="s">
        <v>13</v>
      </c>
      <c r="B7" s="373">
        <v>2</v>
      </c>
      <c r="C7" s="377">
        <f t="shared" si="0"/>
        <v>-4</v>
      </c>
      <c r="D7" s="376" t="s">
        <v>183</v>
      </c>
      <c r="E7" s="375">
        <v>5</v>
      </c>
      <c r="F7" s="364"/>
      <c r="G7" s="361"/>
    </row>
    <row r="8" spans="1:7" ht="16.5">
      <c r="A8" s="374" t="s">
        <v>15</v>
      </c>
      <c r="B8" s="373">
        <v>12</v>
      </c>
      <c r="C8" s="372" t="str">
        <f t="shared" si="0"/>
        <v>+1</v>
      </c>
      <c r="D8" s="371" t="s">
        <v>182</v>
      </c>
      <c r="E8" s="370" t="s">
        <v>181</v>
      </c>
      <c r="F8" s="364"/>
      <c r="G8" s="361"/>
    </row>
    <row r="9" spans="1:7" ht="17.25" thickBot="1">
      <c r="A9" s="369" t="s">
        <v>11</v>
      </c>
      <c r="B9" s="368">
        <v>6</v>
      </c>
      <c r="C9" s="367">
        <f t="shared" si="0"/>
        <v>-2</v>
      </c>
      <c r="D9" s="366" t="s">
        <v>180</v>
      </c>
      <c r="E9" s="365">
        <v>1</v>
      </c>
      <c r="F9" s="364"/>
      <c r="G9" s="361"/>
    </row>
    <row r="10" spans="1:7" ht="17.25" thickTop="1">
      <c r="A10" s="360" t="s">
        <v>196</v>
      </c>
      <c r="B10" s="359"/>
      <c r="C10" s="359"/>
      <c r="D10" s="359"/>
      <c r="E10" s="358"/>
      <c r="F10" s="364"/>
      <c r="G10" s="361"/>
    </row>
    <row r="11" spans="1:7" ht="16.5">
      <c r="A11" s="360" t="s">
        <v>197</v>
      </c>
      <c r="B11" s="359"/>
      <c r="C11" s="359"/>
      <c r="D11" s="359"/>
      <c r="E11" s="358"/>
      <c r="F11" s="362"/>
      <c r="G11" s="361"/>
    </row>
    <row r="12" spans="1:7" ht="16.5">
      <c r="A12" s="360"/>
      <c r="B12" s="359"/>
      <c r="C12" s="359"/>
      <c r="D12" s="359"/>
      <c r="E12" s="358"/>
      <c r="F12" s="359"/>
      <c r="G12" s="358"/>
    </row>
    <row r="13" spans="1:7" ht="17.25" thickBot="1">
      <c r="A13" s="357"/>
      <c r="B13" s="356"/>
      <c r="C13" s="356"/>
      <c r="D13" s="356"/>
      <c r="E13" s="355"/>
      <c r="F13" s="356"/>
      <c r="G13" s="355"/>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Animal</vt:lpstr>
      <vt:lpstr>Animal!Print_Area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2014-10-22T18:45:45Z</dcterms:modified>
</cp:coreProperties>
</file>