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5" yWindow="-15" windowWidth="10200" windowHeight="8730" tabRatio="638"/>
  </bookViews>
  <sheets>
    <sheet name="Personal File" sheetId="20" r:id="rId1"/>
    <sheet name="Skills" sheetId="15" r:id="rId2"/>
    <sheet name="Spells" sheetId="22" r:id="rId3"/>
    <sheet name="Feats" sheetId="17" r:id="rId4"/>
    <sheet name="Martial" sheetId="6" r:id="rId5"/>
    <sheet name="Equipment" sheetId="19" r:id="rId6"/>
    <sheet name="Animal" sheetId="21" r:id="rId7"/>
  </sheets>
  <externalReferences>
    <externalReference r:id="rId8"/>
  </externalReferences>
  <definedNames>
    <definedName name="NoShade">'[1]Spell Sheet'!$FH$1</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1">Skills!$A$1:$K$29</definedName>
    <definedName name="_xlnm.Print_Area" localSheetId="2">Spells!$A$1:$I$2</definedName>
  </definedNames>
  <calcPr calcId="145621"/>
</workbook>
</file>

<file path=xl/calcChain.xml><?xml version="1.0" encoding="utf-8"?>
<calcChain xmlns="http://schemas.openxmlformats.org/spreadsheetml/2006/main">
  <c r="E13" i="20" l="1"/>
  <c r="E12" i="20" s="1"/>
  <c r="E11" i="20"/>
  <c r="E10" i="20"/>
  <c r="B6" i="20" l="1"/>
  <c r="M23" i="6" l="1"/>
  <c r="M24" i="6"/>
  <c r="B8" i="20" l="1"/>
  <c r="I5" i="6" l="1"/>
  <c r="G16" i="6" l="1"/>
  <c r="M16" i="6" s="1"/>
  <c r="H11" i="6"/>
  <c r="I11" i="6"/>
  <c r="D11" i="6"/>
  <c r="J11" i="6" l="1"/>
  <c r="G24" i="6" l="1"/>
  <c r="G23" i="6"/>
  <c r="I3" i="6" l="1"/>
  <c r="I4" i="6"/>
  <c r="I13" i="6" l="1"/>
  <c r="D13" i="6"/>
  <c r="H13" i="6" s="1"/>
  <c r="J13" i="6" l="1"/>
  <c r="D14" i="6" l="1"/>
  <c r="H14" i="6" s="1"/>
  <c r="D12" i="6"/>
  <c r="H12" i="6" s="1"/>
  <c r="D10" i="6"/>
  <c r="H10" i="6" s="1"/>
  <c r="I6" i="6" l="1"/>
  <c r="I14" i="6" l="1"/>
  <c r="F14" i="6"/>
  <c r="I10" i="6" l="1"/>
  <c r="I12" i="6"/>
  <c r="F10" i="6"/>
  <c r="H40" i="15" l="1"/>
  <c r="I6" i="17" l="1"/>
  <c r="H6" i="17"/>
  <c r="J6" i="17"/>
  <c r="G6" i="17"/>
  <c r="H24" i="15" l="1"/>
  <c r="C4" i="21" l="1"/>
  <c r="C5" i="21"/>
  <c r="C6" i="21"/>
  <c r="C7" i="21"/>
  <c r="C8" i="21"/>
  <c r="C9" i="21"/>
  <c r="H3" i="15" l="1"/>
  <c r="H4" i="15"/>
  <c r="H5" i="15"/>
  <c r="H6" i="15"/>
  <c r="H7" i="15"/>
  <c r="H8" i="15"/>
  <c r="H9" i="15"/>
  <c r="H10" i="15"/>
  <c r="H11" i="15"/>
  <c r="H12" i="15"/>
  <c r="I12" i="15" s="1"/>
  <c r="H13" i="15"/>
  <c r="H14" i="15"/>
  <c r="I14" i="15" s="1"/>
  <c r="H15" i="15"/>
  <c r="H16" i="15"/>
  <c r="H17" i="15"/>
  <c r="H18" i="15"/>
  <c r="H19" i="15"/>
  <c r="H20" i="15"/>
  <c r="H21" i="15"/>
  <c r="H22" i="15"/>
  <c r="H23" i="15"/>
  <c r="H25" i="15"/>
  <c r="H26" i="15"/>
  <c r="I26" i="15" s="1"/>
  <c r="H27" i="15"/>
  <c r="H28" i="15"/>
  <c r="H29" i="15"/>
  <c r="I29" i="15" s="1"/>
  <c r="H30" i="15"/>
  <c r="I30" i="15" s="1"/>
  <c r="H31" i="15"/>
  <c r="H32" i="15"/>
  <c r="H33" i="15"/>
  <c r="H34" i="15"/>
  <c r="H35" i="15"/>
  <c r="I35" i="15" s="1"/>
  <c r="H36" i="15"/>
  <c r="I36" i="15" s="1"/>
  <c r="H37" i="15"/>
  <c r="I37" i="15" s="1"/>
  <c r="H38" i="15"/>
  <c r="H39" i="15"/>
  <c r="F16" i="6" l="1"/>
  <c r="M29" i="6" l="1"/>
  <c r="M32" i="6" l="1"/>
  <c r="I16" i="6" l="1"/>
  <c r="I7" i="6"/>
  <c r="B44" i="15" l="1"/>
  <c r="C13" i="20" l="1"/>
  <c r="C12" i="20"/>
  <c r="C11" i="20"/>
  <c r="E53" i="15" s="1"/>
  <c r="C10" i="20"/>
  <c r="C9" i="20"/>
  <c r="C8" i="20"/>
  <c r="H5" i="6" s="1"/>
  <c r="J5" i="6" s="1"/>
  <c r="H3" i="6" l="1"/>
  <c r="J3" i="6" s="1"/>
  <c r="C13" i="6"/>
  <c r="C14" i="6"/>
  <c r="C11" i="6"/>
  <c r="H4" i="6"/>
  <c r="J4" i="6" s="1"/>
  <c r="E52" i="15"/>
  <c r="E50" i="15"/>
  <c r="E51" i="15"/>
  <c r="E49" i="15"/>
  <c r="D24" i="15"/>
  <c r="E24" i="15" s="1"/>
  <c r="G24" i="15" s="1"/>
  <c r="I24" i="15" s="1"/>
  <c r="H6" i="6"/>
  <c r="J6" i="6" s="1"/>
  <c r="C12" i="6"/>
  <c r="C10" i="6"/>
  <c r="D23" i="15"/>
  <c r="E23" i="15" s="1"/>
  <c r="G23" i="15" s="1"/>
  <c r="I23" i="15" s="1"/>
  <c r="D9" i="15"/>
  <c r="E9" i="15" s="1"/>
  <c r="G9" i="15" s="1"/>
  <c r="I9" i="15"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J12" i="6"/>
  <c r="J14" i="6"/>
  <c r="J10" i="6"/>
  <c r="D21" i="15"/>
  <c r="E21" i="15" s="1"/>
  <c r="G21" i="15" s="1"/>
  <c r="I21" i="15" s="1"/>
  <c r="D29" i="15"/>
  <c r="E29" i="15" s="1"/>
  <c r="D32" i="15"/>
  <c r="E32" i="15" s="1"/>
  <c r="G32" i="15" s="1"/>
  <c r="I32" i="15" s="1"/>
  <c r="D4" i="15"/>
  <c r="D16" i="15"/>
  <c r="E16" i="15" s="1"/>
  <c r="G16" i="15" s="1"/>
  <c r="I16" i="15" s="1"/>
  <c r="D28" i="15"/>
  <c r="E28" i="15" s="1"/>
  <c r="G28" i="15" s="1"/>
  <c r="I28" i="15" s="1"/>
  <c r="D7" i="15"/>
  <c r="E7" i="15" s="1"/>
  <c r="G7" i="15" s="1"/>
  <c r="I7" i="15" s="1"/>
  <c r="D35" i="15"/>
  <c r="E35" i="15" s="1"/>
  <c r="D3" i="15"/>
  <c r="D10" i="15"/>
  <c r="E10" i="15" s="1"/>
  <c r="G10" i="15" s="1"/>
  <c r="I10" i="15" s="1"/>
  <c r="D42" i="15"/>
  <c r="E42" i="15" s="1"/>
  <c r="D17" i="15"/>
  <c r="E17" i="15" s="1"/>
  <c r="G17" i="15" s="1"/>
  <c r="I17" i="15" s="1"/>
  <c r="D33" i="15"/>
  <c r="E33" i="15" s="1"/>
  <c r="G33" i="15" s="1"/>
  <c r="I33" i="15" s="1"/>
  <c r="D37" i="15"/>
  <c r="E37" i="15" s="1"/>
  <c r="D12" i="15"/>
  <c r="E12" i="15" s="1"/>
  <c r="D14" i="15"/>
  <c r="E14" i="15" s="1"/>
  <c r="D26" i="15"/>
  <c r="E26" i="15" s="1"/>
  <c r="D25" i="15"/>
  <c r="E25" i="15" s="1"/>
  <c r="G25" i="15" s="1"/>
  <c r="I25" i="15" s="1"/>
  <c r="D36" i="15"/>
  <c r="E36" i="15" s="1"/>
  <c r="D6" i="15"/>
  <c r="E6" i="15" s="1"/>
  <c r="G6" i="15" s="1"/>
  <c r="I6" i="15" s="1"/>
  <c r="D11" i="15"/>
  <c r="E11" i="15" s="1"/>
  <c r="G11" i="15" s="1"/>
  <c r="I11" i="15" s="1"/>
  <c r="E46" i="15"/>
  <c r="E45" i="15"/>
  <c r="E44" i="15" s="1"/>
  <c r="E48" i="15"/>
  <c r="H16" i="6"/>
  <c r="J16" i="6" s="1"/>
  <c r="B7" i="20"/>
  <c r="C7" i="6"/>
  <c r="H7" i="6"/>
  <c r="J7" i="6" s="1"/>
  <c r="D40" i="15"/>
  <c r="E40" i="15" s="1"/>
  <c r="G40" i="15" s="1"/>
  <c r="D41" i="15"/>
  <c r="D43" i="15"/>
  <c r="E43" i="15" s="1"/>
  <c r="G43" i="15" s="1"/>
  <c r="H43" i="15"/>
  <c r="H42" i="15"/>
  <c r="I42" i="15" s="1"/>
  <c r="H41" i="15"/>
  <c r="I41" i="15" s="1"/>
  <c r="E41" i="15"/>
  <c r="E3" i="15" l="1"/>
  <c r="G3" i="15"/>
  <c r="I3" i="15" s="1"/>
  <c r="E4" i="15"/>
  <c r="G4" i="15"/>
  <c r="I4" i="15" s="1"/>
  <c r="E5" i="15"/>
  <c r="G5" i="15"/>
  <c r="I5" i="15" s="1"/>
  <c r="I40" i="15"/>
  <c r="I43" i="15"/>
  <c r="C16" i="19"/>
  <c r="E9" i="20"/>
  <c r="G16" i="19"/>
  <c r="G20" i="19"/>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B8" authorId="0">
      <text>
        <r>
          <rPr>
            <i/>
            <sz val="12"/>
            <color indexed="81"/>
            <rFont val="Times New Roman"/>
            <family val="1"/>
          </rPr>
          <t>+4 bull’s strength</t>
        </r>
      </text>
    </comment>
    <comment ref="E8" authorId="0">
      <text>
        <r>
          <rPr>
            <sz val="12"/>
            <color indexed="81"/>
            <rFont val="Times New Roman"/>
            <family val="1"/>
          </rPr>
          <t>See PHB 162</t>
        </r>
      </text>
    </comment>
    <comment ref="E10" authorId="0">
      <text>
        <r>
          <rPr>
            <sz val="12"/>
            <color indexed="81"/>
            <rFont val="Times New Roman"/>
            <family val="1"/>
          </rPr>
          <t>[(3{4} * 8 Centaur) * 75%]
+ [(5 * 8 Ranger) * 75%]
+ (9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Mithral Chain Barding -1</t>
        </r>
      </text>
    </comment>
    <comment ref="F9" authorId="0">
      <text>
        <r>
          <rPr>
            <sz val="12"/>
            <color indexed="81"/>
            <rFont val="Times New Roman"/>
            <family val="1"/>
          </rPr>
          <t>Mithral Chain Barding -1</t>
        </r>
      </text>
    </comment>
    <comment ref="F16" authorId="0">
      <text>
        <r>
          <rPr>
            <sz val="12"/>
            <color indexed="81"/>
            <rFont val="Times New Roman"/>
            <family val="1"/>
          </rPr>
          <t>Mithral Chain Barding -1</t>
        </r>
      </text>
    </comment>
    <comment ref="F20" authorId="0">
      <text>
        <r>
          <rPr>
            <sz val="12"/>
            <color indexed="81"/>
            <rFont val="Times New Roman"/>
            <family val="1"/>
          </rPr>
          <t>Mithral Chain Barding -1</t>
        </r>
      </text>
    </comment>
    <comment ref="F21" authorId="0">
      <text>
        <r>
          <rPr>
            <sz val="12"/>
            <color indexed="81"/>
            <rFont val="Times New Roman"/>
            <family val="1"/>
          </rPr>
          <t>Mithral Chain Barding -1</t>
        </r>
      </text>
    </comment>
    <comment ref="F23" authorId="0">
      <text>
        <r>
          <rPr>
            <sz val="12"/>
            <color indexed="81"/>
            <rFont val="Times New Roman"/>
            <family val="1"/>
          </rPr>
          <t>Mithral Chain Barding -1</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Mithral Chain Barding -1</t>
        </r>
      </text>
    </comment>
    <comment ref="F35" authorId="0">
      <text>
        <r>
          <rPr>
            <sz val="12"/>
            <color indexed="81"/>
            <rFont val="Times New Roman"/>
            <family val="1"/>
          </rPr>
          <t>Mithral Chain Barding -1</t>
        </r>
      </text>
    </comment>
    <comment ref="F39" authorId="0">
      <text>
        <r>
          <rPr>
            <sz val="12"/>
            <color indexed="81"/>
            <rFont val="Times New Roman"/>
            <family val="1"/>
          </rPr>
          <t>Mithral Chain Barding -1</t>
        </r>
      </text>
    </comment>
    <comment ref="J39" authorId="0">
      <text>
        <r>
          <rPr>
            <sz val="12"/>
            <color indexed="81"/>
            <rFont val="Times New Roman"/>
            <family val="1"/>
          </rPr>
          <t>Synergy from Know:  Dungn.</t>
        </r>
      </text>
    </comment>
    <comment ref="F41" authorId="0">
      <text>
        <r>
          <rPr>
            <sz val="12"/>
            <color indexed="81"/>
            <rFont val="Times New Roman"/>
            <family val="1"/>
          </rPr>
          <t>Mithral Chain Barding -1</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5"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9"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10"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1"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2"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10"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0" authorId="0">
      <text>
        <r>
          <rPr>
            <sz val="12"/>
            <color indexed="81"/>
            <rFont val="Times New Roman"/>
            <family val="1"/>
          </rPr>
          <t>Far Shot feat</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A14"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4" authorId="0">
      <text>
        <r>
          <rPr>
            <sz val="12"/>
            <color indexed="81"/>
            <rFont val="Times New Roman"/>
            <family val="1"/>
          </rPr>
          <t>Far Shot feat</t>
        </r>
      </text>
    </comment>
    <comment ref="H14" authorId="0">
      <text>
        <r>
          <rPr>
            <i/>
            <sz val="12"/>
            <color indexed="81"/>
            <rFont val="Times New Roman"/>
            <family val="1"/>
          </rPr>
          <t>includes weapon focus +1</t>
        </r>
      </text>
    </comment>
    <comment ref="F16"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8"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9"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15"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<sst xmlns="http://schemas.openxmlformats.org/spreadsheetml/2006/main" count="414" uniqueCount="252">
  <si>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</si>
  <si>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</si>
  <si>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</si>
  <si>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</si>
  <si>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</si>
  <si>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</si>
  <si>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</si>
  <si>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</si>
  <si>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</si>
  <si>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</si>
  <si>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</si>
  <si>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</si>
  <si>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</si>
  <si>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</si>
  <si>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</si>
  <si>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</si>
  <si>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</si>
  <si>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</si>
  <si>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</si>
  <si>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</si>
  <si>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</si>
  <si>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</si>
  <si>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</si>
  <si>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</si>
  <si>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</si>
  <si>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</si>
  <si>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</si>
  <si>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</si>
  <si>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</si>
  <si>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</si>
  <si>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</si>
  <si>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</si>
  <si>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</si>
  <si>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</si>
  <si>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</si>
  <si>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</si>
  <si>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</si>
  <si>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</si>
  <si>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</si>
  <si>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</si>
  <si>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</si>
  <si>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</si>
  <si>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</si>
  <si>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</si>
  <si>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</si>
  <si>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</si>
  <si>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</si>
  <si>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</si>
  <si>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</si>
  <si>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</si>
  <si>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</si>
  <si>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</si>
  <si>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</si>
  <si>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</si>
  <si>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</si>
  <si>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</si>
  <si>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</si>
  <si>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</si>
  <si>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</si>
  <si>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</si>
  <si>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</si>
  <si>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</si>
  <si>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</si>
  <si>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</si>
  <si>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</si>
  <si>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</si>
  <si>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</si>
  <si>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</si>
  <si>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</si>
  <si>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</si>
  <si>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</si>
  <si>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</si>
  <si>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</si>
  <si>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</si>
  <si>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</si>
  <si>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</si>
  <si>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</si>
  <si>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</si>
  <si>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</si>
  <si>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</si>
  <si>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</si>
  <si>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</si>
  <si>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</si>
  <si>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</si>
  <si>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</si>
  <si>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</si>
  <si>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</si>
  <si>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</si>
  <si>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</si>
  <si>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</si>
  <si>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</si>
  <si>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</si>
  <si>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</si>
  <si>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</si>
  <si>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</si>
  <si>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</si>
  <si>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</si>
  <si>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</si>
  <si>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</si>
  <si>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</si>
  <si>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</si>
  <si>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</si>
  <si>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</si>
  <si>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</si>
  <si>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</si>
  <si>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</si>
  <si>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</si>
  <si>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</si>
  <si>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</si>
  <si>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</si>
  <si>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</si>
  <si>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</si>
  <si>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</si>
  <si>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</si>
  <si>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</si>
  <si>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</si>
  <si>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</si>
  <si>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</si>
  <si>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</si>
  <si>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</si>
  <si>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</si>
  <si>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</si>
  <si>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</si>
  <si>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</si>
  <si>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</si>
  <si>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</si>
  <si>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</si>
  <si>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</si>
  <si>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</si>
  <si>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</si>
  <si>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</si>
  <si>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</si>
  <si>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</si>
  <si>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</si>
  <si>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</si>
  <si>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</si>
  <si>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1 use/day</t>
  </si>
  <si>
    <t>2</t>
  </si>
  <si>
    <t>4th:  Precise Shot</t>
  </si>
  <si>
    <t>Ranger</t>
  </si>
  <si>
    <t>Ranger Features</t>
  </si>
  <si>
    <t>Track</t>
  </si>
  <si>
    <t>Wild Empathy</t>
  </si>
  <si>
    <t>Ranger 1</t>
  </si>
  <si>
    <t>Favored Enemy:  Dragon</t>
  </si>
  <si>
    <t>Arrows</t>
  </si>
  <si>
    <t>1d6</t>
  </si>
  <si>
    <t>Combat Style:  Archery</t>
  </si>
  <si>
    <t>Ranger 2</t>
  </si>
  <si>
    <t>Equity on this page:</t>
  </si>
  <si>
    <t>+0</t>
  </si>
  <si>
    <t>-</t>
  </si>
  <si>
    <t>Greataxe +1</t>
  </si>
  <si>
    <t>Brooch of Stability</t>
  </si>
  <si>
    <t>HPs don't drop to -10</t>
  </si>
  <si>
    <t>Scrolls and Potions</t>
  </si>
  <si>
    <t>Level</t>
  </si>
  <si>
    <t>CLev</t>
  </si>
  <si>
    <t>Cloak of Resistance +1</t>
  </si>
  <si>
    <t>Sack</t>
  </si>
  <si>
    <t>Everlasting Rations</t>
  </si>
  <si>
    <t>1d12</t>
  </si>
  <si>
    <t>+4+1</t>
  </si>
  <si>
    <t>Slashing</t>
  </si>
  <si>
    <t>Endurance</t>
  </si>
  <si>
    <t>6th:  Far Shot</t>
  </si>
  <si>
    <t>Touch AC:</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</si>
  <si>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</si>
  <si>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</si>
  <si>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</si>
  <si>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</si>
  <si>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</si>
  <si>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</si>
  <si>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</si>
  <si>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</si>
  <si>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</si>
  <si>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</si>
  <si>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</si>
  <si>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</si>
  <si>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</si>
  <si>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</si>
  <si>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</si>
  <si>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</si>
  <si>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</si>
  <si>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</si>
  <si>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</si>
  <si>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</si>
  <si>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Track, Hide +2, Listen +3, Move Silently +3, Spot +3, Survival +1*,</t>
  </si>
  <si>
    <t>Weapon Focus (bite, 1d6+1), Trip</t>
  </si>
  <si>
    <t>1 rnd/lvl</t>
  </si>
  <si>
    <t>25’ + 2½’/lvl</t>
  </si>
  <si>
    <t>1 SA</t>
  </si>
  <si>
    <t>V S DF</t>
  </si>
  <si>
    <t>Conjuration</t>
  </si>
  <si>
    <t>Duration</t>
  </si>
  <si>
    <t>Range</t>
  </si>
  <si>
    <t>Casting</t>
  </si>
  <si>
    <t>Components</t>
  </si>
  <si>
    <t>School</t>
  </si>
  <si>
    <t>Spell</t>
  </si>
  <si>
    <t>Knowledge:  Dungeoneering</t>
  </si>
  <si>
    <t>PHB</t>
  </si>
  <si>
    <t>Reference</t>
  </si>
  <si>
    <t>Page</t>
  </si>
  <si>
    <t>DC</t>
  </si>
  <si>
    <t>Cast?</t>
  </si>
  <si>
    <t>Prayers per Day</t>
  </si>
  <si>
    <t>Daily Spells by Level</t>
  </si>
  <si>
    <t>0th</t>
  </si>
  <si>
    <t>1st</t>
  </si>
  <si>
    <t>2nd</t>
  </si>
  <si>
    <t>4th</t>
  </si>
  <si>
    <t>Total Daily Spells</t>
  </si>
  <si>
    <t>Ranger Spells</t>
  </si>
  <si>
    <t>Wisdom Bonus</t>
  </si>
  <si>
    <t>Summon Nature’s Ally I</t>
  </si>
  <si>
    <t>¨</t>
  </si>
  <si>
    <t>Daily Spells</t>
  </si>
  <si>
    <t>Known Spells</t>
  </si>
  <si>
    <t>Simple Weapons, Light Armor, Shields</t>
  </si>
  <si>
    <t>-2</t>
  </si>
  <si>
    <t>Tika</t>
  </si>
  <si>
    <t>Female</t>
  </si>
  <si>
    <t>+2 while underground</t>
  </si>
  <si>
    <t>Grapple</t>
  </si>
  <si>
    <t>+1 within 30’</t>
  </si>
  <si>
    <t>Ranger 5</t>
  </si>
  <si>
    <t>Favored Enemy:  Undead</t>
  </si>
  <si>
    <t>9th:  Weapon Focus (Longbow)</t>
  </si>
  <si>
    <t>Blunt Arrows</t>
  </si>
  <si>
    <t>Piercing</t>
  </si>
  <si>
    <t>Bludgeoning</t>
  </si>
  <si>
    <t>Mithral Chain Barding +1</t>
  </si>
  <si>
    <t>Hoof Attack</t>
  </si>
  <si>
    <t>Greataxe +1, 2nd Attack</t>
  </si>
  <si>
    <t>2nd Shot</t>
  </si>
  <si>
    <t>3rd Shot, Rapid Firing</t>
  </si>
  <si>
    <r>
      <t xml:space="preserve">4th Shot, </t>
    </r>
    <r>
      <rPr>
        <i/>
        <sz val="12"/>
        <rFont val="Times New Roman"/>
        <family val="1"/>
      </rPr>
      <t>haste</t>
    </r>
  </si>
  <si>
    <t>Dagger +1</t>
  </si>
  <si>
    <t>1d3</t>
  </si>
  <si>
    <t>19-20, x2</t>
  </si>
  <si>
    <t>Prcg/Slsh</t>
  </si>
  <si>
    <t>Wealth Cap:</t>
  </si>
  <si>
    <r>
      <t xml:space="preserve">Wand of </t>
    </r>
    <r>
      <rPr>
        <i/>
        <sz val="12"/>
        <rFont val="Times New Roman"/>
        <family val="1"/>
      </rPr>
      <t>Cure Light Wounds</t>
    </r>
  </si>
  <si>
    <t>50 charges</t>
  </si>
  <si>
    <t>Healing Belt</t>
  </si>
  <si>
    <t>Greater Crystal of Aquatic Action</t>
  </si>
  <si>
    <t>Alchemist’s Fire:  5</t>
  </si>
  <si>
    <t>+1 vs. Favored Enemy</t>
  </si>
  <si>
    <t>Dragonbane Composite Longbow Str +4</t>
  </si>
  <si>
    <t>Amulet of Natural Armor +1</t>
  </si>
  <si>
    <t>Crystal of Electrical Assault, Lesser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</si>
</sst>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
      <i/>
      <sz val="13"/>
      <name val="Times New Roman"/>
      <family val="1"/>
    </font>
  </fonts>
  <fills count="2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
      <patternFill patternType="solid">
        <fgColor theme="7" tint="0.39997558519241921"/>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style="double">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0" fontId="58"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33">
    <xf numFmtId="0" fontId="0" fillId="0" borderId="0" xfId="0"/>
    <xf numFmtId="0" fontId="37" fillId="0" borderId="39" xfId="0" applyFont="1" applyBorder="1" applyAlignment="1">
      <alignment horizontal="centerContinuous" vertical="center" wrapText="1"/>
    </xf>
    <xf numFmtId="0" fontId="45"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40" fillId="0" borderId="39" xfId="0" applyFont="1" applyBorder="1" applyAlignment="1">
      <alignment horizontal="centerContinuous" vertical="center" wrapText="1"/>
    </xf>
    <xf numFmtId="0" fontId="38" fillId="3" borderId="69" xfId="0" applyFont="1" applyFill="1" applyBorder="1" applyAlignment="1">
      <alignment horizontal="right" vertical="center"/>
    </xf>
    <xf numFmtId="0" fontId="38" fillId="3" borderId="70" xfId="0" applyFont="1" applyFill="1" applyBorder="1" applyAlignment="1">
      <alignment horizontal="left" vertical="center"/>
    </xf>
    <xf numFmtId="0" fontId="20"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5" fillId="3" borderId="70" xfId="0" applyFont="1" applyFill="1" applyBorder="1" applyAlignment="1">
      <alignment horizontal="centerContinuous" vertical="center"/>
    </xf>
    <xf numFmtId="0" fontId="39"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2" xfId="0" applyFont="1" applyBorder="1" applyAlignment="1">
      <alignment horizontal="lef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7"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7" fillId="0" borderId="0" xfId="0" applyFont="1" applyBorder="1" applyAlignment="1">
      <alignment horizontal="left"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1" fillId="3" borderId="5" xfId="0" applyFont="1" applyFill="1" applyBorder="1" applyAlignment="1">
      <alignment horizontal="right" vertical="center"/>
    </xf>
    <xf numFmtId="0" fontId="11" fillId="2" borderId="4" xfId="0" applyFont="1" applyFill="1" applyBorder="1" applyAlignment="1">
      <alignment horizontal="right" vertical="center"/>
    </xf>
    <xf numFmtId="0" fontId="22"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6"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7" fillId="0" borderId="32" xfId="0" applyFont="1" applyFill="1" applyBorder="1" applyAlignment="1">
      <alignment horizontal="center" vertical="center" wrapText="1"/>
    </xf>
    <xf numFmtId="1" fontId="7" fillId="0" borderId="32" xfId="0" applyNumberFormat="1" applyFont="1" applyFill="1" applyBorder="1" applyAlignment="1">
      <alignment horizontal="center" vertical="center" wrapText="1"/>
    </xf>
    <xf numFmtId="0" fontId="44" fillId="0" borderId="65" xfId="0" applyFont="1" applyFill="1" applyBorder="1" applyAlignment="1">
      <alignment vertical="center"/>
    </xf>
    <xf numFmtId="0" fontId="6" fillId="0" borderId="66" xfId="0" applyFont="1" applyFill="1" applyBorder="1" applyAlignment="1">
      <alignment horizontal="center" vertical="center"/>
    </xf>
    <xf numFmtId="49" fontId="28" fillId="0" borderId="66" xfId="0" applyNumberFormat="1" applyFont="1" applyFill="1" applyBorder="1" applyAlignment="1">
      <alignment horizontal="center" vertical="center"/>
    </xf>
    <xf numFmtId="0" fontId="28" fillId="0" borderId="66" xfId="0" applyNumberFormat="1" applyFont="1" applyFill="1" applyBorder="1" applyAlignment="1">
      <alignment horizontal="center" vertical="center"/>
    </xf>
    <xf numFmtId="0" fontId="7" fillId="0" borderId="66" xfId="0" applyFont="1" applyFill="1" applyBorder="1" applyAlignment="1">
      <alignment horizontal="center" vertical="center" wrapText="1"/>
    </xf>
    <xf numFmtId="1" fontId="7" fillId="0" borderId="66" xfId="0" applyNumberFormat="1" applyFont="1" applyFill="1" applyBorder="1" applyAlignment="1">
      <alignment horizontal="center" vertical="center" wrapText="1"/>
    </xf>
    <xf numFmtId="0" fontId="42"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7" fillId="6" borderId="34"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7" fillId="8" borderId="34" xfId="0" applyNumberFormat="1" applyFont="1" applyFill="1" applyBorder="1" applyAlignment="1">
      <alignment horizontal="center" vertical="center"/>
    </xf>
    <xf numFmtId="0" fontId="13"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10" borderId="34"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4" fillId="6" borderId="62" xfId="0" applyNumberFormat="1" applyFont="1" applyFill="1" applyBorder="1" applyAlignment="1">
      <alignment horizontal="center" vertical="center"/>
    </xf>
    <xf numFmtId="0" fontId="24"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2"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6" fillId="0" borderId="39" xfId="0" applyFont="1" applyBorder="1" applyAlignment="1">
      <alignment horizontal="centerContinuous" vertical="center"/>
    </xf>
    <xf numFmtId="0" fontId="5" fillId="0" borderId="0" xfId="0" applyFont="1" applyBorder="1" applyAlignment="1">
      <alignment vertical="center" wrapText="1"/>
    </xf>
    <xf numFmtId="0" fontId="17" fillId="0" borderId="60" xfId="0" quotePrefix="1" applyFont="1" applyBorder="1" applyAlignment="1">
      <alignment horizontal="centerContinuous" vertical="center"/>
    </xf>
    <xf numFmtId="0" fontId="46" fillId="0" borderId="61" xfId="0" applyFont="1" applyFill="1" applyBorder="1" applyAlignment="1">
      <alignment horizontal="centerContinuous" vertical="center"/>
    </xf>
    <xf numFmtId="0" fontId="46" fillId="0" borderId="61" xfId="0" applyFont="1" applyFill="1" applyBorder="1" applyAlignment="1">
      <alignment horizontal="center" vertical="center" shrinkToFit="1"/>
    </xf>
    <xf numFmtId="0" fontId="46" fillId="0" borderId="41" xfId="0" applyFont="1" applyFill="1" applyBorder="1" applyAlignment="1">
      <alignment horizontal="centerContinuous" vertical="center"/>
    </xf>
    <xf numFmtId="0" fontId="46"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2" xfId="0" applyFont="1" applyFill="1" applyBorder="1" applyAlignment="1">
      <alignment horizontal="center" vertical="center"/>
    </xf>
    <xf numFmtId="0" fontId="21" fillId="12" borderId="73"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39" xfId="0" applyFont="1" applyFill="1" applyBorder="1" applyAlignment="1">
      <alignment horizontal="center" vertical="center"/>
    </xf>
    <xf numFmtId="0" fontId="48" fillId="11" borderId="25"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78" xfId="0" applyFont="1" applyFill="1" applyBorder="1" applyAlignment="1">
      <alignment horizontal="centerContinuous" vertical="center"/>
    </xf>
    <xf numFmtId="164" fontId="5" fillId="0" borderId="81" xfId="0" applyNumberFormat="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0" fontId="2" fillId="0" borderId="84" xfId="0" quotePrefix="1" applyFont="1" applyBorder="1" applyAlignment="1">
      <alignment horizontal="centerContinuous" vertical="center"/>
    </xf>
    <xf numFmtId="164" fontId="2" fillId="0" borderId="79" xfId="0" applyNumberFormat="1" applyFont="1" applyFill="1" applyBorder="1" applyAlignment="1">
      <alignment horizontal="centerContinuous" vertical="center"/>
    </xf>
    <xf numFmtId="0" fontId="2" fillId="0" borderId="80"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49" fontId="2" fillId="0" borderId="79"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4" borderId="42" xfId="0" applyFont="1" applyFill="1" applyBorder="1" applyAlignment="1">
      <alignment horizontal="center" vertical="center"/>
    </xf>
    <xf numFmtId="164" fontId="21" fillId="4" borderId="43"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164" fontId="21"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5" xfId="0" applyNumberFormat="1" applyFont="1" applyBorder="1" applyAlignment="1">
      <alignment horizontal="center" vertical="center" shrinkToFit="1"/>
    </xf>
    <xf numFmtId="0" fontId="5" fillId="0" borderId="53" xfId="0"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0" fontId="4" fillId="0" borderId="0" xfId="0" applyFont="1" applyFill="1" applyBorder="1" applyAlignment="1">
      <alignment horizontal="right" vertical="center"/>
    </xf>
    <xf numFmtId="1" fontId="5" fillId="0" borderId="0" xfId="0" applyNumberFormat="1" applyFont="1" applyBorder="1" applyAlignment="1">
      <alignment horizontal="center" vertical="center"/>
    </xf>
    <xf numFmtId="0" fontId="52" fillId="0" borderId="39" xfId="0" applyFont="1" applyBorder="1" applyAlignment="1">
      <alignment horizontal="centerContinuous" vertical="center"/>
    </xf>
    <xf numFmtId="0" fontId="53"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7" fillId="14" borderId="34"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6" fillId="0" borderId="61" xfId="0" quotePrefix="1" applyFont="1" applyBorder="1" applyAlignment="1">
      <alignment horizontal="centerContinuous"/>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1" fillId="12" borderId="72" xfId="0" applyFont="1" applyFill="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49" fontId="7" fillId="0" borderId="91" xfId="0" applyNumberFormat="1" applyFont="1" applyFill="1" applyBorder="1" applyAlignment="1">
      <alignment horizontal="center" vertical="center"/>
    </xf>
    <xf numFmtId="0" fontId="2" fillId="0" borderId="87" xfId="0" applyFont="1" applyFill="1" applyBorder="1" applyAlignment="1">
      <alignment horizontal="centerContinuous" vertical="center" shrinkToFit="1"/>
    </xf>
    <xf numFmtId="0" fontId="21" fillId="0" borderId="83" xfId="0" applyFont="1" applyFill="1" applyBorder="1" applyAlignment="1">
      <alignment horizontal="centerContinuous" vertical="center"/>
    </xf>
    <xf numFmtId="0" fontId="2" fillId="0" borderId="86"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4"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1" fillId="0" borderId="89"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0" xfId="0" applyFont="1" applyFill="1" applyBorder="1" applyAlignment="1">
      <alignment horizontal="centerContinuous" vertical="center"/>
    </xf>
    <xf numFmtId="0" fontId="2" fillId="0" borderId="92" xfId="0" applyFont="1" applyFill="1" applyBorder="1" applyAlignment="1">
      <alignment horizontal="center" vertical="center" shrinkToFit="1"/>
    </xf>
    <xf numFmtId="49" fontId="16"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79"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1" fillId="0" borderId="94" xfId="0" applyFont="1" applyFill="1" applyBorder="1" applyAlignment="1">
      <alignment horizontal="centerContinuous" vertical="center"/>
    </xf>
    <xf numFmtId="0" fontId="21" fillId="0" borderId="74"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6"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4" fillId="2" borderId="4"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2"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95" xfId="3" applyFont="1" applyFill="1" applyBorder="1" applyAlignment="1">
      <alignment horizontal="right" vertical="center"/>
    </xf>
    <xf numFmtId="0" fontId="26" fillId="0" borderId="96"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95"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6"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5" fillId="3" borderId="97" xfId="3" applyFont="1" applyFill="1" applyBorder="1" applyAlignment="1">
      <alignment horizontal="right" vertical="center"/>
    </xf>
    <xf numFmtId="0" fontId="4" fillId="3" borderId="98" xfId="3" applyFont="1" applyFill="1" applyBorder="1" applyAlignment="1">
      <alignment horizontal="centerContinuous" vertical="center"/>
    </xf>
    <xf numFmtId="0" fontId="2" fillId="3" borderId="98" xfId="3" applyFont="1" applyFill="1" applyBorder="1" applyAlignment="1">
      <alignment horizontal="left" vertical="center"/>
    </xf>
    <xf numFmtId="0" fontId="20" fillId="3" borderId="98" xfId="3" applyFont="1" applyFill="1" applyBorder="1" applyAlignment="1">
      <alignment horizontal="left" vertical="center"/>
    </xf>
    <xf numFmtId="0" fontId="56" fillId="3" borderId="99" xfId="3" applyFont="1" applyFill="1" applyBorder="1" applyAlignment="1">
      <alignment horizontal="right" vertical="center"/>
    </xf>
    <xf numFmtId="0" fontId="2" fillId="0" borderId="0" xfId="6" applyFont="1" applyBorder="1" applyAlignment="1">
      <alignment vertical="center" wrapText="1"/>
    </xf>
    <xf numFmtId="0" fontId="4" fillId="0" borderId="0" xfId="6" applyFont="1" applyBorder="1" applyAlignment="1">
      <alignment horizontal="right" vertical="center" wrapText="1"/>
    </xf>
    <xf numFmtId="0" fontId="2" fillId="0" borderId="0" xfId="6" applyFont="1" applyBorder="1" applyAlignment="1">
      <alignment horizontal="left" vertical="center" wrapText="1"/>
    </xf>
    <xf numFmtId="0" fontId="7" fillId="0" borderId="63" xfId="2" applyNumberFormat="1" applyFont="1" applyFill="1" applyBorder="1" applyAlignment="1">
      <alignment horizontal="center" vertical="center" shrinkToFit="1"/>
    </xf>
    <xf numFmtId="0" fontId="2" fillId="0" borderId="63" xfId="2" applyNumberFormat="1" applyFont="1" applyFill="1" applyBorder="1" applyAlignment="1">
      <alignment horizontal="center" vertical="center" shrinkToFit="1"/>
    </xf>
    <xf numFmtId="0" fontId="2" fillId="0" borderId="63" xfId="6" applyFont="1" applyFill="1" applyBorder="1" applyAlignment="1">
      <alignment horizontal="center" vertical="center" shrinkToFit="1"/>
    </xf>
    <xf numFmtId="9" fontId="7" fillId="0" borderId="63" xfId="2" applyFont="1" applyFill="1" applyBorder="1" applyAlignment="1">
      <alignment horizontal="center" vertical="center" shrinkToFit="1"/>
    </xf>
    <xf numFmtId="9" fontId="7" fillId="0" borderId="62" xfId="2" applyFont="1" applyFill="1" applyBorder="1" applyAlignment="1">
      <alignment horizontal="center" vertical="center" shrinkToFit="1"/>
    </xf>
    <xf numFmtId="0" fontId="7" fillId="0" borderId="62" xfId="6" applyFont="1" applyFill="1" applyBorder="1" applyAlignment="1">
      <alignment horizontal="center" vertical="center" wrapText="1"/>
    </xf>
    <xf numFmtId="0" fontId="27" fillId="0" borderId="9" xfId="6" applyFont="1" applyFill="1" applyBorder="1" applyAlignment="1">
      <alignment horizontal="center" vertical="center" shrinkToFit="1"/>
    </xf>
    <xf numFmtId="0" fontId="4" fillId="0" borderId="0" xfId="6" applyFont="1" applyBorder="1" applyAlignment="1">
      <alignment vertical="center" wrapText="1"/>
    </xf>
    <xf numFmtId="0" fontId="12" fillId="18" borderId="27" xfId="6" applyFont="1" applyFill="1" applyBorder="1" applyAlignment="1">
      <alignment horizontal="center" vertical="center" wrapText="1"/>
    </xf>
    <xf numFmtId="0" fontId="21" fillId="18" borderId="27" xfId="6" applyFont="1" applyFill="1" applyBorder="1" applyAlignment="1">
      <alignment horizontal="center" vertical="center" wrapText="1"/>
    </xf>
    <xf numFmtId="0" fontId="12" fillId="18" borderId="26" xfId="6" applyFont="1" applyFill="1" applyBorder="1" applyAlignment="1">
      <alignment horizontal="centerContinuous" vertical="center" wrapText="1"/>
    </xf>
    <xf numFmtId="0" fontId="15" fillId="0" borderId="0" xfId="6" applyFont="1" applyBorder="1" applyAlignment="1">
      <alignment horizontal="centerContinuous" vertical="center" wrapText="1"/>
    </xf>
    <xf numFmtId="0" fontId="12" fillId="19" borderId="27" xfId="0" applyFont="1" applyFill="1" applyBorder="1" applyAlignment="1">
      <alignment horizontal="center" vertical="center" wrapText="1"/>
    </xf>
    <xf numFmtId="0" fontId="12" fillId="19" borderId="100" xfId="0" applyNumberFormat="1" applyFont="1" applyFill="1" applyBorder="1" applyAlignment="1">
      <alignment horizontal="centerContinuous" vertical="center" wrapText="1"/>
    </xf>
    <xf numFmtId="0" fontId="7" fillId="0" borderId="29" xfId="2"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wrapText="1"/>
    </xf>
    <xf numFmtId="0" fontId="59" fillId="0" borderId="101" xfId="0" applyFont="1" applyBorder="1" applyAlignment="1">
      <alignment horizontal="centerContinuous" vertical="center" wrapText="1"/>
    </xf>
    <xf numFmtId="0" fontId="15" fillId="0" borderId="102" xfId="0" applyFont="1" applyBorder="1" applyAlignment="1">
      <alignment horizontal="centerContinuous" vertical="center" wrapText="1"/>
    </xf>
    <xf numFmtId="0" fontId="15" fillId="0" borderId="103"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4"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60" fillId="9" borderId="64" xfId="2" applyNumberFormat="1" applyFont="1" applyFill="1" applyBorder="1" applyAlignment="1">
      <alignment horizontal="center" vertical="center" shrinkToFit="1"/>
    </xf>
    <xf numFmtId="0" fontId="15" fillId="0" borderId="0" xfId="0" applyFont="1" applyBorder="1" applyAlignment="1">
      <alignment horizontal="centerContinuous" vertical="center" wrapText="1"/>
    </xf>
    <xf numFmtId="0" fontId="2" fillId="0" borderId="0" xfId="0" applyFont="1" applyBorder="1" applyAlignment="1">
      <alignment vertical="center" wrapText="1"/>
    </xf>
    <xf numFmtId="0" fontId="61" fillId="0" borderId="0" xfId="0" applyFont="1" applyBorder="1" applyAlignment="1">
      <alignment horizontal="centerContinuous" vertical="center" wrapText="1"/>
    </xf>
    <xf numFmtId="0" fontId="62" fillId="0" borderId="0" xfId="0" applyFont="1" applyBorder="1" applyAlignment="1">
      <alignment horizontal="centerContinuous" vertical="center" wrapText="1"/>
    </xf>
    <xf numFmtId="0" fontId="59"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5" xfId="0" applyFont="1" applyBorder="1" applyAlignment="1">
      <alignment horizontal="right" vertical="center"/>
    </xf>
    <xf numFmtId="0" fontId="2" fillId="0" borderId="106" xfId="0" applyFont="1" applyBorder="1" applyAlignment="1">
      <alignment horizontal="center" vertical="center" wrapText="1"/>
    </xf>
    <xf numFmtId="0" fontId="2" fillId="20" borderId="107" xfId="0" applyFont="1" applyFill="1" applyBorder="1" applyAlignment="1">
      <alignment horizontal="center" vertical="center" wrapText="1"/>
    </xf>
    <xf numFmtId="0" fontId="2" fillId="20" borderId="108"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4"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3" fillId="19" borderId="76"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59" fillId="0" borderId="28" xfId="6" applyFont="1" applyBorder="1" applyAlignment="1">
      <alignment horizontal="centerContinuous" vertical="center" wrapText="1"/>
    </xf>
    <xf numFmtId="0" fontId="7" fillId="8" borderId="34"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2" fillId="0" borderId="87" xfId="0" applyFont="1" applyFill="1" applyBorder="1" applyAlignment="1">
      <alignment horizontal="centerContinuous" vertical="center"/>
    </xf>
    <xf numFmtId="0" fontId="5" fillId="0" borderId="111" xfId="0"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49" fontId="2" fillId="0" borderId="83"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12" xfId="0" applyFont="1" applyFill="1" applyBorder="1" applyAlignment="1">
      <alignment horizontal="centerContinuous" vertical="center"/>
    </xf>
    <xf numFmtId="0" fontId="5" fillId="0" borderId="81" xfId="0" applyFont="1" applyFill="1" applyBorder="1" applyAlignment="1">
      <alignment horizontal="centerContinuous" vertical="center"/>
    </xf>
    <xf numFmtId="49" fontId="2" fillId="0" borderId="81" xfId="0" applyNumberFormat="1" applyFont="1" applyFill="1" applyBorder="1" applyAlignment="1">
      <alignment horizontal="center" vertical="center"/>
    </xf>
    <xf numFmtId="0" fontId="5" fillId="0" borderId="75" xfId="0" applyFont="1" applyFill="1" applyBorder="1" applyAlignment="1">
      <alignment horizontal="centerContinuous" vertical="center"/>
    </xf>
    <xf numFmtId="164" fontId="2" fillId="0" borderId="75"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65" fillId="0" borderId="6" xfId="0" applyFont="1" applyBorder="1" applyAlignment="1">
      <alignment vertical="center"/>
    </xf>
    <xf numFmtId="0" fontId="2" fillId="0" borderId="113" xfId="0" applyFont="1" applyFill="1" applyBorder="1" applyAlignment="1">
      <alignment horizontal="centerContinuous" vertical="center"/>
    </xf>
    <xf numFmtId="0" fontId="5" fillId="0" borderId="114" xfId="0" applyFont="1" applyFill="1" applyBorder="1" applyAlignment="1">
      <alignment horizontal="centerContinuous" vertical="center"/>
    </xf>
    <xf numFmtId="0" fontId="5" fillId="0" borderId="109" xfId="0" applyFont="1" applyFill="1" applyBorder="1" applyAlignment="1">
      <alignment horizontal="centerContinuous" vertical="center"/>
    </xf>
    <xf numFmtId="164" fontId="5" fillId="0" borderId="109" xfId="0" applyNumberFormat="1" applyFont="1" applyFill="1" applyBorder="1" applyAlignment="1">
      <alignment horizontal="center" vertical="center"/>
    </xf>
    <xf numFmtId="49" fontId="2" fillId="0" borderId="109" xfId="0" applyNumberFormat="1" applyFont="1" applyFill="1" applyBorder="1" applyAlignment="1">
      <alignment horizontal="center" vertical="center"/>
    </xf>
    <xf numFmtId="49" fontId="2" fillId="0" borderId="110" xfId="0" applyNumberFormat="1" applyFont="1" applyFill="1" applyBorder="1" applyAlignment="1">
      <alignment horizontal="centerContinuous" vertical="center"/>
    </xf>
    <xf numFmtId="49" fontId="2" fillId="0" borderId="115" xfId="0" applyNumberFormat="1" applyFont="1" applyFill="1" applyBorder="1" applyAlignment="1">
      <alignment horizontal="centerContinuous" vertical="center"/>
    </xf>
    <xf numFmtId="0" fontId="2" fillId="0" borderId="116" xfId="0"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 fillId="10" borderId="117" xfId="0" applyFont="1" applyFill="1" applyBorder="1" applyAlignment="1">
      <alignment horizontal="center" vertical="center"/>
    </xf>
    <xf numFmtId="49" fontId="2" fillId="10" borderId="117" xfId="0" applyNumberFormat="1" applyFont="1" applyFill="1" applyBorder="1" applyAlignment="1">
      <alignment horizontal="center" vertical="center"/>
    </xf>
    <xf numFmtId="164" fontId="2" fillId="10" borderId="117" xfId="0" applyNumberFormat="1" applyFont="1" applyFill="1" applyBorder="1" applyAlignment="1">
      <alignment horizontal="center" vertical="center"/>
    </xf>
    <xf numFmtId="0" fontId="2" fillId="10" borderId="118" xfId="0" applyFont="1" applyFill="1" applyBorder="1" applyAlignment="1">
      <alignment horizontal="center" vertical="center"/>
    </xf>
    <xf numFmtId="49" fontId="2" fillId="10" borderId="118" xfId="0" applyNumberFormat="1" applyFont="1" applyFill="1" applyBorder="1" applyAlignment="1">
      <alignment horizontal="center" vertical="center"/>
    </xf>
    <xf numFmtId="164" fontId="2" fillId="10" borderId="118"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2" fillId="0" borderId="74" xfId="0" applyFont="1" applyBorder="1" applyAlignment="1">
      <alignment horizontal="center" vertical="center" shrinkToFit="1"/>
    </xf>
    <xf numFmtId="0" fontId="2" fillId="0" borderId="46" xfId="0" applyFont="1" applyBorder="1" applyAlignment="1">
      <alignment horizontal="left" vertical="center"/>
    </xf>
    <xf numFmtId="0" fontId="2" fillId="0" borderId="48" xfId="0" applyFont="1" applyBorder="1" applyAlignment="1">
      <alignment horizontal="left" vertical="center" shrinkToFit="1"/>
    </xf>
    <xf numFmtId="0" fontId="2" fillId="0" borderId="50" xfId="0" applyFont="1" applyBorder="1" applyAlignment="1">
      <alignment horizontal="left" vertical="center"/>
    </xf>
    <xf numFmtId="0" fontId="2" fillId="0" borderId="52" xfId="0" applyFont="1" applyBorder="1" applyAlignment="1">
      <alignment horizontal="left" vertical="center" shrinkToFit="1"/>
    </xf>
    <xf numFmtId="0" fontId="2" fillId="0" borderId="0" xfId="0" applyFont="1" applyBorder="1" applyAlignment="1">
      <alignment horizontal="center" vertical="center"/>
    </xf>
    <xf numFmtId="1" fontId="2" fillId="0" borderId="85" xfId="0" applyNumberFormat="1" applyFont="1" applyFill="1" applyBorder="1" applyAlignment="1">
      <alignment horizontal="center" vertical="center"/>
    </xf>
    <xf numFmtId="1" fontId="5" fillId="0" borderId="0" xfId="0" applyNumberFormat="1" applyFont="1" applyBorder="1" applyAlignment="1">
      <alignment vertical="center"/>
    </xf>
    <xf numFmtId="0" fontId="65" fillId="0" borderId="1" xfId="0" applyFont="1" applyBorder="1" applyAlignment="1">
      <alignment vertical="center"/>
    </xf>
    <xf numFmtId="0" fontId="2" fillId="0" borderId="119"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4" xfId="0" quotePrefix="1" applyFont="1" applyFill="1" applyBorder="1" applyAlignment="1">
      <alignment horizontal="center" vertical="center"/>
    </xf>
    <xf numFmtId="9" fontId="2" fillId="0" borderId="54" xfId="0" applyNumberFormat="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0" borderId="55" xfId="0" applyNumberFormat="1" applyFont="1" applyFill="1" applyBorder="1" applyAlignment="1">
      <alignment horizontal="centerContinuous" vertical="center"/>
    </xf>
    <xf numFmtId="0" fontId="2" fillId="0" borderId="0" xfId="0" applyFont="1" applyFill="1" applyBorder="1" applyAlignment="1">
      <alignment vertical="center"/>
    </xf>
    <xf numFmtId="1" fontId="2" fillId="0" borderId="41" xfId="0" applyNumberFormat="1" applyFont="1" applyFill="1" applyBorder="1" applyAlignment="1">
      <alignment horizontal="center" vertical="center"/>
    </xf>
    <xf numFmtId="1" fontId="5" fillId="0" borderId="61" xfId="0" applyNumberFormat="1" applyFont="1" applyBorder="1" applyAlignment="1">
      <alignment horizontal="center" vertical="center"/>
    </xf>
    <xf numFmtId="1" fontId="5" fillId="10" borderId="85" xfId="0" applyNumberFormat="1" applyFont="1" applyFill="1" applyBorder="1" applyAlignment="1">
      <alignment horizontal="center" vertical="center"/>
    </xf>
    <xf numFmtId="1" fontId="5" fillId="10" borderId="41" xfId="0" applyNumberFormat="1" applyFont="1" applyFill="1" applyBorder="1" applyAlignment="1">
      <alignment horizontal="center" vertical="center"/>
    </xf>
    <xf numFmtId="1" fontId="21" fillId="12" borderId="39" xfId="0" applyNumberFormat="1" applyFont="1" applyFill="1" applyBorder="1" applyAlignment="1">
      <alignment horizontal="center" vertical="center"/>
    </xf>
    <xf numFmtId="1" fontId="2" fillId="0" borderId="60" xfId="0" applyNumberFormat="1" applyFont="1" applyFill="1" applyBorder="1" applyAlignment="1">
      <alignment horizontal="center" vertical="center"/>
    </xf>
    <xf numFmtId="1" fontId="5" fillId="0" borderId="41" xfId="0" applyNumberFormat="1" applyFont="1" applyFill="1" applyBorder="1" applyAlignment="1">
      <alignment horizontal="center" vertical="center"/>
    </xf>
    <xf numFmtId="1" fontId="5" fillId="0" borderId="60" xfId="0" applyNumberFormat="1" applyFont="1" applyFill="1" applyBorder="1" applyAlignment="1">
      <alignment horizontal="center" vertical="center"/>
    </xf>
    <xf numFmtId="1" fontId="5" fillId="0" borderId="93" xfId="0" applyNumberFormat="1" applyFont="1" applyFill="1" applyBorder="1" applyAlignment="1">
      <alignment horizontal="center" vertical="center"/>
    </xf>
    <xf numFmtId="1" fontId="2" fillId="0" borderId="6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1" fontId="2" fillId="0" borderId="41" xfId="0" applyNumberFormat="1" applyFont="1" applyBorder="1" applyAlignment="1">
      <alignment horizontal="center" vertical="center"/>
    </xf>
    <xf numFmtId="1" fontId="2" fillId="0" borderId="46" xfId="0" applyNumberFormat="1" applyFont="1" applyBorder="1" applyAlignment="1">
      <alignment horizontal="center" vertical="center" shrinkToFit="1"/>
    </xf>
    <xf numFmtId="0" fontId="2" fillId="0" borderId="120" xfId="0" applyFont="1" applyBorder="1" applyAlignment="1">
      <alignment horizontal="center" vertical="center"/>
    </xf>
    <xf numFmtId="0" fontId="5" fillId="0" borderId="88" xfId="0" applyFont="1" applyBorder="1" applyAlignment="1">
      <alignment horizontal="center" vertical="center"/>
    </xf>
    <xf numFmtId="0" fontId="5" fillId="0" borderId="88" xfId="0" applyFont="1" applyFill="1" applyBorder="1" applyAlignment="1">
      <alignment horizontal="center" vertical="center"/>
    </xf>
    <xf numFmtId="9" fontId="5" fillId="0" borderId="88" xfId="0" applyNumberFormat="1" applyFont="1" applyBorder="1" applyAlignment="1">
      <alignment horizontal="center" vertical="center"/>
    </xf>
    <xf numFmtId="0" fontId="2" fillId="0" borderId="88" xfId="0" applyFont="1" applyBorder="1" applyAlignment="1">
      <alignment horizontal="center" vertical="center"/>
    </xf>
    <xf numFmtId="164" fontId="5" fillId="0" borderId="88" xfId="0" applyNumberFormat="1" applyFont="1" applyFill="1" applyBorder="1" applyAlignment="1">
      <alignment horizontal="center" vertical="center"/>
    </xf>
    <xf numFmtId="164" fontId="2" fillId="0" borderId="86" xfId="0" applyNumberFormat="1" applyFont="1" applyFill="1" applyBorder="1" applyAlignment="1">
      <alignment horizontal="centerContinuous" vertical="center"/>
    </xf>
    <xf numFmtId="0" fontId="2" fillId="0" borderId="121" xfId="0" applyFont="1" applyBorder="1" applyAlignment="1">
      <alignment horizontal="center" vertical="center"/>
    </xf>
    <xf numFmtId="0" fontId="2" fillId="0" borderId="117"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3" xfId="0" quotePrefix="1" applyFont="1" applyBorder="1" applyAlignment="1">
      <alignment horizontal="center" vertical="center" wrapText="1"/>
    </xf>
    <xf numFmtId="0" fontId="2" fillId="16" borderId="123" xfId="0" applyNumberFormat="1" applyFont="1" applyFill="1" applyBorder="1" applyAlignment="1">
      <alignment horizontal="center" vertical="center"/>
    </xf>
    <xf numFmtId="164" fontId="2" fillId="0" borderId="123" xfId="0" applyNumberFormat="1" applyFont="1" applyFill="1" applyBorder="1" applyAlignment="1">
      <alignment horizontal="center" vertical="center"/>
    </xf>
    <xf numFmtId="1" fontId="49" fillId="11" borderId="123" xfId="0" applyNumberFormat="1" applyFont="1" applyFill="1" applyBorder="1" applyAlignment="1">
      <alignment horizontal="center" vertical="center"/>
    </xf>
    <xf numFmtId="1" fontId="2" fillId="0" borderId="123" xfId="0" applyNumberFormat="1" applyFont="1" applyFill="1" applyBorder="1" applyAlignment="1">
      <alignment horizontal="center" vertical="center"/>
    </xf>
    <xf numFmtId="0" fontId="2" fillId="0" borderId="117" xfId="0" quotePrefix="1" applyFont="1" applyBorder="1" applyAlignment="1">
      <alignment horizontal="center" vertical="center" wrapText="1"/>
    </xf>
    <xf numFmtId="49" fontId="2" fillId="16" borderId="117" xfId="0" applyNumberFormat="1" applyFont="1" applyFill="1" applyBorder="1" applyAlignment="1">
      <alignment horizontal="center" vertical="center"/>
    </xf>
    <xf numFmtId="164" fontId="2" fillId="0" borderId="117" xfId="0" applyNumberFormat="1" applyFont="1" applyFill="1" applyBorder="1" applyAlignment="1">
      <alignment horizontal="center" vertical="center"/>
    </xf>
    <xf numFmtId="1" fontId="49" fillId="11" borderId="117"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0" fontId="2" fillId="0" borderId="124" xfId="0" applyFont="1" applyBorder="1" applyAlignment="1">
      <alignment horizontal="center" vertical="center"/>
    </xf>
    <xf numFmtId="0" fontId="2" fillId="0" borderId="118" xfId="0" applyFont="1" applyBorder="1" applyAlignment="1">
      <alignment horizontal="center" vertical="center"/>
    </xf>
    <xf numFmtId="0" fontId="2" fillId="0" borderId="118" xfId="0" quotePrefix="1" applyFont="1" applyBorder="1" applyAlignment="1">
      <alignment horizontal="center" vertical="center" wrapText="1"/>
    </xf>
    <xf numFmtId="49" fontId="2" fillId="16" borderId="118" xfId="0" applyNumberFormat="1" applyFont="1" applyFill="1" applyBorder="1" applyAlignment="1">
      <alignment horizontal="center" vertical="center"/>
    </xf>
    <xf numFmtId="164" fontId="2" fillId="0" borderId="118" xfId="0" applyNumberFormat="1" applyFont="1" applyFill="1" applyBorder="1" applyAlignment="1">
      <alignment horizontal="center" vertical="center"/>
    </xf>
    <xf numFmtId="1" fontId="49" fillId="11" borderId="118" xfId="0" applyNumberFormat="1" applyFont="1" applyFill="1" applyBorder="1" applyAlignment="1">
      <alignment horizontal="center" vertical="center"/>
    </xf>
    <xf numFmtId="1" fontId="2" fillId="0" borderId="118" xfId="0" applyNumberFormat="1" applyFont="1" applyFill="1" applyBorder="1" applyAlignment="1">
      <alignment horizontal="center" vertical="center"/>
    </xf>
    <xf numFmtId="0" fontId="2" fillId="16" borderId="118" xfId="0" applyNumberFormat="1" applyFont="1" applyFill="1" applyBorder="1" applyAlignment="1">
      <alignment horizontal="center" vertical="center"/>
    </xf>
    <xf numFmtId="0" fontId="2" fillId="21" borderId="117" xfId="0" quotePrefix="1" applyFont="1" applyFill="1" applyBorder="1" applyAlignment="1">
      <alignment horizontal="center" vertical="center" wrapText="1"/>
    </xf>
    <xf numFmtId="0" fontId="2" fillId="16" borderId="117" xfId="0" applyNumberFormat="1" applyFont="1" applyFill="1" applyBorder="1" applyAlignment="1">
      <alignment horizontal="center" vertical="center"/>
    </xf>
    <xf numFmtId="0" fontId="5" fillId="0" borderId="54" xfId="0" applyFont="1" applyFill="1" applyBorder="1" applyAlignment="1">
      <alignment horizontal="center" vertical="center"/>
    </xf>
    <xf numFmtId="49" fontId="5" fillId="0" borderId="54" xfId="0" applyNumberFormat="1" applyFont="1" applyFill="1" applyBorder="1" applyAlignment="1">
      <alignment horizontal="center" vertical="center"/>
    </xf>
    <xf numFmtId="0" fontId="2" fillId="0" borderId="54"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 fontId="49" fillId="11" borderId="54"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0" fontId="2" fillId="0" borderId="122" xfId="0" applyFont="1" applyFill="1" applyBorder="1" applyAlignment="1">
      <alignment horizontal="center" vertical="center"/>
    </xf>
    <xf numFmtId="49" fontId="2" fillId="0" borderId="123" xfId="2" applyNumberFormat="1" applyFont="1" applyBorder="1" applyAlignment="1">
      <alignment horizontal="center" vertical="center"/>
    </xf>
    <xf numFmtId="0" fontId="2" fillId="0" borderId="123" xfId="0" applyFont="1" applyBorder="1" applyAlignment="1">
      <alignment horizontal="center" vertical="center" shrinkToFit="1"/>
    </xf>
    <xf numFmtId="164" fontId="5" fillId="0" borderId="123" xfId="0" applyNumberFormat="1" applyFont="1" applyBorder="1" applyAlignment="1">
      <alignment horizontal="center" vertical="center"/>
    </xf>
    <xf numFmtId="164" fontId="2" fillId="0" borderId="123" xfId="0" applyNumberFormat="1" applyFont="1" applyBorder="1" applyAlignment="1">
      <alignment horizontal="center" vertical="center"/>
    </xf>
    <xf numFmtId="0" fontId="2" fillId="0" borderId="124" xfId="0" applyFont="1" applyFill="1" applyBorder="1" applyAlignment="1">
      <alignment horizontal="center" vertical="center"/>
    </xf>
    <xf numFmtId="0" fontId="2" fillId="10" borderId="118" xfId="0" quotePrefix="1" applyFont="1" applyFill="1" applyBorder="1" applyAlignment="1">
      <alignment horizontal="center" vertical="center" wrapText="1"/>
    </xf>
    <xf numFmtId="49" fontId="2" fillId="10" borderId="118" xfId="2" applyNumberFormat="1" applyFont="1" applyFill="1" applyBorder="1" applyAlignment="1">
      <alignment horizontal="center" vertical="center"/>
    </xf>
    <xf numFmtId="0" fontId="2" fillId="10" borderId="118" xfId="0" applyFont="1" applyFill="1" applyBorder="1" applyAlignment="1">
      <alignment horizontal="center" vertical="center" shrinkToFit="1"/>
    </xf>
    <xf numFmtId="164" fontId="5" fillId="10" borderId="118" xfId="0" applyNumberFormat="1" applyFont="1" applyFill="1" applyBorder="1" applyAlignment="1">
      <alignment horizontal="center" vertical="center"/>
    </xf>
    <xf numFmtId="164" fontId="2" fillId="0" borderId="118" xfId="0" applyNumberFormat="1" applyFont="1" applyBorder="1" applyAlignment="1">
      <alignment horizontal="center" vertical="center"/>
    </xf>
    <xf numFmtId="0" fontId="2" fillId="0" borderId="125"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Border="1" applyAlignment="1">
      <alignment horizontal="center" vertical="center"/>
    </xf>
    <xf numFmtId="164" fontId="2" fillId="0" borderId="50" xfId="0" applyNumberFormat="1" applyFont="1" applyBorder="1" applyAlignment="1">
      <alignment horizontal="center" vertical="center"/>
    </xf>
    <xf numFmtId="1" fontId="49" fillId="11" borderId="50"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2" fillId="0" borderId="54" xfId="2" applyNumberFormat="1" applyFont="1" applyFill="1" applyBorder="1" applyAlignment="1">
      <alignment horizontal="center" vertical="center"/>
    </xf>
    <xf numFmtId="0" fontId="2" fillId="0" borderId="54" xfId="0" applyFont="1" applyBorder="1" applyAlignment="1">
      <alignment horizontal="center" vertical="center"/>
    </xf>
    <xf numFmtId="164" fontId="2" fillId="0" borderId="54" xfId="0" applyNumberFormat="1" applyFont="1" applyBorder="1" applyAlignment="1">
      <alignment horizontal="center" vertical="center"/>
    </xf>
    <xf numFmtId="0" fontId="2" fillId="0" borderId="126" xfId="0" quotePrefix="1" applyFont="1" applyBorder="1" applyAlignment="1">
      <alignment horizontal="center" vertical="center"/>
    </xf>
    <xf numFmtId="0" fontId="2" fillId="0" borderId="127" xfId="0" quotePrefix="1" applyFont="1" applyBorder="1" applyAlignment="1">
      <alignment horizontal="center" vertical="center"/>
    </xf>
    <xf numFmtId="0" fontId="2" fillId="0" borderId="52" xfId="0" quotePrefix="1" applyFont="1" applyBorder="1" applyAlignment="1">
      <alignment horizontal="center" vertical="center"/>
    </xf>
    <xf numFmtId="0" fontId="2" fillId="0" borderId="56" xfId="0" quotePrefix="1" applyFont="1" applyFill="1" applyBorder="1" applyAlignment="1">
      <alignment horizontal="center" vertical="center"/>
    </xf>
    <xf numFmtId="0" fontId="2" fillId="0" borderId="128" xfId="0" quotePrefix="1" applyFont="1" applyBorder="1" applyAlignment="1">
      <alignment horizontal="center" vertical="center"/>
    </xf>
    <xf numFmtId="1" fontId="5" fillId="10" borderId="61" xfId="0" applyNumberFormat="1" applyFont="1" applyFill="1" applyBorder="1" applyAlignment="1">
      <alignment horizontal="center" vertical="center"/>
    </xf>
    <xf numFmtId="0" fontId="7" fillId="0" borderId="59" xfId="0" applyNumberFormat="1" applyFont="1" applyFill="1" applyBorder="1" applyAlignment="1">
      <alignment horizontal="centerContinuous" vertical="center"/>
    </xf>
    <xf numFmtId="0" fontId="7" fillId="0" borderId="31" xfId="0" applyFont="1" applyFill="1" applyBorder="1" applyAlignment="1">
      <alignment horizontal="centerContinuous" vertical="center"/>
    </xf>
    <xf numFmtId="1" fontId="7" fillId="0" borderId="35" xfId="0" applyNumberFormat="1" applyFont="1" applyFill="1" applyBorder="1" applyAlignment="1">
      <alignment horizontal="center" vertical="center"/>
    </xf>
    <xf numFmtId="0" fontId="42" fillId="0" borderId="66" xfId="0" applyFont="1" applyFill="1" applyBorder="1" applyAlignment="1">
      <alignment horizontal="center" vertical="center" wrapText="1"/>
    </xf>
    <xf numFmtId="1" fontId="6" fillId="0" borderId="35"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7" fillId="0" borderId="35" xfId="0" applyNumberFormat="1" applyFont="1" applyBorder="1" applyAlignment="1">
      <alignment horizontal="center"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20">
    <dxf>
      <font>
        <b/>
        <i val="0"/>
        <condense val="0"/>
        <extend val="0"/>
      </font>
      <fill>
        <patternFill>
          <bgColor indexed="51"/>
        </patternFill>
      </fill>
    </dxf>
    <dxf>
      <font>
        <b/>
        <i val="0"/>
        <condense val="0"/>
        <extend val="0"/>
      </font>
      <fill>
        <patternFill>
          <bgColor indexed="11"/>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2</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tabSelected="1" workbookViewId="0"/>
  </sheetViews>
  <sheetFormatPr defaultRowHeight="15.75"/>
  <cols>
    <col min="1" max="1" width="14.5" style="12" customWidth="1"/>
    <col min="2" max="2" width="9.25" style="12" customWidth="1"/>
    <col min="3" max="3" width="4.875" style="12" customWidth="1"/>
    <col min="4" max="4" width="13.875" style="12" bestFit="1" customWidth="1"/>
    <col min="5" max="5" width="10.25" style="12" bestFit="1" customWidth="1"/>
    <col min="6" max="6" width="11.75" style="12" customWidth="1"/>
    <col min="7" max="7" width="12.5" style="12" customWidth="1"/>
    <col min="8" max="16384" width="9" style="12"/>
  </cols>
  <sheetData>
    <row r="1" spans="1:7" ht="29.25" thickTop="1" thickBot="1">
      <c r="A1" s="6" t="s">
        <v>100</v>
      </c>
      <c r="B1" s="7"/>
      <c r="C1" s="8"/>
      <c r="D1" s="9"/>
      <c r="E1" s="10"/>
      <c r="F1" s="9"/>
      <c r="G1" s="11" t="s">
        <v>101</v>
      </c>
    </row>
    <row r="2" spans="1:7" ht="17.25" thickTop="1">
      <c r="A2" s="13" t="s">
        <v>0</v>
      </c>
      <c r="B2" s="14" t="s">
        <v>91</v>
      </c>
      <c r="C2" s="15"/>
      <c r="D2" s="16"/>
      <c r="E2" s="15"/>
      <c r="G2" s="17"/>
    </row>
    <row r="3" spans="1:7" ht="16.5">
      <c r="A3" s="13" t="s">
        <v>64</v>
      </c>
      <c r="B3" s="14" t="s">
        <v>91</v>
      </c>
      <c r="C3" s="18"/>
      <c r="D3" s="16" t="s">
        <v>65</v>
      </c>
      <c r="E3" s="15">
        <v>4</v>
      </c>
      <c r="F3" s="16"/>
      <c r="G3" s="17"/>
    </row>
    <row r="4" spans="1:7" ht="16.5">
      <c r="A4" s="13" t="s">
        <v>64</v>
      </c>
      <c r="B4" s="14" t="s">
        <v>139</v>
      </c>
      <c r="C4" s="18"/>
      <c r="D4" s="16" t="s">
        <v>65</v>
      </c>
      <c r="E4" s="15">
        <v>5</v>
      </c>
      <c r="F4" s="16"/>
      <c r="G4" s="17"/>
    </row>
    <row r="5" spans="1:7" ht="17.25" thickBot="1">
      <c r="A5" s="13" t="s">
        <v>66</v>
      </c>
      <c r="B5" s="14" t="s">
        <v>94</v>
      </c>
      <c r="C5" s="15"/>
      <c r="D5" s="16" t="s">
        <v>1</v>
      </c>
      <c r="E5" s="15" t="s">
        <v>95</v>
      </c>
      <c r="F5" s="16"/>
      <c r="G5" s="17"/>
    </row>
    <row r="6" spans="1:7" ht="17.25" thickTop="1">
      <c r="A6" s="19" t="s">
        <v>123</v>
      </c>
      <c r="B6" s="526">
        <f>6</f>
        <v>6</v>
      </c>
      <c r="C6" s="527"/>
      <c r="D6" s="20" t="s">
        <v>76</v>
      </c>
      <c r="E6" s="21" t="s">
        <v>118</v>
      </c>
      <c r="F6" s="16"/>
      <c r="G6" s="17"/>
    </row>
    <row r="7" spans="1:7" ht="17.25" thickBot="1">
      <c r="A7" s="415" t="s">
        <v>119</v>
      </c>
      <c r="B7" s="22" t="str">
        <f>C9</f>
        <v>+4</v>
      </c>
      <c r="C7" s="23"/>
      <c r="D7" s="24" t="s">
        <v>120</v>
      </c>
      <c r="E7" s="25" t="s">
        <v>118</v>
      </c>
      <c r="F7" s="16"/>
      <c r="G7" s="17"/>
    </row>
    <row r="8" spans="1:7" ht="17.25" thickTop="1">
      <c r="A8" s="26" t="s">
        <v>2</v>
      </c>
      <c r="B8" s="432">
        <f>18</f>
        <v>18</v>
      </c>
      <c r="C8" s="27" t="str">
        <f t="shared" ref="C8:C13" si="0">IF(B8&gt;9.9,CONCATENATE("+",ROUNDDOWN((B8-10)/2,0)),ROUNDUP((B8-10)/2,0))</f>
        <v>+4</v>
      </c>
      <c r="D8" s="28" t="s">
        <v>74</v>
      </c>
      <c r="E8" s="287" t="s">
        <v>167</v>
      </c>
      <c r="F8" s="16"/>
      <c r="G8" s="17"/>
    </row>
    <row r="9" spans="1:7" ht="16.5">
      <c r="A9" s="29" t="s">
        <v>3</v>
      </c>
      <c r="B9" s="30">
        <v>19</v>
      </c>
      <c r="C9" s="31" t="str">
        <f t="shared" si="0"/>
        <v>+4</v>
      </c>
      <c r="D9" s="32" t="s">
        <v>75</v>
      </c>
      <c r="E9" s="33">
        <f>(SUM(Martial!G3:G23)+SUM(Equipment!C3:C18))</f>
        <v>68.75</v>
      </c>
      <c r="F9" s="34"/>
      <c r="G9" s="17"/>
    </row>
    <row r="10" spans="1:7" ht="16.5">
      <c r="A10" s="35" t="s">
        <v>12</v>
      </c>
      <c r="B10" s="36">
        <v>13</v>
      </c>
      <c r="C10" s="37" t="str">
        <f t="shared" si="0"/>
        <v>+1</v>
      </c>
      <c r="D10" s="32" t="s">
        <v>14</v>
      </c>
      <c r="E10" s="530">
        <f>((3*8)*0.75)+((E4*8)*0.75)+(SUM(3,E4)*C10)</f>
        <v>56</v>
      </c>
      <c r="F10" s="34"/>
      <c r="G10" s="17"/>
    </row>
    <row r="11" spans="1:7" ht="16.5">
      <c r="A11" s="38" t="s">
        <v>13</v>
      </c>
      <c r="B11" s="36">
        <v>12</v>
      </c>
      <c r="C11" s="31" t="str">
        <f t="shared" si="0"/>
        <v>+1</v>
      </c>
      <c r="D11" s="39" t="s">
        <v>166</v>
      </c>
      <c r="E11" s="528">
        <f>10+C9</f>
        <v>14</v>
      </c>
      <c r="F11" s="34"/>
      <c r="G11" s="17"/>
    </row>
    <row r="12" spans="1:7" ht="16.5">
      <c r="A12" s="40" t="s">
        <v>15</v>
      </c>
      <c r="B12" s="41">
        <v>14</v>
      </c>
      <c r="C12" s="31" t="str">
        <f t="shared" si="0"/>
        <v>+2</v>
      </c>
      <c r="D12" s="39" t="s">
        <v>110</v>
      </c>
      <c r="E12" s="532">
        <f>E13-C9</f>
        <v>16</v>
      </c>
      <c r="F12" s="34"/>
      <c r="G12" s="17"/>
    </row>
    <row r="13" spans="1:7" ht="17.25" thickBot="1">
      <c r="A13" s="42" t="s">
        <v>11</v>
      </c>
      <c r="B13" s="43">
        <v>12</v>
      </c>
      <c r="C13" s="44" t="str">
        <f t="shared" si="0"/>
        <v>+1</v>
      </c>
      <c r="D13" s="45" t="s">
        <v>63</v>
      </c>
      <c r="E13" s="531">
        <f>E11+SUM(Martial!B19:B20)</f>
        <v>20</v>
      </c>
      <c r="F13" s="13"/>
      <c r="G13" s="17"/>
    </row>
    <row r="14" spans="1:7" ht="17.25" thickTop="1">
      <c r="A14" s="416"/>
      <c r="B14" s="46"/>
      <c r="C14" s="46"/>
      <c r="D14" s="46"/>
      <c r="E14" s="46"/>
      <c r="F14" s="46"/>
      <c r="G14" s="47"/>
    </row>
    <row r="15" spans="1:7" ht="16.5">
      <c r="A15" s="441"/>
      <c r="B15" s="14"/>
      <c r="C15" s="14"/>
      <c r="D15" s="14"/>
      <c r="E15" s="14"/>
      <c r="F15" s="14"/>
      <c r="G15" s="49"/>
    </row>
    <row r="16" spans="1:7" ht="16.5">
      <c r="A16" s="48"/>
      <c r="B16" s="14"/>
      <c r="C16" s="14"/>
      <c r="D16" s="14"/>
      <c r="E16" s="14"/>
      <c r="F16" s="14"/>
      <c r="G16" s="49"/>
    </row>
    <row r="17" spans="1:7" ht="16.5">
      <c r="A17" s="48"/>
      <c r="B17" s="14"/>
      <c r="C17" s="14"/>
      <c r="D17" s="14"/>
      <c r="E17" s="14"/>
      <c r="F17" s="14"/>
      <c r="G17" s="49"/>
    </row>
    <row r="18" spans="1:7" ht="17.25" thickBot="1">
      <c r="A18" s="50"/>
      <c r="B18" s="51"/>
      <c r="C18" s="51"/>
      <c r="D18" s="51"/>
      <c r="E18" s="51"/>
      <c r="F18" s="51"/>
      <c r="G18" s="52"/>
    </row>
    <row r="19" spans="1:7" ht="16.5" thickTop="1"/>
  </sheetData>
  <conditionalFormatting sqref="E9">
    <cfRule type="cellIs" dxfId="19" priority="4" stopIfTrue="1" operator="greaterThan">
      <formula>153</formula>
    </cfRule>
    <cfRule type="cellIs" dxfId="18" priority="5" stopIfTrue="1" operator="between">
      <formula>76</formula>
      <formula>153</formula>
    </cfRule>
  </conditionalFormatting>
  <hyperlinks>
    <hyperlink ref="G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showGridLines="0" workbookViewId="0">
      <pane ySplit="2" topLeftCell="A3" activePane="bottomLeft" state="frozen"/>
      <selection pane="bottomLeft" activeCell="A3" sqref="A3"/>
    </sheetView>
  </sheetViews>
  <sheetFormatPr defaultColWidth="13" defaultRowHeight="15.75"/>
  <cols>
    <col min="1" max="1" width="27.875" style="161" bestFit="1" customWidth="1"/>
    <col min="2" max="2" width="5.875" style="161" bestFit="1" customWidth="1"/>
    <col min="3" max="3" width="7.625" style="163" hidden="1" customWidth="1"/>
    <col min="4" max="4" width="5.875" style="163" hidden="1" customWidth="1"/>
    <col min="5" max="5" width="9.125" style="163" bestFit="1" customWidth="1"/>
    <col min="6" max="6" width="6.75" style="163" bestFit="1" customWidth="1"/>
    <col min="7" max="7" width="6" style="164" bestFit="1" customWidth="1"/>
    <col min="8" max="8" width="5.25" style="164" bestFit="1" customWidth="1"/>
    <col min="9" max="9" width="6.875" style="164" bestFit="1" customWidth="1"/>
    <col min="10" max="10" width="23.375" style="161" bestFit="1" customWidth="1"/>
    <col min="11" max="16384" width="13" style="56"/>
  </cols>
  <sheetData>
    <row r="1" spans="1:10" ht="24" thickBot="1">
      <c r="A1" s="53" t="s">
        <v>10</v>
      </c>
      <c r="B1" s="54"/>
      <c r="C1" s="54"/>
      <c r="D1" s="54"/>
      <c r="E1" s="54"/>
      <c r="F1" s="54"/>
      <c r="G1" s="55"/>
      <c r="H1" s="55"/>
      <c r="I1" s="55"/>
      <c r="J1" s="54"/>
    </row>
    <row r="2" spans="1:10" s="61" customFormat="1" ht="33.75" thickBot="1">
      <c r="A2" s="57" t="s">
        <v>130</v>
      </c>
      <c r="B2" s="58" t="s">
        <v>29</v>
      </c>
      <c r="C2" s="58" t="s">
        <v>36</v>
      </c>
      <c r="D2" s="58" t="s">
        <v>28</v>
      </c>
      <c r="E2" s="59" t="s">
        <v>61</v>
      </c>
      <c r="F2" s="59" t="s">
        <v>37</v>
      </c>
      <c r="G2" s="60" t="s">
        <v>67</v>
      </c>
      <c r="H2" s="2" t="s">
        <v>102</v>
      </c>
      <c r="I2" s="3" t="s">
        <v>83</v>
      </c>
      <c r="J2" s="4" t="s">
        <v>81</v>
      </c>
    </row>
    <row r="3" spans="1:10" s="61" customFormat="1" ht="16.5">
      <c r="A3" s="62" t="s">
        <v>69</v>
      </c>
      <c r="B3" s="63">
        <v>5</v>
      </c>
      <c r="C3" s="64" t="s">
        <v>31</v>
      </c>
      <c r="D3" s="65" t="str">
        <f>IF(C3="Str",'Personal File'!$C$8,IF(C3="Dex",'Personal File'!$C$9,IF(C3="Con",'Personal File'!$C$10,IF(C3="Int",'Personal File'!$C$11,IF(C3="Wis",'Personal File'!$C$12,IF(C3="Cha",'Personal File'!$C$13))))))</f>
        <v>+1</v>
      </c>
      <c r="E3" s="65" t="str">
        <f>CONCATENATE(C3," (",D3,")")</f>
        <v>Con (+1)</v>
      </c>
      <c r="F3" s="73">
        <v>1</v>
      </c>
      <c r="G3" s="66">
        <f>B3+D3+F3</f>
        <v>7</v>
      </c>
      <c r="H3" s="67">
        <f ca="1">RANDBETWEEN(1,20)</f>
        <v>10</v>
      </c>
      <c r="I3" s="275">
        <f t="shared" ref="I3:I43" ca="1" si="0">SUM(G3:H3)</f>
        <v>17</v>
      </c>
      <c r="J3" s="402"/>
    </row>
    <row r="4" spans="1:10" s="61" customFormat="1" ht="16.5">
      <c r="A4" s="69" t="s">
        <v>70</v>
      </c>
      <c r="B4" s="70">
        <v>7</v>
      </c>
      <c r="C4" s="71" t="s">
        <v>34</v>
      </c>
      <c r="D4" s="72" t="str">
        <f>IF(C4="Str",'Personal File'!$C$8,IF(C4="Dex",'Personal File'!$C$9,IF(C4="Con",'Personal File'!$C$10,IF(C4="Int",'Personal File'!$C$11,IF(C4="Wis",'Personal File'!$C$12,IF(C4="Cha",'Personal File'!$C$13))))))</f>
        <v>+4</v>
      </c>
      <c r="E4" s="72" t="str">
        <f>CONCATENATE(C4," (",D4,")")</f>
        <v>Dex (+4)</v>
      </c>
      <c r="F4" s="73">
        <v>1</v>
      </c>
      <c r="G4" s="74">
        <f>B4+D4+F4</f>
        <v>12</v>
      </c>
      <c r="H4" s="67">
        <f t="shared" ref="H4:H43" ca="1" si="1">RANDBETWEEN(1,20)</f>
        <v>17</v>
      </c>
      <c r="I4" s="74">
        <f t="shared" ca="1" si="0"/>
        <v>29</v>
      </c>
      <c r="J4" s="402"/>
    </row>
    <row r="5" spans="1:10" s="61" customFormat="1" ht="16.5">
      <c r="A5" s="75" t="s">
        <v>71</v>
      </c>
      <c r="B5" s="76">
        <v>4</v>
      </c>
      <c r="C5" s="77" t="s">
        <v>33</v>
      </c>
      <c r="D5" s="78" t="str">
        <f>IF(C5="Str",'Personal File'!$C$8,IF(C5="Dex",'Personal File'!$C$9,IF(C5="Con",'Personal File'!$C$10,IF(C5="Int",'Personal File'!$C$11,IF(C5="Wis",'Personal File'!$C$12,IF(C5="Cha",'Personal File'!$C$13))))))</f>
        <v>+2</v>
      </c>
      <c r="E5" s="529" t="str">
        <f>CONCATENATE(C5," (",D5,")")</f>
        <v>Wis (+2)</v>
      </c>
      <c r="F5" s="79">
        <v>1</v>
      </c>
      <c r="G5" s="80">
        <f>B5+D5+F5</f>
        <v>7</v>
      </c>
      <c r="H5" s="81">
        <f t="shared" ca="1" si="1"/>
        <v>20</v>
      </c>
      <c r="I5" s="80">
        <f t="shared" ca="1" si="0"/>
        <v>27</v>
      </c>
      <c r="J5" s="403"/>
    </row>
    <row r="6" spans="1:10" s="87" customFormat="1" ht="16.5">
      <c r="A6" s="82" t="s">
        <v>38</v>
      </c>
      <c r="B6" s="83">
        <v>0</v>
      </c>
      <c r="C6" s="84" t="s">
        <v>32</v>
      </c>
      <c r="D6" s="85" t="str">
        <f>IF(C6="Str",'Personal File'!$C$8,IF(C6="Dex",'Personal File'!$C$9,IF(C6="Con",'Personal File'!$C$10,IF(C6="Int",'Personal File'!$C$11,IF(C6="Wis",'Personal File'!$C$12,IF(C6="Cha",'Personal File'!$C$13))))))</f>
        <v>+1</v>
      </c>
      <c r="E6" s="85" t="str">
        <f t="shared" ref="E6:E43" si="2">CONCATENATE(C6," (",D6,")")</f>
        <v>Int (+1)</v>
      </c>
      <c r="F6" s="86" t="s">
        <v>62</v>
      </c>
      <c r="G6" s="66">
        <f t="shared" ref="G6:G11" si="3">B6+MID(E6,6,2)+F6</f>
        <v>1</v>
      </c>
      <c r="H6" s="67">
        <f t="shared" ca="1" si="1"/>
        <v>1</v>
      </c>
      <c r="I6" s="66">
        <f t="shared" ca="1" si="0"/>
        <v>2</v>
      </c>
      <c r="J6" s="404"/>
    </row>
    <row r="7" spans="1:10" s="89" customFormat="1" ht="16.5">
      <c r="A7" s="88" t="s">
        <v>39</v>
      </c>
      <c r="B7" s="83">
        <v>0</v>
      </c>
      <c r="C7" s="71" t="s">
        <v>34</v>
      </c>
      <c r="D7" s="72" t="str">
        <f>IF(C7="Str",'Personal File'!$C$8,IF(C7="Dex",'Personal File'!$C$9,IF(C7="Con",'Personal File'!$C$10,IF(C7="Int",'Personal File'!$C$11,IF(C7="Wis",'Personal File'!$C$12,IF(C7="Cha",'Personal File'!$C$13))))))</f>
        <v>+4</v>
      </c>
      <c r="E7" s="72" t="str">
        <f t="shared" si="2"/>
        <v>Dex (+4)</v>
      </c>
      <c r="F7" s="66" t="s">
        <v>220</v>
      </c>
      <c r="G7" s="66">
        <f t="shared" si="3"/>
        <v>2</v>
      </c>
      <c r="H7" s="67">
        <f t="shared" ca="1" si="1"/>
        <v>10</v>
      </c>
      <c r="I7" s="66">
        <f t="shared" ca="1" si="0"/>
        <v>12</v>
      </c>
      <c r="J7" s="404"/>
    </row>
    <row r="8" spans="1:10" s="93" customFormat="1" ht="16.5">
      <c r="A8" s="90" t="s">
        <v>40</v>
      </c>
      <c r="B8" s="83">
        <v>0</v>
      </c>
      <c r="C8" s="91" t="s">
        <v>30</v>
      </c>
      <c r="D8" s="92" t="str">
        <f>IF(C8="Str",'Personal File'!$C$8,IF(C8="Dex",'Personal File'!$C$9,IF(C8="Con",'Personal File'!$C$10,IF(C8="Int",'Personal File'!$C$11,IF(C8="Wis",'Personal File'!$C$12,IF(C8="Cha",'Personal File'!$C$13))))))</f>
        <v>+1</v>
      </c>
      <c r="E8" s="92" t="str">
        <f t="shared" si="2"/>
        <v>Cha (+1)</v>
      </c>
      <c r="F8" s="66" t="s">
        <v>62</v>
      </c>
      <c r="G8" s="66">
        <f t="shared" si="3"/>
        <v>1</v>
      </c>
      <c r="H8" s="67">
        <f t="shared" ca="1" si="1"/>
        <v>3</v>
      </c>
      <c r="I8" s="66">
        <f t="shared" ca="1" si="0"/>
        <v>4</v>
      </c>
      <c r="J8" s="404"/>
    </row>
    <row r="9" spans="1:10" s="94" customFormat="1" ht="16.5">
      <c r="A9" s="62" t="s">
        <v>41</v>
      </c>
      <c r="B9" s="83">
        <v>0</v>
      </c>
      <c r="C9" s="64" t="s">
        <v>35</v>
      </c>
      <c r="D9" s="65" t="str">
        <f>IF(C9="Str",'Personal File'!$C$8,IF(C9="Dex",'Personal File'!$C$9,IF(C9="Con",'Personal File'!$C$10,IF(C9="Int",'Personal File'!$C$11,IF(C9="Wis",'Personal File'!$C$12,IF(C9="Cha",'Personal File'!$C$13))))))</f>
        <v>+4</v>
      </c>
      <c r="E9" s="65" t="str">
        <f t="shared" si="2"/>
        <v>Str (+4)</v>
      </c>
      <c r="F9" s="66" t="s">
        <v>220</v>
      </c>
      <c r="G9" s="66">
        <f t="shared" si="3"/>
        <v>2</v>
      </c>
      <c r="H9" s="67">
        <f t="shared" ca="1" si="1"/>
        <v>5</v>
      </c>
      <c r="I9" s="66">
        <f t="shared" ca="1" si="0"/>
        <v>7</v>
      </c>
      <c r="J9" s="404"/>
    </row>
    <row r="10" spans="1:10" s="94" customFormat="1" ht="16.5">
      <c r="A10" s="95" t="s">
        <v>16</v>
      </c>
      <c r="B10" s="83">
        <v>0</v>
      </c>
      <c r="C10" s="96" t="s">
        <v>31</v>
      </c>
      <c r="D10" s="97" t="str">
        <f>IF(C10="Str",'Personal File'!$C$8,IF(C10="Dex",'Personal File'!$C$9,IF(C10="Con",'Personal File'!$C$10,IF(C10="Int",'Personal File'!$C$11,IF(C10="Wis",'Personal File'!$C$12,IF(C10="Cha",'Personal File'!$C$13))))))</f>
        <v>+1</v>
      </c>
      <c r="E10" s="97" t="str">
        <f t="shared" si="2"/>
        <v>Con (+1)</v>
      </c>
      <c r="F10" s="66" t="s">
        <v>62</v>
      </c>
      <c r="G10" s="66">
        <f t="shared" si="3"/>
        <v>1</v>
      </c>
      <c r="H10" s="67">
        <f t="shared" ca="1" si="1"/>
        <v>4</v>
      </c>
      <c r="I10" s="66">
        <f t="shared" ca="1" si="0"/>
        <v>5</v>
      </c>
      <c r="J10" s="404"/>
    </row>
    <row r="11" spans="1:10" s="87" customFormat="1" ht="16.5">
      <c r="A11" s="82" t="s">
        <v>113</v>
      </c>
      <c r="B11" s="83">
        <v>0</v>
      </c>
      <c r="C11" s="84" t="s">
        <v>32</v>
      </c>
      <c r="D11" s="85" t="str">
        <f>IF(C11="Str",'Personal File'!$C$8,IF(C11="Dex",'Personal File'!$C$9,IF(C11="Con",'Personal File'!$C$10,IF(C11="Int",'Personal File'!$C$11,IF(C11="Wis",'Personal File'!$C$12,IF(C11="Cha",'Personal File'!$C$13))))))</f>
        <v>+1</v>
      </c>
      <c r="E11" s="85" t="str">
        <f t="shared" si="2"/>
        <v>Int (+1)</v>
      </c>
      <c r="F11" s="66" t="s">
        <v>62</v>
      </c>
      <c r="G11" s="66">
        <f t="shared" si="3"/>
        <v>1</v>
      </c>
      <c r="H11" s="67">
        <f t="shared" ca="1" si="1"/>
        <v>3</v>
      </c>
      <c r="I11" s="66">
        <f t="shared" ca="1" si="0"/>
        <v>4</v>
      </c>
      <c r="J11" s="404"/>
    </row>
    <row r="12" spans="1:10" s="105" customFormat="1" ht="16.5">
      <c r="A12" s="98" t="s">
        <v>42</v>
      </c>
      <c r="B12" s="99">
        <v>0</v>
      </c>
      <c r="C12" s="100" t="s">
        <v>32</v>
      </c>
      <c r="D12" s="101" t="str">
        <f>IF(C12="Str",'Personal File'!$C$8,IF(C12="Dex",'Personal File'!$C$9,IF(C12="Con",'Personal File'!$C$10,IF(C12="Int",'Personal File'!$C$11,IF(C12="Wis",'Personal File'!$C$12,IF(C12="Cha",'Personal File'!$C$13))))))</f>
        <v>+1</v>
      </c>
      <c r="E12" s="101" t="str">
        <f t="shared" si="2"/>
        <v>Int (+1)</v>
      </c>
      <c r="F12" s="102" t="s">
        <v>62</v>
      </c>
      <c r="G12" s="103">
        <v>0</v>
      </c>
      <c r="H12" s="67">
        <f t="shared" ca="1" si="1"/>
        <v>11</v>
      </c>
      <c r="I12" s="103">
        <f t="shared" ca="1" si="0"/>
        <v>11</v>
      </c>
      <c r="J12" s="127"/>
    </row>
    <row r="13" spans="1:10" s="89" customFormat="1" ht="16.5">
      <c r="A13" s="90" t="s">
        <v>43</v>
      </c>
      <c r="B13" s="83">
        <v>0</v>
      </c>
      <c r="C13" s="91" t="s">
        <v>30</v>
      </c>
      <c r="D13" s="92" t="str">
        <f>IF(C13="Str",'Personal File'!$C$8,IF(C13="Dex",'Personal File'!$C$9,IF(C13="Con",'Personal File'!$C$10,IF(C13="Int",'Personal File'!$C$11,IF(C13="Wis",'Personal File'!$C$12,IF(C13="Cha",'Personal File'!$C$13))))))</f>
        <v>+1</v>
      </c>
      <c r="E13" s="92" t="str">
        <f t="shared" si="2"/>
        <v>Cha (+1)</v>
      </c>
      <c r="F13" s="66" t="s">
        <v>62</v>
      </c>
      <c r="G13" s="66">
        <f>B13+MID(E13,6,2)+F13</f>
        <v>1</v>
      </c>
      <c r="H13" s="67">
        <f t="shared" ca="1" si="1"/>
        <v>10</v>
      </c>
      <c r="I13" s="66">
        <f t="shared" ca="1" si="0"/>
        <v>11</v>
      </c>
      <c r="J13" s="68"/>
    </row>
    <row r="14" spans="1:10" s="89" customFormat="1" ht="16.5">
      <c r="A14" s="98" t="s">
        <v>44</v>
      </c>
      <c r="B14" s="99">
        <v>0</v>
      </c>
      <c r="C14" s="100" t="s">
        <v>32</v>
      </c>
      <c r="D14" s="101" t="str">
        <f>IF(C14="Str",'Personal File'!$C$8,IF(C14="Dex",'Personal File'!$C$9,IF(C14="Con",'Personal File'!$C$10,IF(C14="Int",'Personal File'!$C$11,IF(C14="Wis",'Personal File'!$C$12,IF(C14="Cha",'Personal File'!$C$13))))))</f>
        <v>+1</v>
      </c>
      <c r="E14" s="101" t="str">
        <f t="shared" si="2"/>
        <v>Int (+1)</v>
      </c>
      <c r="F14" s="102" t="s">
        <v>62</v>
      </c>
      <c r="G14" s="103">
        <v>0</v>
      </c>
      <c r="H14" s="67">
        <f t="shared" ca="1" si="1"/>
        <v>6</v>
      </c>
      <c r="I14" s="103">
        <f t="shared" ca="1" si="0"/>
        <v>6</v>
      </c>
      <c r="J14" s="127"/>
    </row>
    <row r="15" spans="1:10" s="89" customFormat="1" ht="16.5">
      <c r="A15" s="90" t="s">
        <v>45</v>
      </c>
      <c r="B15" s="83">
        <v>0</v>
      </c>
      <c r="C15" s="91" t="s">
        <v>30</v>
      </c>
      <c r="D15" s="92" t="str">
        <f>IF(C15="Str",'Personal File'!$C$8,IF(C15="Dex",'Personal File'!$C$9,IF(C15="Con",'Personal File'!$C$10,IF(C15="Int",'Personal File'!$C$11,IF(C15="Wis",'Personal File'!$C$12,IF(C15="Cha",'Personal File'!$C$13))))))</f>
        <v>+1</v>
      </c>
      <c r="E15" s="92" t="str">
        <f t="shared" si="2"/>
        <v>Cha (+1)</v>
      </c>
      <c r="F15" s="66" t="s">
        <v>62</v>
      </c>
      <c r="G15" s="66">
        <f t="shared" ref="G15:G24" si="4">B15+MID(E15,6,2)+F15</f>
        <v>1</v>
      </c>
      <c r="H15" s="67">
        <f t="shared" ca="1" si="1"/>
        <v>13</v>
      </c>
      <c r="I15" s="66">
        <f t="shared" ca="1" si="0"/>
        <v>14</v>
      </c>
      <c r="J15" s="68"/>
    </row>
    <row r="16" spans="1:10" s="89" customFormat="1" ht="16.5">
      <c r="A16" s="88" t="s">
        <v>46</v>
      </c>
      <c r="B16" s="83">
        <v>0</v>
      </c>
      <c r="C16" s="71" t="s">
        <v>34</v>
      </c>
      <c r="D16" s="72" t="str">
        <f>IF(C16="Str",'Personal File'!$C$8,IF(C16="Dex",'Personal File'!$C$9,IF(C16="Con",'Personal File'!$C$10,IF(C16="Int",'Personal File'!$C$11,IF(C16="Wis",'Personal File'!$C$12,IF(C16="Cha",'Personal File'!$C$13))))))</f>
        <v>+4</v>
      </c>
      <c r="E16" s="72" t="str">
        <f t="shared" si="2"/>
        <v>Dex (+4)</v>
      </c>
      <c r="F16" s="66" t="s">
        <v>220</v>
      </c>
      <c r="G16" s="66">
        <f t="shared" si="4"/>
        <v>2</v>
      </c>
      <c r="H16" s="67">
        <f t="shared" ca="1" si="1"/>
        <v>7</v>
      </c>
      <c r="I16" s="66">
        <f t="shared" ca="1" si="0"/>
        <v>9</v>
      </c>
      <c r="J16" s="68"/>
    </row>
    <row r="17" spans="1:10" s="89" customFormat="1" ht="16.5">
      <c r="A17" s="106" t="s">
        <v>47</v>
      </c>
      <c r="B17" s="107">
        <v>0</v>
      </c>
      <c r="C17" s="108" t="s">
        <v>32</v>
      </c>
      <c r="D17" s="109" t="str">
        <f>IF(C17="Str",'Personal File'!$C$8,IF(C17="Dex",'Personal File'!$C$9,IF(C17="Con",'Personal File'!$C$10,IF(C17="Int",'Personal File'!$C$11,IF(C17="Wis",'Personal File'!$C$12,IF(C17="Cha",'Personal File'!$C$13))))))</f>
        <v>+1</v>
      </c>
      <c r="E17" s="109" t="str">
        <f t="shared" si="2"/>
        <v>Int (+1)</v>
      </c>
      <c r="F17" s="110" t="s">
        <v>62</v>
      </c>
      <c r="G17" s="110">
        <f t="shared" si="4"/>
        <v>1</v>
      </c>
      <c r="H17" s="67">
        <f t="shared" ca="1" si="1"/>
        <v>16</v>
      </c>
      <c r="I17" s="110">
        <f t="shared" ca="1" si="0"/>
        <v>17</v>
      </c>
      <c r="J17" s="68"/>
    </row>
    <row r="18" spans="1:10" s="89" customFormat="1" ht="16.5">
      <c r="A18" s="90" t="s">
        <v>48</v>
      </c>
      <c r="B18" s="83">
        <v>0</v>
      </c>
      <c r="C18" s="91" t="s">
        <v>30</v>
      </c>
      <c r="D18" s="92" t="str">
        <f>IF(C18="Str",'Personal File'!$C$8,IF(C18="Dex",'Personal File'!$C$9,IF(C18="Con",'Personal File'!$C$10,IF(C18="Int",'Personal File'!$C$11,IF(C18="Wis",'Personal File'!$C$12,IF(C18="Cha",'Personal File'!$C$13))))))</f>
        <v>+1</v>
      </c>
      <c r="E18" s="92" t="str">
        <f t="shared" si="2"/>
        <v>Cha (+1)</v>
      </c>
      <c r="F18" s="66" t="s">
        <v>62</v>
      </c>
      <c r="G18" s="66">
        <f t="shared" si="4"/>
        <v>1</v>
      </c>
      <c r="H18" s="67">
        <f t="shared" ca="1" si="1"/>
        <v>16</v>
      </c>
      <c r="I18" s="66">
        <f t="shared" ca="1" si="0"/>
        <v>17</v>
      </c>
      <c r="J18" s="68"/>
    </row>
    <row r="19" spans="1:10" s="89" customFormat="1" ht="16.5">
      <c r="A19" s="237" t="s">
        <v>18</v>
      </c>
      <c r="B19" s="238">
        <v>2</v>
      </c>
      <c r="C19" s="239" t="s">
        <v>30</v>
      </c>
      <c r="D19" s="240" t="str">
        <f>IF(C19="Str",'Personal File'!$C$8,IF(C19="Dex",'Personal File'!$C$9,IF(C19="Con",'Personal File'!$C$10,IF(C19="Int",'Personal File'!$C$11,IF(C19="Wis",'Personal File'!$C$12,IF(C19="Cha",'Personal File'!$C$13))))))</f>
        <v>+1</v>
      </c>
      <c r="E19" s="240" t="str">
        <f t="shared" si="2"/>
        <v>Cha (+1)</v>
      </c>
      <c r="F19" s="241" t="s">
        <v>62</v>
      </c>
      <c r="G19" s="132">
        <f t="shared" si="4"/>
        <v>3</v>
      </c>
      <c r="H19" s="67">
        <f t="shared" ca="1" si="1"/>
        <v>20</v>
      </c>
      <c r="I19" s="132">
        <f t="shared" ca="1" si="0"/>
        <v>23</v>
      </c>
      <c r="J19" s="242"/>
    </row>
    <row r="20" spans="1:10" s="89" customFormat="1" ht="16.5">
      <c r="A20" s="115" t="s">
        <v>49</v>
      </c>
      <c r="B20" s="83">
        <v>0</v>
      </c>
      <c r="C20" s="116" t="s">
        <v>33</v>
      </c>
      <c r="D20" s="117" t="str">
        <f>IF(C20="Str",'Personal File'!$C$8,IF(C20="Dex",'Personal File'!$C$9,IF(C20="Con",'Personal File'!$C$10,IF(C20="Int",'Personal File'!$C$11,IF(C20="Wis",'Personal File'!$C$12,IF(C20="Cha",'Personal File'!$C$13))))))</f>
        <v>+2</v>
      </c>
      <c r="E20" s="117" t="str">
        <f t="shared" si="2"/>
        <v>Wis (+2)</v>
      </c>
      <c r="F20" s="66" t="s">
        <v>220</v>
      </c>
      <c r="G20" s="66">
        <f t="shared" si="4"/>
        <v>0</v>
      </c>
      <c r="H20" s="67">
        <f t="shared" ca="1" si="1"/>
        <v>13</v>
      </c>
      <c r="I20" s="66">
        <f t="shared" ca="1" si="0"/>
        <v>13</v>
      </c>
      <c r="J20" s="68"/>
    </row>
    <row r="21" spans="1:10" s="89" customFormat="1" ht="16.5">
      <c r="A21" s="255" t="s">
        <v>50</v>
      </c>
      <c r="B21" s="244">
        <v>5</v>
      </c>
      <c r="C21" s="256" t="s">
        <v>34</v>
      </c>
      <c r="D21" s="257" t="str">
        <f>IF(C21="Str",'Personal File'!$C$8,IF(C21="Dex",'Personal File'!$C$9,IF(C21="Con",'Personal File'!$C$10,IF(C21="Int",'Personal File'!$C$11,IF(C21="Wis",'Personal File'!$C$12,IF(C21="Cha",'Personal File'!$C$13))))))</f>
        <v>+4</v>
      </c>
      <c r="E21" s="257" t="str">
        <f t="shared" si="2"/>
        <v>Dex (+4)</v>
      </c>
      <c r="F21" s="132" t="s">
        <v>220</v>
      </c>
      <c r="G21" s="247">
        <f t="shared" si="4"/>
        <v>7</v>
      </c>
      <c r="H21" s="67">
        <f t="shared" ca="1" si="1"/>
        <v>16</v>
      </c>
      <c r="I21" s="247">
        <f t="shared" ca="1" si="0"/>
        <v>23</v>
      </c>
      <c r="J21" s="248"/>
    </row>
    <row r="22" spans="1:10" s="89" customFormat="1" ht="16.5">
      <c r="A22" s="118" t="s">
        <v>51</v>
      </c>
      <c r="B22" s="107">
        <v>0</v>
      </c>
      <c r="C22" s="119" t="s">
        <v>30</v>
      </c>
      <c r="D22" s="120" t="str">
        <f>IF(C22="Str",'Personal File'!$C$8,IF(C22="Dex",'Personal File'!$C$9,IF(C22="Con",'Personal File'!$C$10,IF(C22="Int",'Personal File'!$C$11,IF(C22="Wis",'Personal File'!$C$12,IF(C22="Cha",'Personal File'!$C$13))))))</f>
        <v>+1</v>
      </c>
      <c r="E22" s="121" t="str">
        <f t="shared" si="2"/>
        <v>Cha (+1)</v>
      </c>
      <c r="F22" s="110" t="s">
        <v>62</v>
      </c>
      <c r="G22" s="110">
        <f t="shared" si="4"/>
        <v>1</v>
      </c>
      <c r="H22" s="67">
        <f t="shared" ca="1" si="1"/>
        <v>1</v>
      </c>
      <c r="I22" s="110">
        <f t="shared" ca="1" si="0"/>
        <v>2</v>
      </c>
      <c r="J22" s="111"/>
    </row>
    <row r="23" spans="1:10" s="89" customFormat="1" ht="16.5">
      <c r="A23" s="243" t="s">
        <v>52</v>
      </c>
      <c r="B23" s="244">
        <v>4</v>
      </c>
      <c r="C23" s="245" t="s">
        <v>35</v>
      </c>
      <c r="D23" s="246" t="str">
        <f>IF(C23="Str",'Personal File'!$C$8,IF(C23="Dex",'Personal File'!$C$9,IF(C23="Con",'Personal File'!$C$10,IF(C23="Int",'Personal File'!$C$11,IF(C23="Wis",'Personal File'!$C$12,IF(C23="Cha",'Personal File'!$C$13))))))</f>
        <v>+4</v>
      </c>
      <c r="E23" s="246" t="str">
        <f t="shared" si="2"/>
        <v>Str (+4)</v>
      </c>
      <c r="F23" s="132" t="s">
        <v>220</v>
      </c>
      <c r="G23" s="247">
        <f t="shared" si="4"/>
        <v>6</v>
      </c>
      <c r="H23" s="67">
        <f t="shared" ca="1" si="1"/>
        <v>9</v>
      </c>
      <c r="I23" s="247">
        <f t="shared" ca="1" si="0"/>
        <v>15</v>
      </c>
      <c r="J23" s="248"/>
    </row>
    <row r="24" spans="1:10" s="89" customFormat="1" ht="16.5">
      <c r="A24" s="251" t="s">
        <v>200</v>
      </c>
      <c r="B24" s="244">
        <v>5</v>
      </c>
      <c r="C24" s="252" t="s">
        <v>32</v>
      </c>
      <c r="D24" s="253" t="str">
        <f>IF(C24="Str",'Personal File'!$C$8,IF(C24="Dex",'Personal File'!$C$9,IF(C24="Con",'Personal File'!$C$10,IF(C24="Int",'Personal File'!$C$11,IF(C24="Wis",'Personal File'!$C$12,IF(C24="Cha",'Personal File'!$C$13))))))</f>
        <v>+1</v>
      </c>
      <c r="E24" s="253" t="str">
        <f t="shared" ref="E24" si="5">CONCATENATE(C24," (",D24,")")</f>
        <v>Int (+1)</v>
      </c>
      <c r="F24" s="247" t="s">
        <v>137</v>
      </c>
      <c r="G24" s="247">
        <f t="shared" si="4"/>
        <v>8</v>
      </c>
      <c r="H24" s="67">
        <f t="shared" ca="1" si="1"/>
        <v>7</v>
      </c>
      <c r="I24" s="247">
        <f t="shared" ref="I24" ca="1" si="6">SUM(G24:H24)</f>
        <v>15</v>
      </c>
      <c r="J24" s="248"/>
    </row>
    <row r="25" spans="1:10" s="89" customFormat="1" ht="16.5">
      <c r="A25" s="251" t="s">
        <v>89</v>
      </c>
      <c r="B25" s="244">
        <v>5</v>
      </c>
      <c r="C25" s="252" t="s">
        <v>32</v>
      </c>
      <c r="D25" s="253" t="str">
        <f>IF(C25="Str",'Personal File'!$C$8,IF(C25="Dex",'Personal File'!$C$9,IF(C25="Con",'Personal File'!$C$10,IF(C25="Int",'Personal File'!$C$11,IF(C25="Wis",'Personal File'!$C$12,IF(C25="Cha",'Personal File'!$C$13))))))</f>
        <v>+1</v>
      </c>
      <c r="E25" s="253" t="str">
        <f t="shared" si="2"/>
        <v>Int (+1)</v>
      </c>
      <c r="F25" s="247" t="s">
        <v>137</v>
      </c>
      <c r="G25" s="247">
        <f t="shared" ref="G25" si="7">B25+MID(E25,6,2)+F25</f>
        <v>8</v>
      </c>
      <c r="H25" s="67">
        <f t="shared" ca="1" si="1"/>
        <v>12</v>
      </c>
      <c r="I25" s="247">
        <f t="shared" ca="1" si="0"/>
        <v>20</v>
      </c>
      <c r="J25" s="248"/>
    </row>
    <row r="26" spans="1:10" s="89" customFormat="1" ht="16.5">
      <c r="A26" s="122" t="s">
        <v>90</v>
      </c>
      <c r="B26" s="123">
        <v>0</v>
      </c>
      <c r="C26" s="124" t="s">
        <v>32</v>
      </c>
      <c r="D26" s="125" t="str">
        <f>IF(C26="Str",'Personal File'!$C$8,IF(C26="Dex",'Personal File'!$C$9,IF(C26="Con",'Personal File'!$C$10,IF(C26="Int",'Personal File'!$C$11,IF(C26="Wis",'Personal File'!$C$12,IF(C26="Cha",'Personal File'!$C$13))))))</f>
        <v>+1</v>
      </c>
      <c r="E26" s="125" t="str">
        <f t="shared" si="2"/>
        <v>Int (+1)</v>
      </c>
      <c r="F26" s="126" t="s">
        <v>62</v>
      </c>
      <c r="G26" s="103">
        <v>0</v>
      </c>
      <c r="H26" s="67">
        <f t="shared" ca="1" si="1"/>
        <v>10</v>
      </c>
      <c r="I26" s="103">
        <f t="shared" ca="1" si="0"/>
        <v>10</v>
      </c>
      <c r="J26" s="127"/>
    </row>
    <row r="27" spans="1:10" s="89" customFormat="1" ht="16.5">
      <c r="A27" s="128" t="s">
        <v>53</v>
      </c>
      <c r="B27" s="129">
        <v>5</v>
      </c>
      <c r="C27" s="130" t="s">
        <v>33</v>
      </c>
      <c r="D27" s="131" t="str">
        <f>IF(C27="Str",'Personal File'!$C$8,IF(C27="Dex",'Personal File'!$C$9,IF(C27="Con",'Personal File'!$C$10,IF(C27="Int",'Personal File'!$C$11,IF(C27="Wis",'Personal File'!$C$12,IF(C27="Cha",'Personal File'!$C$13))))))</f>
        <v>+2</v>
      </c>
      <c r="E27" s="131" t="str">
        <f t="shared" si="2"/>
        <v>Wis (+2)</v>
      </c>
      <c r="F27" s="132" t="s">
        <v>62</v>
      </c>
      <c r="G27" s="132">
        <f>B27+MID(E27,6,2)+F27</f>
        <v>7</v>
      </c>
      <c r="H27" s="67">
        <f t="shared" ca="1" si="1"/>
        <v>3</v>
      </c>
      <c r="I27" s="132">
        <f t="shared" ca="1" si="0"/>
        <v>10</v>
      </c>
      <c r="J27" s="242"/>
    </row>
    <row r="28" spans="1:10" s="89" customFormat="1" ht="16.5">
      <c r="A28" s="134" t="s">
        <v>19</v>
      </c>
      <c r="B28" s="129">
        <v>5</v>
      </c>
      <c r="C28" s="135" t="s">
        <v>34</v>
      </c>
      <c r="D28" s="136" t="str">
        <f>IF(C28="Str",'Personal File'!$C$8,IF(C28="Dex",'Personal File'!$C$9,IF(C28="Con",'Personal File'!$C$10,IF(C28="Int",'Personal File'!$C$11,IF(C28="Wis",'Personal File'!$C$12,IF(C28="Cha",'Personal File'!$C$13))))))</f>
        <v>+4</v>
      </c>
      <c r="E28" s="136" t="str">
        <f t="shared" si="2"/>
        <v>Dex (+4)</v>
      </c>
      <c r="F28" s="132" t="s">
        <v>220</v>
      </c>
      <c r="G28" s="132">
        <f>B28+MID(E28,6,2)+F28</f>
        <v>7</v>
      </c>
      <c r="H28" s="67">
        <f t="shared" ca="1" si="1"/>
        <v>17</v>
      </c>
      <c r="I28" s="132">
        <f t="shared" ca="1" si="0"/>
        <v>24</v>
      </c>
      <c r="J28" s="133"/>
    </row>
    <row r="29" spans="1:10" s="89" customFormat="1" ht="16.5">
      <c r="A29" s="137" t="s">
        <v>54</v>
      </c>
      <c r="B29" s="99">
        <v>0</v>
      </c>
      <c r="C29" s="138" t="s">
        <v>34</v>
      </c>
      <c r="D29" s="139" t="str">
        <f>IF(C29="Str",'Personal File'!$C$8,IF(C29="Dex",'Personal File'!$C$9,IF(C29="Con",'Personal File'!$C$10,IF(C29="Int",'Personal File'!$C$11,IF(C29="Wis",'Personal File'!$C$12,IF(C29="Cha",'Personal File'!$C$13))))))</f>
        <v>+4</v>
      </c>
      <c r="E29" s="139" t="str">
        <f t="shared" si="2"/>
        <v>Dex (+4)</v>
      </c>
      <c r="F29" s="102" t="s">
        <v>62</v>
      </c>
      <c r="G29" s="103">
        <v>0</v>
      </c>
      <c r="H29" s="67">
        <f t="shared" ca="1" si="1"/>
        <v>10</v>
      </c>
      <c r="I29" s="103">
        <f t="shared" ca="1" si="0"/>
        <v>10</v>
      </c>
      <c r="J29" s="104"/>
    </row>
    <row r="30" spans="1:10" ht="16.5">
      <c r="A30" s="140" t="s">
        <v>112</v>
      </c>
      <c r="B30" s="123">
        <v>0</v>
      </c>
      <c r="C30" s="141" t="s">
        <v>30</v>
      </c>
      <c r="D30" s="142" t="str">
        <f>IF(C30="Str",'Personal File'!$C$8,IF(C30="Dex",'Personal File'!$C$9,IF(C30="Con",'Personal File'!$C$10,IF(C30="Int",'Personal File'!$C$11,IF(C30="Wis",'Personal File'!$C$12,IF(C30="Cha",'Personal File'!$C$13))))))</f>
        <v>+1</v>
      </c>
      <c r="E30" s="142" t="str">
        <f t="shared" si="2"/>
        <v>Cha (+1)</v>
      </c>
      <c r="F30" s="126" t="s">
        <v>62</v>
      </c>
      <c r="G30" s="103">
        <v>0</v>
      </c>
      <c r="H30" s="67">
        <f t="shared" ca="1" si="1"/>
        <v>19</v>
      </c>
      <c r="I30" s="103">
        <f t="shared" ca="1" si="0"/>
        <v>19</v>
      </c>
      <c r="J30" s="127"/>
    </row>
    <row r="31" spans="1:10" ht="16.5">
      <c r="A31" s="143" t="s">
        <v>111</v>
      </c>
      <c r="B31" s="144">
        <v>0</v>
      </c>
      <c r="C31" s="145" t="s">
        <v>33</v>
      </c>
      <c r="D31" s="146" t="str">
        <f>IF(C31="Str",'Personal File'!$C$8,IF(C31="Dex",'Personal File'!$C$9,IF(C31="Con",'Personal File'!$C$10,IF(C31="Int",'Personal File'!$C$11,IF(C31="Wis",'Personal File'!$C$12,IF(C31="Cha",'Personal File'!$C$13))))))</f>
        <v>+2</v>
      </c>
      <c r="E31" s="146" t="str">
        <f t="shared" si="2"/>
        <v>Wis (+2)</v>
      </c>
      <c r="F31" s="147" t="s">
        <v>62</v>
      </c>
      <c r="G31" s="148">
        <f>B31+MID(E31,6,2)+F31</f>
        <v>2</v>
      </c>
      <c r="H31" s="67">
        <f t="shared" ca="1" si="1"/>
        <v>7</v>
      </c>
      <c r="I31" s="148">
        <f t="shared" ca="1" si="0"/>
        <v>9</v>
      </c>
      <c r="J31" s="149"/>
    </row>
    <row r="32" spans="1:10" ht="16.5">
      <c r="A32" s="88" t="s">
        <v>20</v>
      </c>
      <c r="B32" s="83">
        <v>0</v>
      </c>
      <c r="C32" s="71" t="s">
        <v>34</v>
      </c>
      <c r="D32" s="72" t="str">
        <f>IF(C32="Str",'Personal File'!$C$8,IF(C32="Dex",'Personal File'!$C$9,IF(C32="Con",'Personal File'!$C$10,IF(C32="Int",'Personal File'!$C$11,IF(C32="Wis",'Personal File'!$C$12,IF(C32="Cha",'Personal File'!$C$13))))))</f>
        <v>+4</v>
      </c>
      <c r="E32" s="72" t="str">
        <f t="shared" si="2"/>
        <v>Dex (+4)</v>
      </c>
      <c r="F32" s="66" t="s">
        <v>62</v>
      </c>
      <c r="G32" s="66">
        <f>B32+MID(E32,6,2)+F32</f>
        <v>4</v>
      </c>
      <c r="H32" s="67">
        <f t="shared" ca="1" si="1"/>
        <v>18</v>
      </c>
      <c r="I32" s="66">
        <f t="shared" ca="1" si="0"/>
        <v>22</v>
      </c>
      <c r="J32" s="68"/>
    </row>
    <row r="33" spans="1:10" ht="16.5">
      <c r="A33" s="82" t="s">
        <v>21</v>
      </c>
      <c r="B33" s="83">
        <v>0</v>
      </c>
      <c r="C33" s="84" t="s">
        <v>32</v>
      </c>
      <c r="D33" s="85" t="str">
        <f>IF(C33="Str",'Personal File'!$C$8,IF(C33="Dex",'Personal File'!$C$9,IF(C33="Con",'Personal File'!$C$10,IF(C33="Int",'Personal File'!$C$11,IF(C33="Wis",'Personal File'!$C$12,IF(C33="Cha",'Personal File'!$C$13))))))</f>
        <v>+1</v>
      </c>
      <c r="E33" s="85" t="str">
        <f t="shared" si="2"/>
        <v>Int (+1)</v>
      </c>
      <c r="F33" s="66" t="s">
        <v>62</v>
      </c>
      <c r="G33" s="66">
        <f>B33+MID(E33,6,2)+F33</f>
        <v>1</v>
      </c>
      <c r="H33" s="67">
        <f t="shared" ca="1" si="1"/>
        <v>15</v>
      </c>
      <c r="I33" s="66">
        <f t="shared" ca="1" si="0"/>
        <v>16</v>
      </c>
      <c r="J33" s="68"/>
    </row>
    <row r="34" spans="1:10" ht="16.5">
      <c r="A34" s="115" t="s">
        <v>55</v>
      </c>
      <c r="B34" s="83">
        <v>0</v>
      </c>
      <c r="C34" s="116" t="s">
        <v>33</v>
      </c>
      <c r="D34" s="117" t="str">
        <f>IF(C34="Str",'Personal File'!$C$8,IF(C34="Dex",'Personal File'!$C$9,IF(C34="Con",'Personal File'!$C$10,IF(C34="Int",'Personal File'!$C$11,IF(C34="Wis",'Personal File'!$C$12,IF(C34="Cha",'Personal File'!$C$13))))))</f>
        <v>+2</v>
      </c>
      <c r="E34" s="117" t="str">
        <f t="shared" si="2"/>
        <v>Wis (+2)</v>
      </c>
      <c r="F34" s="66" t="s">
        <v>62</v>
      </c>
      <c r="G34" s="66">
        <f>B34+MID(E34,6,2)+F34</f>
        <v>2</v>
      </c>
      <c r="H34" s="67">
        <f t="shared" ca="1" si="1"/>
        <v>5</v>
      </c>
      <c r="I34" s="66">
        <f t="shared" ca="1" si="0"/>
        <v>7</v>
      </c>
      <c r="J34" s="68"/>
    </row>
    <row r="35" spans="1:10" ht="16.5">
      <c r="A35" s="137" t="s">
        <v>98</v>
      </c>
      <c r="B35" s="99">
        <v>0</v>
      </c>
      <c r="C35" s="138" t="s">
        <v>34</v>
      </c>
      <c r="D35" s="139" t="str">
        <f>IF(C35="Str",'Personal File'!$C$8,IF(C35="Dex",'Personal File'!$C$9,IF(C35="Con",'Personal File'!$C$10,IF(C35="Int",'Personal File'!$C$11,IF(C35="Wis",'Personal File'!$C$12,IF(C35="Cha",'Personal File'!$C$13))))))</f>
        <v>+4</v>
      </c>
      <c r="E35" s="139" t="str">
        <f t="shared" si="2"/>
        <v>Dex (+4)</v>
      </c>
      <c r="F35" s="102" t="s">
        <v>220</v>
      </c>
      <c r="G35" s="103">
        <v>0</v>
      </c>
      <c r="H35" s="67">
        <f t="shared" ca="1" si="1"/>
        <v>7</v>
      </c>
      <c r="I35" s="103">
        <f t="shared" ca="1" si="0"/>
        <v>7</v>
      </c>
      <c r="J35" s="104"/>
    </row>
    <row r="36" spans="1:10" ht="16.5">
      <c r="A36" s="122" t="s">
        <v>87</v>
      </c>
      <c r="B36" s="123">
        <v>0</v>
      </c>
      <c r="C36" s="124" t="s">
        <v>32</v>
      </c>
      <c r="D36" s="125" t="str">
        <f>IF(C36="Str",'Personal File'!$C$8,IF(C36="Dex",'Personal File'!$C$9,IF(C36="Con",'Personal File'!$C$10,IF(C36="Int",'Personal File'!$C$11,IF(C36="Wis",'Personal File'!$C$12,IF(C36="Cha",'Personal File'!$C$13))))))</f>
        <v>+1</v>
      </c>
      <c r="E36" s="125" t="str">
        <f t="shared" si="2"/>
        <v>Int (+1)</v>
      </c>
      <c r="F36" s="126" t="s">
        <v>62</v>
      </c>
      <c r="G36" s="103">
        <v>0</v>
      </c>
      <c r="H36" s="67">
        <f t="shared" ca="1" si="1"/>
        <v>2</v>
      </c>
      <c r="I36" s="103">
        <f t="shared" ca="1" si="0"/>
        <v>2</v>
      </c>
      <c r="J36" s="127"/>
    </row>
    <row r="37" spans="1:10" ht="16.5">
      <c r="A37" s="122" t="s">
        <v>56</v>
      </c>
      <c r="B37" s="123">
        <v>0</v>
      </c>
      <c r="C37" s="124" t="s">
        <v>32</v>
      </c>
      <c r="D37" s="125" t="str">
        <f>IF(C37="Str",'Personal File'!$C$8,IF(C37="Dex",'Personal File'!$C$9,IF(C37="Con",'Personal File'!$C$10,IF(C37="Int",'Personal File'!$C$11,IF(C37="Wis",'Personal File'!$C$12,IF(C37="Cha",'Personal File'!$C$13))))))</f>
        <v>+1</v>
      </c>
      <c r="E37" s="125" t="str">
        <f t="shared" si="2"/>
        <v>Int (+1)</v>
      </c>
      <c r="F37" s="126" t="s">
        <v>62</v>
      </c>
      <c r="G37" s="103">
        <v>0</v>
      </c>
      <c r="H37" s="67">
        <f t="shared" ca="1" si="1"/>
        <v>3</v>
      </c>
      <c r="I37" s="103">
        <f t="shared" ca="1" si="0"/>
        <v>3</v>
      </c>
      <c r="J37" s="150"/>
    </row>
    <row r="38" spans="1:10" ht="16.5">
      <c r="A38" s="128" t="s">
        <v>57</v>
      </c>
      <c r="B38" s="129">
        <v>8</v>
      </c>
      <c r="C38" s="130" t="s">
        <v>33</v>
      </c>
      <c r="D38" s="131" t="str">
        <f>IF(C38="Str",'Personal File'!$C$8,IF(C38="Dex",'Personal File'!$C$9,IF(C38="Con",'Personal File'!$C$10,IF(C38="Int",'Personal File'!$C$11,IF(C38="Wis",'Personal File'!$C$12,IF(C38="Cha",'Personal File'!$C$13))))))</f>
        <v>+2</v>
      </c>
      <c r="E38" s="131" t="str">
        <f t="shared" si="2"/>
        <v>Wis (+2)</v>
      </c>
      <c r="F38" s="132" t="s">
        <v>62</v>
      </c>
      <c r="G38" s="132">
        <f>B38+MID(E38,6,2)+F38</f>
        <v>10</v>
      </c>
      <c r="H38" s="67">
        <f t="shared" ca="1" si="1"/>
        <v>4</v>
      </c>
      <c r="I38" s="132">
        <f t="shared" ca="1" si="0"/>
        <v>14</v>
      </c>
      <c r="J38" s="133"/>
    </row>
    <row r="39" spans="1:10" ht="16.5">
      <c r="A39" s="128" t="s">
        <v>99</v>
      </c>
      <c r="B39" s="129">
        <v>12</v>
      </c>
      <c r="C39" s="130" t="s">
        <v>33</v>
      </c>
      <c r="D39" s="131" t="str">
        <f>IF(C39="Str",'Personal File'!$C$8,IF(C39="Dex",'Personal File'!$C$9,IF(C39="Con",'Personal File'!$C$10,IF(C39="Int",'Personal File'!$C$11,IF(C39="Wis",'Personal File'!$C$12,IF(C39="Cha",'Personal File'!$C$13))))))</f>
        <v>+2</v>
      </c>
      <c r="E39" s="131" t="str">
        <f t="shared" si="2"/>
        <v>Wis (+2)</v>
      </c>
      <c r="F39" s="132" t="s">
        <v>220</v>
      </c>
      <c r="G39" s="132">
        <f>B39+MID(E39,6,2)+F39</f>
        <v>12</v>
      </c>
      <c r="H39" s="67">
        <f t="shared" ca="1" si="1"/>
        <v>1</v>
      </c>
      <c r="I39" s="132">
        <f t="shared" ca="1" si="0"/>
        <v>13</v>
      </c>
      <c r="J39" s="401" t="s">
        <v>223</v>
      </c>
    </row>
    <row r="40" spans="1:10" ht="16.5">
      <c r="A40" s="243" t="s">
        <v>22</v>
      </c>
      <c r="B40" s="244">
        <v>2</v>
      </c>
      <c r="C40" s="245" t="s">
        <v>35</v>
      </c>
      <c r="D40" s="246" t="str">
        <f>IF(C40="Str",'Personal File'!$C$8,IF(C40="Dex",'Personal File'!$C$9,IF(C40="Con",'Personal File'!$C$10,IF(C40="Int",'Personal File'!$C$11,IF(C40="Wis",'Personal File'!$C$12,IF(C40="Cha",'Personal File'!$C$13))))))</f>
        <v>+4</v>
      </c>
      <c r="E40" s="246" t="str">
        <f t="shared" si="2"/>
        <v>Str (+4)</v>
      </c>
      <c r="F40" s="247" t="s">
        <v>62</v>
      </c>
      <c r="G40" s="247">
        <f>B40+MID(E40,6,2)+F40</f>
        <v>6</v>
      </c>
      <c r="H40" s="67">
        <f t="shared" ca="1" si="1"/>
        <v>7</v>
      </c>
      <c r="I40" s="247">
        <f t="shared" ca="1" si="0"/>
        <v>13</v>
      </c>
      <c r="J40" s="248"/>
    </row>
    <row r="41" spans="1:10" ht="16.5">
      <c r="A41" s="151" t="s">
        <v>58</v>
      </c>
      <c r="B41" s="123">
        <v>0</v>
      </c>
      <c r="C41" s="152" t="s">
        <v>34</v>
      </c>
      <c r="D41" s="153" t="str">
        <f>IF(C41="Str",'Personal File'!$C$8,IF(C41="Dex",'Personal File'!$C$9,IF(C41="Con",'Personal File'!$C$10,IF(C41="Int",'Personal File'!$C$11,IF(C41="Wis",'Personal File'!$C$12,IF(C41="Cha",'Personal File'!$C$13))))))</f>
        <v>+4</v>
      </c>
      <c r="E41" s="153" t="str">
        <f t="shared" si="2"/>
        <v>Dex (+4)</v>
      </c>
      <c r="F41" s="102" t="s">
        <v>220</v>
      </c>
      <c r="G41" s="103">
        <v>0</v>
      </c>
      <c r="H41" s="67">
        <f t="shared" ca="1" si="1"/>
        <v>14</v>
      </c>
      <c r="I41" s="103">
        <f t="shared" ca="1" si="0"/>
        <v>14</v>
      </c>
      <c r="J41" s="127"/>
    </row>
    <row r="42" spans="1:10" ht="16.5">
      <c r="A42" s="112" t="s">
        <v>59</v>
      </c>
      <c r="B42" s="99">
        <v>0</v>
      </c>
      <c r="C42" s="113" t="s">
        <v>30</v>
      </c>
      <c r="D42" s="114" t="str">
        <f>IF(C42="Str",'Personal File'!$C$8,IF(C42="Dex",'Personal File'!$C$9,IF(C42="Con",'Personal File'!$C$10,IF(C42="Int",'Personal File'!$C$11,IF(C42="Wis",'Personal File'!$C$12,IF(C42="Cha",'Personal File'!$C$13))))))</f>
        <v>+1</v>
      </c>
      <c r="E42" s="114" t="str">
        <f t="shared" si="2"/>
        <v>Cha (+1)</v>
      </c>
      <c r="F42" s="102" t="s">
        <v>62</v>
      </c>
      <c r="G42" s="103">
        <v>0</v>
      </c>
      <c r="H42" s="67">
        <f t="shared" ca="1" si="1"/>
        <v>9</v>
      </c>
      <c r="I42" s="103">
        <f t="shared" ca="1" si="0"/>
        <v>9</v>
      </c>
      <c r="J42" s="104"/>
    </row>
    <row r="43" spans="1:10" ht="17.25" thickBot="1">
      <c r="A43" s="154" t="s">
        <v>60</v>
      </c>
      <c r="B43" s="155">
        <v>0</v>
      </c>
      <c r="C43" s="156" t="s">
        <v>34</v>
      </c>
      <c r="D43" s="157" t="str">
        <f>IF(C43="Str",'Personal File'!$C$8,IF(C43="Dex",'Personal File'!$C$9,IF(C43="Con",'Personal File'!$C$10,IF(C43="Int",'Personal File'!$C$11,IF(C43="Wis",'Personal File'!$C$12,IF(C43="Cha",'Personal File'!$C$13))))))</f>
        <v>+4</v>
      </c>
      <c r="E43" s="157" t="str">
        <f t="shared" si="2"/>
        <v>Dex (+4)</v>
      </c>
      <c r="F43" s="158" t="s">
        <v>62</v>
      </c>
      <c r="G43" s="158">
        <f>B43+MID(E43,6,2)+F43</f>
        <v>4</v>
      </c>
      <c r="H43" s="159">
        <f t="shared" ca="1" si="1"/>
        <v>7</v>
      </c>
      <c r="I43" s="158">
        <f t="shared" ca="1" si="0"/>
        <v>11</v>
      </c>
      <c r="J43" s="160"/>
    </row>
    <row r="44" spans="1:10" ht="16.5" thickTop="1">
      <c r="B44" s="162">
        <f>SUM(B6:B43)</f>
        <v>53</v>
      </c>
      <c r="E44" s="162">
        <f>SUM(E45:E53)</f>
        <v>53</v>
      </c>
      <c r="F44" s="166"/>
    </row>
    <row r="45" spans="1:10">
      <c r="B45" s="162"/>
      <c r="E45" s="165">
        <f>(2+'Personal File'!$C$11)*4</f>
        <v>12</v>
      </c>
      <c r="F45" s="166" t="s">
        <v>131</v>
      </c>
    </row>
    <row r="46" spans="1:10">
      <c r="E46" s="167">
        <f>2+'Personal File'!$C$11</f>
        <v>3</v>
      </c>
      <c r="F46" s="166" t="s">
        <v>132</v>
      </c>
    </row>
    <row r="47" spans="1:10">
      <c r="E47" s="254">
        <v>0</v>
      </c>
      <c r="F47" s="166" t="s">
        <v>133</v>
      </c>
    </row>
    <row r="48" spans="1:10">
      <c r="E48" s="167">
        <f>2+'Personal File'!$C$11</f>
        <v>3</v>
      </c>
      <c r="F48" s="166" t="s">
        <v>134</v>
      </c>
    </row>
    <row r="49" spans="5:6">
      <c r="E49" s="167">
        <f>6+'Personal File'!$C$11</f>
        <v>7</v>
      </c>
      <c r="F49" s="166" t="s">
        <v>143</v>
      </c>
    </row>
    <row r="50" spans="5:6">
      <c r="E50" s="167">
        <f>6+'Personal File'!$C$11</f>
        <v>7</v>
      </c>
      <c r="F50" s="166" t="s">
        <v>148</v>
      </c>
    </row>
    <row r="51" spans="5:6">
      <c r="E51" s="167">
        <f>6+'Personal File'!$C$11</f>
        <v>7</v>
      </c>
      <c r="F51" s="166" t="s">
        <v>169</v>
      </c>
    </row>
    <row r="52" spans="5:6">
      <c r="E52" s="167">
        <f>6+'Personal File'!$C$11</f>
        <v>7</v>
      </c>
      <c r="F52" s="166" t="s">
        <v>170</v>
      </c>
    </row>
    <row r="53" spans="5:6">
      <c r="E53" s="167">
        <f>6+'Personal File'!$C$11</f>
        <v>7</v>
      </c>
      <c r="F53" s="166" t="s">
        <v>226</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pane ySplit="2" topLeftCell="A3" activePane="bottomLeft" state="frozen"/>
      <selection pane="bottomLeft" activeCell="A3" sqref="A3"/>
    </sheetView>
  </sheetViews>
  <sheetFormatPr defaultColWidth="13" defaultRowHeight="15.75"/>
  <cols>
    <col min="1" max="1" width="22" style="348" bestFit="1" customWidth="1"/>
    <col min="2" max="2" width="6.25" style="348" bestFit="1" customWidth="1"/>
    <col min="3" max="4" width="11.25" style="349" bestFit="1" customWidth="1"/>
    <col min="5" max="5" width="7.25" style="349" bestFit="1" customWidth="1"/>
    <col min="6" max="6" width="10.875" style="349" bestFit="1" customWidth="1"/>
    <col min="7" max="7" width="9.5" style="349" bestFit="1" customWidth="1"/>
    <col min="8" max="8" width="10.375" style="348" bestFit="1" customWidth="1"/>
    <col min="9" max="9" width="5.625" style="347" bestFit="1" customWidth="1"/>
    <col min="10" max="16384" width="13" style="347"/>
  </cols>
  <sheetData>
    <row r="1" spans="1:9" ht="24" thickBot="1">
      <c r="A1" s="400" t="s">
        <v>218</v>
      </c>
      <c r="B1" s="361"/>
      <c r="C1" s="361"/>
      <c r="D1" s="361"/>
      <c r="E1" s="361"/>
      <c r="F1" s="361"/>
      <c r="G1" s="361"/>
      <c r="H1" s="361"/>
      <c r="I1" s="361"/>
    </row>
    <row r="2" spans="1:9" s="357" customFormat="1" ht="16.5">
      <c r="A2" s="360" t="s">
        <v>199</v>
      </c>
      <c r="B2" s="358" t="s">
        <v>156</v>
      </c>
      <c r="C2" s="358" t="s">
        <v>198</v>
      </c>
      <c r="D2" s="359" t="s">
        <v>197</v>
      </c>
      <c r="E2" s="359" t="s">
        <v>196</v>
      </c>
      <c r="F2" s="358" t="s">
        <v>195</v>
      </c>
      <c r="G2" s="358" t="s">
        <v>194</v>
      </c>
      <c r="H2" s="362" t="s">
        <v>202</v>
      </c>
      <c r="I2" s="363" t="s">
        <v>203</v>
      </c>
    </row>
    <row r="3" spans="1:9" ht="17.25" thickBot="1">
      <c r="A3" s="356" t="s">
        <v>215</v>
      </c>
      <c r="B3" s="355">
        <v>1</v>
      </c>
      <c r="C3" s="354" t="s">
        <v>193</v>
      </c>
      <c r="D3" s="353" t="s">
        <v>192</v>
      </c>
      <c r="E3" s="352" t="s">
        <v>191</v>
      </c>
      <c r="F3" s="351" t="s">
        <v>190</v>
      </c>
      <c r="G3" s="350" t="s">
        <v>189</v>
      </c>
      <c r="H3" s="364" t="s">
        <v>201</v>
      </c>
      <c r="I3" s="365">
        <v>288</v>
      </c>
    </row>
    <row r="4" spans="1:9" ht="16.5" thickTop="1"/>
  </sheetData>
  <printOptions gridLinesSet="0"/>
  <pageMargins left="0.62" right="0.33" top="0.5" bottom="0.63" header="0.5" footer="0.5"/>
  <pageSetup orientation="portrait" horizontalDpi="120" verticalDpi="1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showGridLines="0" workbookViewId="0"/>
  </sheetViews>
  <sheetFormatPr defaultColWidth="9.125" defaultRowHeight="15.75"/>
  <cols>
    <col min="1" max="1" width="23.25" style="169" bestFit="1" customWidth="1"/>
    <col min="2" max="2" width="6.25" style="169" bestFit="1" customWidth="1"/>
    <col min="3" max="3" width="4.125" style="169" bestFit="1" customWidth="1"/>
    <col min="4" max="4" width="6.375" style="169" bestFit="1" customWidth="1"/>
    <col min="5" max="5" width="4.25" style="169" customWidth="1"/>
    <col min="6" max="6" width="16.5" style="169" bestFit="1" customWidth="1"/>
    <col min="7" max="10" width="4.875" style="169" customWidth="1"/>
    <col min="11" max="11" width="3" style="169" customWidth="1"/>
    <col min="12" max="12" width="24.125" style="175" bestFit="1" customWidth="1"/>
    <col min="13" max="13" width="2.5" style="179" customWidth="1"/>
    <col min="14" max="14" width="35.125" style="169" bestFit="1" customWidth="1"/>
    <col min="15" max="16384" width="9.125" style="169"/>
  </cols>
  <sheetData>
    <row r="1" spans="1:14" ht="24.75" thickTop="1" thickBot="1">
      <c r="A1" s="366" t="s">
        <v>217</v>
      </c>
      <c r="B1" s="367"/>
      <c r="C1" s="367"/>
      <c r="D1" s="368"/>
      <c r="F1" s="378" t="s">
        <v>206</v>
      </c>
      <c r="G1" s="378"/>
      <c r="H1" s="379"/>
      <c r="I1" s="376"/>
      <c r="J1" s="380"/>
      <c r="L1" s="168" t="s">
        <v>103</v>
      </c>
      <c r="M1" s="169"/>
      <c r="N1" s="168" t="s">
        <v>104</v>
      </c>
    </row>
    <row r="2" spans="1:14" ht="17.25" thickTop="1">
      <c r="A2" s="369" t="s">
        <v>199</v>
      </c>
      <c r="B2" s="370" t="s">
        <v>156</v>
      </c>
      <c r="C2" s="370" t="s">
        <v>204</v>
      </c>
      <c r="D2" s="371" t="s">
        <v>205</v>
      </c>
      <c r="F2" s="377"/>
      <c r="G2" s="381" t="s">
        <v>207</v>
      </c>
      <c r="H2" s="382"/>
      <c r="I2" s="383"/>
      <c r="J2" s="384"/>
      <c r="L2" s="170" t="s">
        <v>92</v>
      </c>
      <c r="M2" s="169"/>
      <c r="N2" s="171" t="s">
        <v>114</v>
      </c>
    </row>
    <row r="3" spans="1:14" ht="17.25" thickBot="1">
      <c r="A3" s="372" t="s">
        <v>215</v>
      </c>
      <c r="B3" s="373">
        <v>1</v>
      </c>
      <c r="C3" s="374">
        <f>10+B3+'Personal File'!$C$12</f>
        <v>13</v>
      </c>
      <c r="D3" s="375" t="s">
        <v>216</v>
      </c>
      <c r="F3" s="377"/>
      <c r="G3" s="385" t="s">
        <v>208</v>
      </c>
      <c r="H3" s="386" t="s">
        <v>209</v>
      </c>
      <c r="I3" s="386" t="s">
        <v>210</v>
      </c>
      <c r="J3" s="387" t="s">
        <v>211</v>
      </c>
      <c r="L3" s="172" t="s">
        <v>106</v>
      </c>
      <c r="M3" s="169"/>
      <c r="N3" s="171" t="s">
        <v>138</v>
      </c>
    </row>
    <row r="4" spans="1:14" ht="18" thickTop="1" thickBot="1">
      <c r="F4" s="388" t="s">
        <v>213</v>
      </c>
      <c r="G4" s="389">
        <v>0</v>
      </c>
      <c r="H4" s="390">
        <v>0</v>
      </c>
      <c r="I4" s="390">
        <v>0</v>
      </c>
      <c r="J4" s="391">
        <v>0</v>
      </c>
      <c r="L4" s="174" t="s">
        <v>122</v>
      </c>
      <c r="M4" s="169"/>
      <c r="N4" s="171" t="s">
        <v>165</v>
      </c>
    </row>
    <row r="5" spans="1:14" ht="18" thickTop="1" thickBot="1">
      <c r="F5" s="392" t="s">
        <v>214</v>
      </c>
      <c r="G5" s="393">
        <v>1</v>
      </c>
      <c r="H5" s="394">
        <v>0</v>
      </c>
      <c r="I5" s="394">
        <v>0</v>
      </c>
      <c r="J5" s="395">
        <v>0</v>
      </c>
      <c r="M5" s="169"/>
      <c r="N5" s="173" t="s">
        <v>228</v>
      </c>
    </row>
    <row r="6" spans="1:14" ht="24.75" thickTop="1" thickBot="1">
      <c r="F6" s="396" t="s">
        <v>212</v>
      </c>
      <c r="G6" s="397">
        <f t="shared" ref="G6:J6" si="0">SUM(G4:G5)</f>
        <v>1</v>
      </c>
      <c r="H6" s="398">
        <f t="shared" si="0"/>
        <v>0</v>
      </c>
      <c r="I6" s="398">
        <f t="shared" si="0"/>
        <v>0</v>
      </c>
      <c r="J6" s="399">
        <f t="shared" si="0"/>
        <v>0</v>
      </c>
      <c r="L6" s="235" t="s">
        <v>140</v>
      </c>
      <c r="M6" s="169"/>
    </row>
    <row r="7" spans="1:14" ht="24.75" thickTop="1" thickBot="1">
      <c r="L7" s="170" t="s">
        <v>144</v>
      </c>
      <c r="M7" s="169"/>
      <c r="N7" s="5" t="s">
        <v>105</v>
      </c>
    </row>
    <row r="8" spans="1:14" ht="16.5">
      <c r="L8" s="172" t="s">
        <v>227</v>
      </c>
      <c r="M8" s="169"/>
      <c r="N8" s="176" t="s">
        <v>219</v>
      </c>
    </row>
    <row r="9" spans="1:14" ht="17.25" thickBot="1">
      <c r="L9" s="172" t="s">
        <v>147</v>
      </c>
      <c r="M9" s="169"/>
      <c r="N9" s="178" t="s">
        <v>135</v>
      </c>
    </row>
    <row r="10" spans="1:14" ht="18" thickTop="1" thickBot="1">
      <c r="L10" s="249" t="s">
        <v>141</v>
      </c>
      <c r="M10" s="169"/>
    </row>
    <row r="11" spans="1:14" ht="20.25" thickTop="1" thickBot="1">
      <c r="L11" s="249" t="s">
        <v>164</v>
      </c>
      <c r="M11" s="169"/>
      <c r="N11" s="1" t="s">
        <v>77</v>
      </c>
    </row>
    <row r="12" spans="1:14" ht="17.25" thickBot="1">
      <c r="L12" s="236" t="s">
        <v>142</v>
      </c>
      <c r="M12" s="169"/>
      <c r="N12" s="177" t="s">
        <v>107</v>
      </c>
    </row>
    <row r="13" spans="1:14" ht="16.5" thickTop="1">
      <c r="L13" s="169"/>
    </row>
  </sheetData>
  <phoneticPr fontId="0" type="noConversion"/>
  <conditionalFormatting sqref="D3">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5.75"/>
  <cols>
    <col min="1" max="1" width="32.625" style="165" bestFit="1" customWidth="1"/>
    <col min="2" max="2" width="8.625" style="165" customWidth="1"/>
    <col min="3" max="3" width="6.125" style="165" bestFit="1" customWidth="1"/>
    <col min="4" max="4" width="8" style="165" customWidth="1"/>
    <col min="5" max="5" width="9.5" style="165" customWidth="1"/>
    <col min="6" max="6" width="8" style="165" bestFit="1" customWidth="1"/>
    <col min="7" max="7" width="8.875" style="165" bestFit="1" customWidth="1"/>
    <col min="8" max="8" width="4" style="165" bestFit="1" customWidth="1"/>
    <col min="9" max="9" width="5.625" style="165" bestFit="1" customWidth="1"/>
    <col min="10" max="10" width="6.25" style="165" bestFit="1" customWidth="1"/>
    <col min="11" max="11" width="20.125" style="165" bestFit="1" customWidth="1"/>
    <col min="12" max="12" width="2.625" style="56" customWidth="1"/>
    <col min="13" max="13" width="7.375" style="56" bestFit="1" customWidth="1"/>
    <col min="14" max="14" width="7.75" style="165" bestFit="1" customWidth="1"/>
    <col min="15" max="16384" width="13" style="56"/>
  </cols>
  <sheetData>
    <row r="1" spans="1:13" ht="24" thickBot="1">
      <c r="A1" s="180" t="s">
        <v>23</v>
      </c>
      <c r="B1" s="180"/>
      <c r="C1" s="180"/>
      <c r="D1" s="180"/>
      <c r="E1" s="180"/>
      <c r="F1" s="180"/>
      <c r="G1" s="180"/>
      <c r="H1" s="180"/>
      <c r="I1" s="180"/>
      <c r="J1" s="180"/>
      <c r="K1" s="180"/>
    </row>
    <row r="2" spans="1:13" ht="17.25" thickTop="1" thickBot="1">
      <c r="A2" s="181" t="s">
        <v>5</v>
      </c>
      <c r="B2" s="182" t="s">
        <v>6</v>
      </c>
      <c r="C2" s="182" t="s">
        <v>25</v>
      </c>
      <c r="D2" s="182" t="s">
        <v>26</v>
      </c>
      <c r="E2" s="183" t="s">
        <v>68</v>
      </c>
      <c r="F2" s="182" t="s">
        <v>24</v>
      </c>
      <c r="G2" s="182" t="s">
        <v>27</v>
      </c>
      <c r="H2" s="184" t="s">
        <v>121</v>
      </c>
      <c r="I2" s="185" t="s">
        <v>102</v>
      </c>
      <c r="J2" s="186" t="s">
        <v>83</v>
      </c>
      <c r="K2" s="187" t="s">
        <v>4</v>
      </c>
      <c r="M2" s="188" t="s">
        <v>127</v>
      </c>
    </row>
    <row r="3" spans="1:13">
      <c r="A3" s="500" t="s">
        <v>152</v>
      </c>
      <c r="B3" s="473" t="s">
        <v>161</v>
      </c>
      <c r="C3" s="474" t="s">
        <v>162</v>
      </c>
      <c r="D3" s="501">
        <v>1</v>
      </c>
      <c r="E3" s="501" t="s">
        <v>96</v>
      </c>
      <c r="F3" s="502" t="s">
        <v>163</v>
      </c>
      <c r="G3" s="503">
        <v>12</v>
      </c>
      <c r="H3" s="504" t="str">
        <f>CONCATENATE("+",RIGHT('Personal File'!$B$6,1)+RIGHT('Personal File'!$C$8)+D3)</f>
        <v>+11</v>
      </c>
      <c r="I3" s="477">
        <f t="shared" ref="I3:I4" ca="1" si="0">RANDBETWEEN(1,20)</f>
        <v>7</v>
      </c>
      <c r="J3" s="478">
        <f t="shared" ref="J3:J5" ca="1" si="1">I3+H3</f>
        <v>18</v>
      </c>
      <c r="K3" s="520" t="s">
        <v>248</v>
      </c>
      <c r="M3" s="450">
        <v>2000</v>
      </c>
    </row>
    <row r="4" spans="1:13">
      <c r="A4" s="505" t="s">
        <v>234</v>
      </c>
      <c r="B4" s="485" t="s">
        <v>161</v>
      </c>
      <c r="C4" s="506"/>
      <c r="D4" s="507"/>
      <c r="E4" s="507"/>
      <c r="F4" s="508"/>
      <c r="G4" s="509"/>
      <c r="H4" s="510" t="str">
        <f>CONCATENATE("+",H3-5)</f>
        <v>+6</v>
      </c>
      <c r="I4" s="489">
        <f t="shared" ca="1" si="0"/>
        <v>6</v>
      </c>
      <c r="J4" s="490">
        <f t="shared" ca="1" si="1"/>
        <v>12</v>
      </c>
      <c r="K4" s="521" t="s">
        <v>248</v>
      </c>
      <c r="M4" s="451"/>
    </row>
    <row r="5" spans="1:13">
      <c r="A5" s="511" t="s">
        <v>238</v>
      </c>
      <c r="B5" s="512" t="s">
        <v>239</v>
      </c>
      <c r="C5" s="512">
        <v>1</v>
      </c>
      <c r="D5" s="513">
        <v>1</v>
      </c>
      <c r="E5" s="512" t="s">
        <v>240</v>
      </c>
      <c r="F5" s="512" t="s">
        <v>241</v>
      </c>
      <c r="G5" s="512">
        <v>0.25</v>
      </c>
      <c r="H5" s="514" t="str">
        <f>CONCATENATE("+",RIGHT('Personal File'!$B$6,1)+RIGHT('Personal File'!$C$8)+D5)</f>
        <v>+11</v>
      </c>
      <c r="I5" s="515">
        <f t="shared" ref="I5:I6" ca="1" si="2">RANDBETWEEN(1,20)</f>
        <v>15</v>
      </c>
      <c r="J5" s="516">
        <f t="shared" ca="1" si="1"/>
        <v>26</v>
      </c>
      <c r="K5" s="522" t="s">
        <v>248</v>
      </c>
      <c r="M5" s="451"/>
    </row>
    <row r="6" spans="1:13">
      <c r="A6" s="511" t="s">
        <v>224</v>
      </c>
      <c r="B6" s="512" t="s">
        <v>151</v>
      </c>
      <c r="C6" s="512" t="s">
        <v>151</v>
      </c>
      <c r="D6" s="513" t="s">
        <v>62</v>
      </c>
      <c r="E6" s="512" t="s">
        <v>151</v>
      </c>
      <c r="F6" s="512" t="s">
        <v>151</v>
      </c>
      <c r="G6" s="512" t="s">
        <v>151</v>
      </c>
      <c r="H6" s="514" t="str">
        <f>CONCATENATE("+",RIGHT('Personal File'!$B$6,1)+RIGHT('Personal File'!$C$8)+D6)</f>
        <v>+10</v>
      </c>
      <c r="I6" s="515">
        <f t="shared" ca="1" si="2"/>
        <v>12</v>
      </c>
      <c r="J6" s="516">
        <f t="shared" ref="J6" ca="1" si="3">I6+H6</f>
        <v>22</v>
      </c>
      <c r="K6" s="522" t="s">
        <v>248</v>
      </c>
      <c r="M6" s="451"/>
    </row>
    <row r="7" spans="1:13" ht="16.5" thickBot="1">
      <c r="A7" s="442" t="s">
        <v>233</v>
      </c>
      <c r="B7" s="443" t="s">
        <v>108</v>
      </c>
      <c r="C7" s="517" t="str">
        <f>'Personal File'!$C$8</f>
        <v>+4</v>
      </c>
      <c r="D7" s="494">
        <v>0</v>
      </c>
      <c r="E7" s="518" t="s">
        <v>109</v>
      </c>
      <c r="F7" s="443" t="s">
        <v>88</v>
      </c>
      <c r="G7" s="497">
        <v>0</v>
      </c>
      <c r="H7" s="519" t="str">
        <f>CONCATENATE("+",RIGHT('Personal File'!$B$6,1)+RIGHT('Personal File'!$C$8)+D7)</f>
        <v>+10</v>
      </c>
      <c r="I7" s="498">
        <f t="shared" ref="I7" ca="1" si="4">RANDBETWEEN(1,20)</f>
        <v>3</v>
      </c>
      <c r="J7" s="499">
        <f t="shared" ref="J7" ca="1" si="5">I7+H7</f>
        <v>13</v>
      </c>
      <c r="K7" s="523" t="s">
        <v>248</v>
      </c>
      <c r="M7" s="452"/>
    </row>
    <row r="8" spans="1:13" ht="6" customHeight="1" thickTop="1" thickBot="1">
      <c r="M8" s="234"/>
    </row>
    <row r="9" spans="1:13" ht="17.25" thickTop="1" thickBot="1">
      <c r="A9" s="181" t="s">
        <v>8</v>
      </c>
      <c r="B9" s="182" t="s">
        <v>6</v>
      </c>
      <c r="C9" s="182" t="s">
        <v>25</v>
      </c>
      <c r="D9" s="182" t="s">
        <v>26</v>
      </c>
      <c r="E9" s="183" t="s">
        <v>68</v>
      </c>
      <c r="F9" s="182" t="s">
        <v>9</v>
      </c>
      <c r="G9" s="182" t="s">
        <v>27</v>
      </c>
      <c r="H9" s="184" t="s">
        <v>121</v>
      </c>
      <c r="I9" s="189" t="s">
        <v>102</v>
      </c>
      <c r="J9" s="184" t="s">
        <v>83</v>
      </c>
      <c r="K9" s="187" t="s">
        <v>4</v>
      </c>
      <c r="M9" s="453" t="s">
        <v>127</v>
      </c>
    </row>
    <row r="10" spans="1:13">
      <c r="A10" s="472" t="s">
        <v>249</v>
      </c>
      <c r="B10" s="473" t="s">
        <v>86</v>
      </c>
      <c r="C10" s="474" t="str">
        <f>'Personal File'!C8</f>
        <v>+4</v>
      </c>
      <c r="D10" s="475">
        <f>1+2</f>
        <v>3</v>
      </c>
      <c r="E10" s="473" t="s">
        <v>96</v>
      </c>
      <c r="F10" s="475" t="str">
        <f t="shared" ref="F10:F14" si="6">CONCATENATE(110*1.5,"’")</f>
        <v>165’</v>
      </c>
      <c r="G10" s="476">
        <v>3</v>
      </c>
      <c r="H10" s="476" t="str">
        <f>CONCATENATE("+",RIGHT('Personal File'!$B$6,1)+RIGHT('Personal File'!$C$9)+D10-2+1)</f>
        <v>+12</v>
      </c>
      <c r="I10" s="477">
        <f t="shared" ref="I10:I14" ca="1" si="7">RANDBETWEEN(1,20)</f>
        <v>2</v>
      </c>
      <c r="J10" s="478">
        <f t="shared" ref="J10:J16" ca="1" si="8">I10+H10</f>
        <v>14</v>
      </c>
      <c r="K10" s="520" t="s">
        <v>225</v>
      </c>
      <c r="M10" s="454">
        <v>18800</v>
      </c>
    </row>
    <row r="11" spans="1:13">
      <c r="A11" s="470" t="s">
        <v>235</v>
      </c>
      <c r="B11" s="471" t="s">
        <v>86</v>
      </c>
      <c r="C11" s="479" t="str">
        <f>'Personal File'!C8</f>
        <v>+4</v>
      </c>
      <c r="D11" s="480">
        <f t="shared" ref="D11:D14" si="9">1+2</f>
        <v>3</v>
      </c>
      <c r="E11" s="426"/>
      <c r="F11" s="427"/>
      <c r="G11" s="428"/>
      <c r="H11" s="481" t="str">
        <f>CONCATENATE("+",RIGHT('Personal File'!$B$6,1)+RIGHT('Personal File'!$C$9)+D11-2+1-5)</f>
        <v>+7</v>
      </c>
      <c r="I11" s="482">
        <f t="shared" ca="1" si="7"/>
        <v>14</v>
      </c>
      <c r="J11" s="483">
        <f t="shared" ref="J11" ca="1" si="10">I11+H11</f>
        <v>21</v>
      </c>
      <c r="K11" s="524" t="s">
        <v>225</v>
      </c>
      <c r="M11" s="451"/>
    </row>
    <row r="12" spans="1:13">
      <c r="A12" s="470" t="s">
        <v>236</v>
      </c>
      <c r="B12" s="471" t="s">
        <v>86</v>
      </c>
      <c r="C12" s="479" t="str">
        <f>'Personal File'!C8</f>
        <v>+4</v>
      </c>
      <c r="D12" s="480">
        <f t="shared" si="9"/>
        <v>3</v>
      </c>
      <c r="E12" s="426"/>
      <c r="F12" s="427"/>
      <c r="G12" s="428"/>
      <c r="H12" s="481" t="str">
        <f>CONCATENATE("+",RIGHT('Personal File'!$B$6,1)+RIGHT('Personal File'!$C$9)+D12-2+1)</f>
        <v>+12</v>
      </c>
      <c r="I12" s="482">
        <f t="shared" ca="1" si="7"/>
        <v>17</v>
      </c>
      <c r="J12" s="483">
        <f t="shared" ca="1" si="8"/>
        <v>29</v>
      </c>
      <c r="K12" s="524" t="s">
        <v>225</v>
      </c>
      <c r="M12" s="451"/>
    </row>
    <row r="13" spans="1:13">
      <c r="A13" s="484" t="s">
        <v>237</v>
      </c>
      <c r="B13" s="485" t="s">
        <v>86</v>
      </c>
      <c r="C13" s="486" t="str">
        <f>'Personal File'!C8</f>
        <v>+4</v>
      </c>
      <c r="D13" s="487">
        <f t="shared" si="9"/>
        <v>3</v>
      </c>
      <c r="E13" s="429"/>
      <c r="F13" s="430"/>
      <c r="G13" s="431"/>
      <c r="H13" s="488" t="str">
        <f>CONCATENATE("+",RIGHT('Personal File'!$B$6,1)+RIGHT('Personal File'!$C$9)+D13-2+1)</f>
        <v>+12</v>
      </c>
      <c r="I13" s="489">
        <f t="shared" ca="1" si="7"/>
        <v>7</v>
      </c>
      <c r="J13" s="490">
        <f t="shared" ref="J13" ca="1" si="11">I13+H13</f>
        <v>19</v>
      </c>
      <c r="K13" s="521" t="s">
        <v>225</v>
      </c>
      <c r="M13" s="451"/>
    </row>
    <row r="14" spans="1:13">
      <c r="A14" s="484" t="s">
        <v>249</v>
      </c>
      <c r="B14" s="485" t="s">
        <v>86</v>
      </c>
      <c r="C14" s="486" t="str">
        <f>'Personal File'!C8</f>
        <v>+4</v>
      </c>
      <c r="D14" s="487">
        <f t="shared" si="9"/>
        <v>3</v>
      </c>
      <c r="E14" s="485" t="s">
        <v>96</v>
      </c>
      <c r="F14" s="491" t="str">
        <f t="shared" si="6"/>
        <v>165’</v>
      </c>
      <c r="G14" s="488">
        <v>3</v>
      </c>
      <c r="H14" s="488" t="str">
        <f>CONCATENATE("+",RIGHT('Personal File'!$B$6,1)+RIGHT('Personal File'!$C$9)+D14+1)</f>
        <v>+14</v>
      </c>
      <c r="I14" s="489">
        <f t="shared" ca="1" si="7"/>
        <v>17</v>
      </c>
      <c r="J14" s="490">
        <f t="shared" ref="J14" ca="1" si="12">I14+H14</f>
        <v>31</v>
      </c>
      <c r="K14" s="521" t="s">
        <v>225</v>
      </c>
      <c r="M14" s="525"/>
    </row>
    <row r="15" spans="1:13">
      <c r="A15" s="470" t="s">
        <v>251</v>
      </c>
      <c r="B15" s="471" t="s">
        <v>151</v>
      </c>
      <c r="C15" s="492" t="s">
        <v>146</v>
      </c>
      <c r="D15" s="480" t="s">
        <v>151</v>
      </c>
      <c r="E15" s="471" t="s">
        <v>151</v>
      </c>
      <c r="F15" s="493" t="s">
        <v>151</v>
      </c>
      <c r="G15" s="481" t="s">
        <v>151</v>
      </c>
      <c r="H15" s="481" t="s">
        <v>151</v>
      </c>
      <c r="I15" s="482" t="s">
        <v>151</v>
      </c>
      <c r="J15" s="483" t="s">
        <v>151</v>
      </c>
      <c r="K15" s="524" t="s">
        <v>151</v>
      </c>
      <c r="M15" s="457">
        <v>3000</v>
      </c>
    </row>
    <row r="16" spans="1:13" ht="16.5" thickBot="1">
      <c r="A16" s="442" t="s">
        <v>247</v>
      </c>
      <c r="B16" s="494" t="s">
        <v>146</v>
      </c>
      <c r="C16" s="495" t="s">
        <v>62</v>
      </c>
      <c r="D16" s="291" t="s">
        <v>62</v>
      </c>
      <c r="E16" s="494" t="s">
        <v>109</v>
      </c>
      <c r="F16" s="496" t="str">
        <f>CONCATENATE(10*2,"’")</f>
        <v>20’</v>
      </c>
      <c r="G16" s="497">
        <f>2*RIGHT(A16,1)</f>
        <v>10</v>
      </c>
      <c r="H16" s="446" t="str">
        <f>CONCATENATE("+",RIGHT('Personal File'!$B$6,1)+RIGHT('Personal File'!$C$9)+D16)</f>
        <v>+10</v>
      </c>
      <c r="I16" s="498">
        <f t="shared" ref="I16" ca="1" si="13">RANDBETWEEN(1,20)</f>
        <v>20</v>
      </c>
      <c r="J16" s="499">
        <f t="shared" ca="1" si="8"/>
        <v>30</v>
      </c>
      <c r="K16" s="523" t="s">
        <v>225</v>
      </c>
      <c r="L16" s="259"/>
      <c r="M16" s="455">
        <f>10*G16</f>
        <v>100</v>
      </c>
    </row>
    <row r="17" spans="1:13" ht="6" customHeight="1" thickTop="1" thickBot="1">
      <c r="D17" s="190"/>
      <c r="E17" s="190"/>
      <c r="G17" s="191"/>
      <c r="H17" s="191"/>
      <c r="I17" s="191"/>
      <c r="J17" s="191"/>
      <c r="M17" s="234"/>
    </row>
    <row r="18" spans="1:13" ht="17.25" thickTop="1" thickBot="1">
      <c r="A18" s="181" t="s">
        <v>72</v>
      </c>
      <c r="B18" s="182" t="s">
        <v>17</v>
      </c>
      <c r="C18" s="182" t="s">
        <v>34</v>
      </c>
      <c r="D18" s="182" t="s">
        <v>83</v>
      </c>
      <c r="E18" s="182" t="s">
        <v>84</v>
      </c>
      <c r="F18" s="182" t="s">
        <v>85</v>
      </c>
      <c r="G18" s="182" t="s">
        <v>27</v>
      </c>
      <c r="H18" s="192" t="s">
        <v>81</v>
      </c>
      <c r="I18" s="193"/>
      <c r="J18" s="193"/>
      <c r="K18" s="194"/>
      <c r="M18" s="453" t="s">
        <v>127</v>
      </c>
    </row>
    <row r="19" spans="1:13">
      <c r="A19" s="463" t="s">
        <v>232</v>
      </c>
      <c r="B19" s="464">
        <v>5</v>
      </c>
      <c r="C19" s="465">
        <v>4</v>
      </c>
      <c r="D19" s="279">
        <v>-2</v>
      </c>
      <c r="E19" s="466">
        <v>0.2</v>
      </c>
      <c r="F19" s="467" t="s">
        <v>118</v>
      </c>
      <c r="G19" s="468">
        <v>20</v>
      </c>
      <c r="H19" s="469"/>
      <c r="I19" s="196"/>
      <c r="J19" s="196"/>
      <c r="K19" s="197"/>
      <c r="M19" s="456">
        <v>3200</v>
      </c>
    </row>
    <row r="20" spans="1:13" ht="16.5" thickBot="1">
      <c r="A20" s="442" t="s">
        <v>250</v>
      </c>
      <c r="B20" s="443">
        <v>1</v>
      </c>
      <c r="C20" s="444" t="s">
        <v>151</v>
      </c>
      <c r="D20" s="443" t="s">
        <v>151</v>
      </c>
      <c r="E20" s="445" t="s">
        <v>151</v>
      </c>
      <c r="F20" s="443" t="s">
        <v>151</v>
      </c>
      <c r="G20" s="446">
        <v>0</v>
      </c>
      <c r="H20" s="447"/>
      <c r="I20" s="198"/>
      <c r="J20" s="198"/>
      <c r="K20" s="199"/>
      <c r="L20" s="448"/>
      <c r="M20" s="449">
        <v>2000</v>
      </c>
    </row>
    <row r="21" spans="1:13" ht="6.75" customHeight="1" thickTop="1" thickBot="1">
      <c r="M21" s="234"/>
    </row>
    <row r="22" spans="1:13" ht="17.25" thickTop="1" thickBot="1">
      <c r="A22" s="200"/>
      <c r="B22" s="191"/>
      <c r="D22" s="201" t="s">
        <v>73</v>
      </c>
      <c r="E22" s="202"/>
      <c r="F22" s="192" t="s">
        <v>7</v>
      </c>
      <c r="G22" s="182" t="s">
        <v>27</v>
      </c>
      <c r="H22" s="184" t="s">
        <v>121</v>
      </c>
      <c r="I22" s="192" t="s">
        <v>81</v>
      </c>
      <c r="J22" s="193"/>
      <c r="K22" s="194"/>
      <c r="M22" s="453" t="s">
        <v>127</v>
      </c>
    </row>
    <row r="23" spans="1:13">
      <c r="A23" s="200"/>
      <c r="B23" s="191"/>
      <c r="D23" s="405" t="s">
        <v>145</v>
      </c>
      <c r="E23" s="406"/>
      <c r="F23" s="411">
        <v>95</v>
      </c>
      <c r="G23" s="195">
        <f t="shared" ref="G23" si="14">F23/10</f>
        <v>9.5</v>
      </c>
      <c r="H23" s="412" t="s">
        <v>150</v>
      </c>
      <c r="I23" s="407" t="s">
        <v>230</v>
      </c>
      <c r="J23" s="408"/>
      <c r="K23" s="280"/>
      <c r="M23" s="454">
        <f t="shared" ref="M23:M24" si="15">F23/20</f>
        <v>4.75</v>
      </c>
    </row>
    <row r="24" spans="1:13">
      <c r="A24" s="200"/>
      <c r="B24" s="191"/>
      <c r="D24" s="417" t="s">
        <v>229</v>
      </c>
      <c r="E24" s="418"/>
      <c r="F24" s="419">
        <v>20</v>
      </c>
      <c r="G24" s="420">
        <f>F24/5</f>
        <v>4</v>
      </c>
      <c r="H24" s="421" t="s">
        <v>150</v>
      </c>
      <c r="I24" s="422" t="s">
        <v>231</v>
      </c>
      <c r="J24" s="423"/>
      <c r="K24" s="424"/>
      <c r="M24" s="458">
        <f t="shared" si="15"/>
        <v>1</v>
      </c>
    </row>
    <row r="25" spans="1:13" ht="16.5" thickBot="1">
      <c r="A25" s="200"/>
      <c r="B25" s="191"/>
      <c r="D25" s="409"/>
      <c r="E25" s="410"/>
      <c r="F25" s="413"/>
      <c r="G25" s="414"/>
      <c r="H25" s="258"/>
      <c r="I25" s="425"/>
      <c r="J25" s="203"/>
      <c r="K25" s="199"/>
      <c r="M25" s="449"/>
    </row>
    <row r="26" spans="1:13" ht="17.25" thickTop="1" thickBot="1">
      <c r="A26" s="200"/>
      <c r="B26" s="191"/>
      <c r="D26" s="261"/>
      <c r="E26" s="262"/>
      <c r="F26" s="262"/>
      <c r="G26" s="263"/>
      <c r="H26" s="264"/>
      <c r="I26" s="265"/>
      <c r="J26" s="265"/>
      <c r="K26" s="261"/>
      <c r="M26" s="459"/>
    </row>
    <row r="27" spans="1:13" ht="17.25" thickTop="1" thickBot="1">
      <c r="A27" s="200"/>
      <c r="B27" s="191"/>
      <c r="D27" s="201" t="s">
        <v>155</v>
      </c>
      <c r="E27" s="193"/>
      <c r="F27" s="193"/>
      <c r="G27" s="193"/>
      <c r="H27" s="266" t="s">
        <v>7</v>
      </c>
      <c r="I27" s="266" t="s">
        <v>156</v>
      </c>
      <c r="J27" s="266" t="s">
        <v>157</v>
      </c>
      <c r="K27" s="194" t="s">
        <v>81</v>
      </c>
      <c r="L27" s="260"/>
      <c r="M27" s="453" t="s">
        <v>127</v>
      </c>
    </row>
    <row r="28" spans="1:13">
      <c r="A28" s="200"/>
      <c r="B28" s="191"/>
      <c r="D28" s="276" t="s">
        <v>243</v>
      </c>
      <c r="E28" s="277"/>
      <c r="F28" s="277"/>
      <c r="G28" s="292"/>
      <c r="H28" s="278">
        <v>0</v>
      </c>
      <c r="I28" s="279">
        <v>1</v>
      </c>
      <c r="J28" s="279">
        <v>1</v>
      </c>
      <c r="K28" s="280" t="s">
        <v>244</v>
      </c>
      <c r="L28" s="260"/>
      <c r="M28" s="454">
        <v>750</v>
      </c>
    </row>
    <row r="29" spans="1:13">
      <c r="A29" s="200"/>
      <c r="B29" s="191"/>
      <c r="D29" s="281" t="s">
        <v>168</v>
      </c>
      <c r="E29" s="282"/>
      <c r="F29" s="282"/>
      <c r="G29" s="293"/>
      <c r="H29" s="283">
        <v>0</v>
      </c>
      <c r="I29" s="284">
        <v>2</v>
      </c>
      <c r="J29" s="284">
        <v>4</v>
      </c>
      <c r="K29" s="285"/>
      <c r="L29" s="260"/>
      <c r="M29" s="460">
        <f>H29*300</f>
        <v>0</v>
      </c>
    </row>
    <row r="30" spans="1:13" ht="16.5" thickBot="1">
      <c r="A30" s="200"/>
      <c r="B30" s="191"/>
      <c r="D30" s="288"/>
      <c r="E30" s="289"/>
      <c r="F30" s="289"/>
      <c r="G30" s="294"/>
      <c r="H30" s="290"/>
      <c r="I30" s="291"/>
      <c r="J30" s="291"/>
      <c r="K30" s="199"/>
      <c r="L30" s="260"/>
      <c r="M30" s="461"/>
    </row>
    <row r="31" spans="1:13" ht="16.5" thickTop="1">
      <c r="M31" s="440"/>
    </row>
    <row r="32" spans="1:13">
      <c r="K32" s="161" t="s">
        <v>149</v>
      </c>
      <c r="M32" s="440">
        <f>SUM(M3:M30)</f>
        <v>29855.75</v>
      </c>
    </row>
  </sheetData>
  <phoneticPr fontId="0" type="noConversion"/>
  <conditionalFormatting sqref="I3:I4 I6:I7">
    <cfRule type="cellIs" dxfId="16" priority="24" operator="equal">
      <formula>20</formula>
    </cfRule>
    <cfRule type="cellIs" dxfId="15" priority="25" operator="equal">
      <formula>1</formula>
    </cfRule>
  </conditionalFormatting>
  <conditionalFormatting sqref="I16">
    <cfRule type="cellIs" dxfId="14" priority="22" operator="equal">
      <formula>20</formula>
    </cfRule>
    <cfRule type="cellIs" dxfId="13" priority="23" operator="equal">
      <formula>1</formula>
    </cfRule>
  </conditionalFormatting>
  <conditionalFormatting sqref="I10 I12">
    <cfRule type="cellIs" dxfId="12" priority="20" operator="equal">
      <formula>20</formula>
    </cfRule>
    <cfRule type="cellIs" dxfId="11" priority="21" operator="equal">
      <formula>1</formula>
    </cfRule>
  </conditionalFormatting>
  <conditionalFormatting sqref="I14:I15">
    <cfRule type="cellIs" dxfId="10" priority="8" operator="equal">
      <formula>20</formula>
    </cfRule>
    <cfRule type="cellIs" dxfId="9" priority="9" operator="equal">
      <formula>1</formula>
    </cfRule>
  </conditionalFormatting>
  <conditionalFormatting sqref="I13">
    <cfRule type="cellIs" dxfId="8" priority="6" operator="equal">
      <formula>20</formula>
    </cfRule>
    <cfRule type="cellIs" dxfId="7" priority="7" operator="equal">
      <formula>1</formula>
    </cfRule>
  </conditionalFormatting>
  <conditionalFormatting sqref="I11">
    <cfRule type="cellIs" dxfId="6" priority="4" operator="equal">
      <formula>20</formula>
    </cfRule>
    <cfRule type="cellIs" dxfId="5" priority="5" operator="equal">
      <formula>1</formula>
    </cfRule>
  </conditionalFormatting>
  <conditionalFormatting sqref="I5">
    <cfRule type="cellIs" dxfId="4" priority="2" operator="equal">
      <formula>20</formula>
    </cfRule>
    <cfRule type="cellIs" dxfId="3" priority="3" operator="equal">
      <formula>1</formula>
    </cfRule>
  </conditionalFormatting>
  <conditionalFormatting sqref="B20">
    <cfRule type="cellIs" dxfId="2" priority="1" operator="equal">
      <formula>2</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workbookViewId="0"/>
  </sheetViews>
  <sheetFormatPr defaultColWidth="13" defaultRowHeight="15.75"/>
  <cols>
    <col min="1" max="1" width="27.375" style="165" bestFit="1" customWidth="1"/>
    <col min="2" max="2" width="4.875" style="191" bestFit="1" customWidth="1"/>
    <col min="3" max="3" width="6.875" style="191" bestFit="1" customWidth="1"/>
    <col min="4" max="4" width="23.375" style="56" bestFit="1" customWidth="1"/>
    <col min="5" max="5" width="19.375" style="56" customWidth="1"/>
    <col min="6" max="6" width="2.375" style="56" customWidth="1"/>
    <col min="7" max="7" width="5.875" style="56" bestFit="1" customWidth="1"/>
    <col min="8" max="16384" width="13" style="56"/>
  </cols>
  <sheetData>
    <row r="1" spans="1:7" ht="24" thickBot="1">
      <c r="A1" s="180" t="s">
        <v>78</v>
      </c>
      <c r="B1" s="204"/>
      <c r="C1" s="204"/>
      <c r="D1" s="180"/>
      <c r="E1" s="180"/>
    </row>
    <row r="2" spans="1:7" s="165" customFormat="1" ht="17.25" thickTop="1" thickBot="1">
      <c r="A2" s="205" t="s">
        <v>79</v>
      </c>
      <c r="B2" s="205" t="s">
        <v>7</v>
      </c>
      <c r="C2" s="206" t="s">
        <v>125</v>
      </c>
      <c r="D2" s="207" t="s">
        <v>80</v>
      </c>
      <c r="E2" s="208" t="s">
        <v>81</v>
      </c>
      <c r="G2" s="209" t="s">
        <v>127</v>
      </c>
    </row>
    <row r="3" spans="1:7">
      <c r="A3" s="210" t="s">
        <v>93</v>
      </c>
      <c r="B3" s="211">
        <v>1</v>
      </c>
      <c r="C3" s="212" t="s">
        <v>126</v>
      </c>
      <c r="D3" s="213"/>
      <c r="E3" s="214"/>
      <c r="G3" s="215">
        <v>0</v>
      </c>
    </row>
    <row r="4" spans="1:7">
      <c r="A4" s="210" t="s">
        <v>115</v>
      </c>
      <c r="B4" s="211">
        <v>1</v>
      </c>
      <c r="C4" s="216">
        <v>1</v>
      </c>
      <c r="D4" s="213"/>
      <c r="E4" s="214"/>
      <c r="G4" s="217">
        <v>0</v>
      </c>
    </row>
    <row r="5" spans="1:7">
      <c r="A5" s="218" t="s">
        <v>159</v>
      </c>
      <c r="B5" s="211">
        <v>1</v>
      </c>
      <c r="C5" s="216">
        <v>1</v>
      </c>
      <c r="D5" s="221"/>
      <c r="E5" s="222"/>
      <c r="G5" s="223">
        <v>0</v>
      </c>
    </row>
    <row r="6" spans="1:7">
      <c r="A6" s="250" t="s">
        <v>158</v>
      </c>
      <c r="B6" s="219">
        <v>2</v>
      </c>
      <c r="C6" s="220">
        <v>1</v>
      </c>
      <c r="D6" s="221"/>
      <c r="E6" s="222"/>
      <c r="G6" s="223">
        <v>1000</v>
      </c>
    </row>
    <row r="7" spans="1:7">
      <c r="A7" s="286" t="s">
        <v>246</v>
      </c>
      <c r="B7" s="433">
        <v>1</v>
      </c>
      <c r="C7" s="212">
        <v>0</v>
      </c>
      <c r="D7" s="436"/>
      <c r="E7" s="437"/>
      <c r="F7" s="438"/>
      <c r="G7" s="439">
        <v>3000</v>
      </c>
    </row>
    <row r="8" spans="1:7">
      <c r="A8" s="286" t="s">
        <v>245</v>
      </c>
      <c r="B8" s="433">
        <v>1</v>
      </c>
      <c r="C8" s="212">
        <v>1</v>
      </c>
      <c r="D8" s="434"/>
      <c r="E8" s="435"/>
      <c r="F8" s="260"/>
      <c r="G8" s="223">
        <v>750</v>
      </c>
    </row>
    <row r="9" spans="1:7">
      <c r="A9" s="218" t="s">
        <v>153</v>
      </c>
      <c r="B9" s="219">
        <v>1</v>
      </c>
      <c r="C9" s="220">
        <v>0</v>
      </c>
      <c r="D9" s="221" t="s">
        <v>154</v>
      </c>
      <c r="E9" s="222" t="s">
        <v>136</v>
      </c>
      <c r="G9" s="223">
        <v>1000</v>
      </c>
    </row>
    <row r="10" spans="1:7" ht="16.5" thickBot="1">
      <c r="A10" s="224"/>
      <c r="B10" s="225"/>
      <c r="C10" s="226"/>
      <c r="D10" s="227"/>
      <c r="E10" s="228"/>
      <c r="G10" s="229"/>
    </row>
    <row r="11" spans="1:7" ht="24.75" thickTop="1" thickBot="1">
      <c r="A11" s="180" t="s">
        <v>82</v>
      </c>
      <c r="B11" s="230"/>
      <c r="C11" s="230"/>
      <c r="D11" s="180"/>
      <c r="E11" s="231"/>
    </row>
    <row r="12" spans="1:7" ht="17.25" thickTop="1" thickBot="1">
      <c r="A12" s="205" t="s">
        <v>79</v>
      </c>
      <c r="B12" s="205" t="s">
        <v>7</v>
      </c>
      <c r="C12" s="206" t="s">
        <v>125</v>
      </c>
      <c r="D12" s="207" t="s">
        <v>80</v>
      </c>
      <c r="E12" s="208" t="s">
        <v>81</v>
      </c>
      <c r="G12" s="209" t="s">
        <v>127</v>
      </c>
    </row>
    <row r="13" spans="1:7">
      <c r="A13" s="210" t="s">
        <v>97</v>
      </c>
      <c r="B13" s="211">
        <v>2</v>
      </c>
      <c r="C13" s="216">
        <v>1</v>
      </c>
      <c r="D13" s="232"/>
      <c r="E13" s="214"/>
      <c r="G13" s="217">
        <v>0</v>
      </c>
    </row>
    <row r="14" spans="1:7">
      <c r="A14" s="210" t="s">
        <v>117</v>
      </c>
      <c r="B14" s="211">
        <v>1</v>
      </c>
      <c r="C14" s="216">
        <v>3</v>
      </c>
      <c r="D14" s="213"/>
      <c r="E14" s="214"/>
      <c r="G14" s="217">
        <v>0</v>
      </c>
    </row>
    <row r="15" spans="1:7">
      <c r="A15" s="218" t="s">
        <v>160</v>
      </c>
      <c r="B15" s="273">
        <v>1</v>
      </c>
      <c r="C15" s="274">
        <v>2</v>
      </c>
      <c r="D15" s="221"/>
      <c r="E15" s="222"/>
      <c r="G15" s="223">
        <v>350</v>
      </c>
    </row>
    <row r="16" spans="1:7">
      <c r="A16" s="218" t="s">
        <v>124</v>
      </c>
      <c r="B16" s="462">
        <v>0</v>
      </c>
      <c r="C16" s="274">
        <f>B16/100</f>
        <v>0</v>
      </c>
      <c r="D16" s="221"/>
      <c r="E16" s="222"/>
      <c r="G16" s="223">
        <f>B16</f>
        <v>0</v>
      </c>
    </row>
    <row r="17" spans="1:7">
      <c r="A17" s="210" t="s">
        <v>116</v>
      </c>
      <c r="B17" s="211">
        <v>0</v>
      </c>
      <c r="C17" s="216">
        <v>0</v>
      </c>
      <c r="D17" s="213"/>
      <c r="E17" s="214"/>
      <c r="G17" s="217">
        <v>0</v>
      </c>
    </row>
    <row r="18" spans="1:7" s="259" customFormat="1" ht="16.5" thickBot="1">
      <c r="A18" s="267" t="s">
        <v>128</v>
      </c>
      <c r="B18" s="268">
        <v>1</v>
      </c>
      <c r="C18" s="269">
        <v>1</v>
      </c>
      <c r="D18" s="270"/>
      <c r="E18" s="271"/>
      <c r="G18" s="272">
        <v>110</v>
      </c>
    </row>
    <row r="19" spans="1:7" ht="16.5" thickTop="1">
      <c r="A19" s="56"/>
      <c r="B19" s="56"/>
      <c r="C19" s="56"/>
    </row>
    <row r="20" spans="1:7">
      <c r="A20" s="56"/>
      <c r="B20" s="56"/>
      <c r="E20" s="233" t="s">
        <v>129</v>
      </c>
      <c r="G20" s="234">
        <f>SUM(G3:G18,Martial!M3:M30)</f>
        <v>36065.75</v>
      </c>
    </row>
    <row r="21" spans="1:7">
      <c r="A21" s="56"/>
      <c r="B21" s="56"/>
      <c r="C21" s="56"/>
      <c r="E21" s="233" t="s">
        <v>242</v>
      </c>
      <c r="G21" s="234">
        <v>36000</v>
      </c>
    </row>
    <row r="22" spans="1:7">
      <c r="G22" s="440"/>
    </row>
    <row r="23" spans="1:7">
      <c r="A23" s="56"/>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75"/>
  <cols>
    <col min="1" max="1" width="22.625" style="297" customWidth="1"/>
    <col min="2" max="2" width="10" style="296" customWidth="1"/>
    <col min="3" max="3" width="5.5" style="296" customWidth="1"/>
    <col min="4" max="4" width="13.75" style="297" bestFit="1" customWidth="1"/>
    <col min="5" max="5" width="9.625" style="296" bestFit="1" customWidth="1"/>
    <col min="6" max="6" width="14.875" style="297" customWidth="1"/>
    <col min="7" max="7" width="17.875" style="296" customWidth="1"/>
    <col min="8" max="16384" width="13" style="295"/>
  </cols>
  <sheetData>
    <row r="1" spans="1:7" ht="29.25" thickTop="1" thickBot="1">
      <c r="A1" s="346" t="s">
        <v>221</v>
      </c>
      <c r="B1" s="345"/>
      <c r="C1" s="345"/>
      <c r="D1" s="345"/>
      <c r="E1" s="344"/>
      <c r="F1" s="343"/>
      <c r="G1" s="342" t="s">
        <v>180</v>
      </c>
    </row>
    <row r="2" spans="1:7" ht="17.25" thickTop="1">
      <c r="A2" s="306" t="s">
        <v>0</v>
      </c>
      <c r="B2" s="341" t="s">
        <v>181</v>
      </c>
      <c r="C2" s="340"/>
      <c r="D2" s="338" t="s">
        <v>1</v>
      </c>
      <c r="E2" s="339" t="s">
        <v>222</v>
      </c>
      <c r="F2" s="338" t="s">
        <v>119</v>
      </c>
      <c r="G2" s="337" t="s">
        <v>182</v>
      </c>
    </row>
    <row r="3" spans="1:7" ht="17.25" thickBot="1">
      <c r="A3" s="336" t="s">
        <v>186</v>
      </c>
      <c r="B3" s="335" t="s">
        <v>185</v>
      </c>
      <c r="C3" s="335"/>
      <c r="D3" s="333" t="s">
        <v>179</v>
      </c>
      <c r="E3" s="334" t="s">
        <v>178</v>
      </c>
      <c r="F3" s="333" t="s">
        <v>177</v>
      </c>
      <c r="G3" s="332" t="s">
        <v>183</v>
      </c>
    </row>
    <row r="4" spans="1:7" ht="17.25" thickTop="1">
      <c r="A4" s="331" t="s">
        <v>2</v>
      </c>
      <c r="B4" s="330">
        <v>13</v>
      </c>
      <c r="C4" s="329" t="str">
        <f t="shared" ref="C4:C9" si="0">IF(B4&gt;9.9,CONCATENATE("+",ROUNDDOWN((B4-10)/2,0)),ROUNDUP((B4-10)/2,0))</f>
        <v>+1</v>
      </c>
      <c r="D4" s="319" t="s">
        <v>14</v>
      </c>
      <c r="E4" s="328">
        <v>13</v>
      </c>
      <c r="F4" s="327">
        <v>13</v>
      </c>
      <c r="G4" s="326"/>
    </row>
    <row r="5" spans="1:7" ht="16.5">
      <c r="A5" s="325" t="s">
        <v>3</v>
      </c>
      <c r="B5" s="316">
        <v>15</v>
      </c>
      <c r="C5" s="320" t="str">
        <f t="shared" si="0"/>
        <v>+2</v>
      </c>
      <c r="D5" s="324" t="s">
        <v>176</v>
      </c>
      <c r="E5" s="313" t="s">
        <v>184</v>
      </c>
      <c r="F5" s="322"/>
      <c r="G5" s="304"/>
    </row>
    <row r="6" spans="1:7" ht="16.5">
      <c r="A6" s="323" t="s">
        <v>12</v>
      </c>
      <c r="B6" s="316">
        <v>15</v>
      </c>
      <c r="C6" s="320" t="str">
        <f t="shared" si="0"/>
        <v>+2</v>
      </c>
      <c r="D6" s="319" t="s">
        <v>175</v>
      </c>
      <c r="E6" s="318">
        <v>3</v>
      </c>
      <c r="F6" s="322"/>
      <c r="G6" s="304"/>
    </row>
    <row r="7" spans="1:7" ht="16.5">
      <c r="A7" s="321" t="s">
        <v>13</v>
      </c>
      <c r="B7" s="316">
        <v>2</v>
      </c>
      <c r="C7" s="320">
        <f t="shared" si="0"/>
        <v>-4</v>
      </c>
      <c r="D7" s="319" t="s">
        <v>174</v>
      </c>
      <c r="E7" s="318">
        <v>5</v>
      </c>
      <c r="F7" s="307"/>
      <c r="G7" s="304"/>
    </row>
    <row r="8" spans="1:7" ht="16.5">
      <c r="A8" s="317" t="s">
        <v>15</v>
      </c>
      <c r="B8" s="316">
        <v>12</v>
      </c>
      <c r="C8" s="315" t="str">
        <f t="shared" si="0"/>
        <v>+1</v>
      </c>
      <c r="D8" s="314" t="s">
        <v>173</v>
      </c>
      <c r="E8" s="313" t="s">
        <v>172</v>
      </c>
      <c r="F8" s="307"/>
      <c r="G8" s="304"/>
    </row>
    <row r="9" spans="1:7" ht="17.25" thickBot="1">
      <c r="A9" s="312" t="s">
        <v>11</v>
      </c>
      <c r="B9" s="311">
        <v>6</v>
      </c>
      <c r="C9" s="310">
        <f t="shared" si="0"/>
        <v>-2</v>
      </c>
      <c r="D9" s="309" t="s">
        <v>171</v>
      </c>
      <c r="E9" s="308">
        <v>1</v>
      </c>
      <c r="F9" s="307"/>
      <c r="G9" s="304"/>
    </row>
    <row r="10" spans="1:7" ht="17.25" thickTop="1">
      <c r="A10" s="303" t="s">
        <v>187</v>
      </c>
      <c r="B10" s="302"/>
      <c r="C10" s="302"/>
      <c r="D10" s="302"/>
      <c r="E10" s="301"/>
      <c r="F10" s="307"/>
      <c r="G10" s="304"/>
    </row>
    <row r="11" spans="1:7" ht="16.5">
      <c r="A11" s="303" t="s">
        <v>188</v>
      </c>
      <c r="B11" s="302"/>
      <c r="C11" s="302"/>
      <c r="D11" s="302"/>
      <c r="E11" s="301"/>
      <c r="F11" s="305"/>
      <c r="G11" s="304"/>
    </row>
    <row r="12" spans="1:7" ht="16.5">
      <c r="A12" s="303"/>
      <c r="B12" s="302"/>
      <c r="C12" s="302"/>
      <c r="D12" s="302"/>
      <c r="E12" s="301"/>
      <c r="F12" s="302"/>
      <c r="G12" s="301"/>
    </row>
    <row r="13" spans="1:7" ht="17.25" thickBot="1">
      <c r="A13" s="300"/>
      <c r="B13" s="299"/>
      <c r="C13" s="299"/>
      <c r="D13" s="299"/>
      <c r="E13" s="298"/>
      <c r="F13" s="299"/>
      <c r="G13" s="298"/>
    </row>
    <row r="14" spans="1:7" ht="16.5"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Animal</vt:lpstr>
      <vt:lpstr>Animal!Print_Area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2014-07-31T19:39:00Z</cp:lastPrinted>
  <dcterms:created xsi:type="dcterms:W3CDTF">2000-10-24T15:39:59Z</dcterms:created>
  <dcterms:modified xsi:type="dcterms:W3CDTF">2014-12-09T01:36:00Z</dcterms:modified>
</cp:coreProperties>
</file>