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0308" yWindow="-12" windowWidth="10200" windowHeight="8736" tabRatio="638"/>
  </bookViews>
  <sheets>
    <sheet name="Personal File" sheetId="4" r:id="rId1"/>
    <sheet name="Skills" sheetId="15" r:id="rId2"/>
    <sheet name="Spells" sheetId="21" r:id="rId3"/>
    <sheet name="Feats" sheetId="20" r:id="rId4"/>
    <sheet name="Martial" sheetId="6" r:id="rId5"/>
    <sheet name="Equipment" sheetId="19" r:id="rId6"/>
    <sheet name="Mount" sheetId="22" r:id="rId7"/>
  </sheets>
  <definedNames>
    <definedName name="OLE_LINK1" localSheetId="3">Feats!$P$10</definedName>
    <definedName name="_xlnm.Print_Area" localSheetId="5">Equipment!#REF!</definedName>
    <definedName name="_xlnm.Print_Area" localSheetId="3">Feats!#REF!</definedName>
    <definedName name="_xlnm.Print_Area" localSheetId="4">Martial!#REF!</definedName>
    <definedName name="_xlnm.Print_Area" localSheetId="6">Mount!$A$1:$H$12</definedName>
    <definedName name="_xlnm.Print_Area" localSheetId="0">'Personal File'!$A$1:$H$12</definedName>
    <definedName name="_xlnm.Print_Area" localSheetId="1">Skills!$A$1:$K$29</definedName>
    <definedName name="_xlnm.Print_Area" localSheetId="2">Spells!$A$1:$I$14</definedName>
  </definedNames>
  <calcPr calcId="145621"/>
</workbook>
</file>

<file path=xl/calcChain.xml><?xml version="1.0" encoding="utf-8"?>
<calcChain xmlns="http://schemas.openxmlformats.org/spreadsheetml/2006/main">
  <c r="B9" i="4" l="1"/>
  <c r="B6" i="4" l="1"/>
  <c r="B8" i="4"/>
  <c r="F41" i="15" l="1"/>
  <c r="F35" i="15"/>
  <c r="F28" i="15"/>
  <c r="F23" i="15"/>
  <c r="F21" i="15"/>
  <c r="F9" i="15"/>
  <c r="F7" i="15"/>
  <c r="F16" i="15"/>
  <c r="I3" i="6" l="1"/>
  <c r="I4" i="6"/>
  <c r="G7" i="19" l="1"/>
  <c r="I14" i="6" l="1"/>
  <c r="F3" i="15" l="1"/>
  <c r="F4" i="15"/>
  <c r="B7" i="4" l="1"/>
  <c r="I9" i="6" l="1"/>
  <c r="I7" i="20" l="1"/>
  <c r="F5" i="15" l="1"/>
  <c r="G8" i="19"/>
  <c r="C7" i="20" l="1"/>
  <c r="C8" i="20"/>
  <c r="E54" i="15" l="1"/>
  <c r="H14" i="20" l="1"/>
  <c r="H15" i="20" s="1"/>
  <c r="H12" i="20"/>
  <c r="H13" i="20" s="1"/>
  <c r="H11" i="20"/>
  <c r="H10" i="20"/>
  <c r="I6" i="6" l="1"/>
  <c r="I5" i="6"/>
  <c r="I8" i="6" l="1"/>
  <c r="I7" i="6"/>
  <c r="B44" i="15" l="1"/>
  <c r="H25" i="15"/>
  <c r="B12" i="4" l="1"/>
  <c r="B11" i="4" l="1"/>
  <c r="G7" i="20" l="1"/>
  <c r="H7" i="20"/>
  <c r="J7" i="20"/>
  <c r="K7" i="20"/>
  <c r="L7" i="20"/>
  <c r="M7" i="20"/>
  <c r="N7" i="20"/>
  <c r="I10" i="6" l="1"/>
  <c r="M13" i="6" l="1"/>
  <c r="G23" i="19" l="1"/>
  <c r="G25" i="19" s="1"/>
  <c r="G13" i="6"/>
  <c r="C9" i="22"/>
  <c r="C8" i="22"/>
  <c r="C7" i="22"/>
  <c r="C6" i="22"/>
  <c r="C5" i="22"/>
  <c r="C4" i="22"/>
  <c r="E55" i="15" l="1"/>
  <c r="H31" i="15"/>
  <c r="H30" i="15"/>
  <c r="H29" i="15"/>
  <c r="H28" i="15"/>
  <c r="H27" i="15"/>
  <c r="H26" i="15"/>
  <c r="H24" i="15"/>
  <c r="H23" i="15"/>
  <c r="H22" i="15"/>
  <c r="H21" i="15"/>
  <c r="H20" i="15"/>
  <c r="H19" i="15"/>
  <c r="H18" i="15"/>
  <c r="H17" i="15"/>
  <c r="H16" i="15"/>
  <c r="H15" i="15"/>
  <c r="H14" i="15"/>
  <c r="H13" i="15"/>
  <c r="H12" i="15"/>
  <c r="H11" i="15"/>
  <c r="H10" i="15"/>
  <c r="H40" i="15"/>
  <c r="I16" i="6" l="1"/>
  <c r="I13" i="6"/>
  <c r="H43" i="15" l="1"/>
  <c r="H42" i="15"/>
  <c r="H41" i="15"/>
  <c r="H39" i="15"/>
  <c r="H38" i="15"/>
  <c r="H37" i="15"/>
  <c r="H36" i="15"/>
  <c r="H35" i="15"/>
  <c r="H34" i="15"/>
  <c r="H33" i="15"/>
  <c r="H32" i="15"/>
  <c r="H9" i="15"/>
  <c r="H8" i="15"/>
  <c r="H5" i="15"/>
  <c r="H4" i="15"/>
  <c r="H3" i="15"/>
  <c r="H7" i="15"/>
  <c r="H6" i="15"/>
  <c r="C12" i="4" l="1"/>
  <c r="C11" i="4"/>
  <c r="C10" i="4"/>
  <c r="C9" i="4"/>
  <c r="E9" i="4" s="1"/>
  <c r="C8" i="4"/>
  <c r="C7" i="4"/>
  <c r="E10" i="4" l="1"/>
  <c r="E12" i="4" s="1"/>
  <c r="E11" i="4" s="1"/>
  <c r="H15" i="6"/>
  <c r="H13" i="6"/>
  <c r="J13" i="6" s="1"/>
  <c r="H14" i="6"/>
  <c r="J14" i="6" s="1"/>
  <c r="H16" i="6"/>
  <c r="J16" i="6" s="1"/>
  <c r="C9" i="6"/>
  <c r="C8" i="6"/>
  <c r="H9" i="6"/>
  <c r="J9" i="6" s="1"/>
  <c r="H10" i="6"/>
  <c r="J10" i="6" s="1"/>
  <c r="H5" i="6"/>
  <c r="J5" i="6" s="1"/>
  <c r="H8" i="6"/>
  <c r="J8" i="6" s="1"/>
  <c r="H4" i="6"/>
  <c r="J4" i="6" s="1"/>
  <c r="H3" i="6"/>
  <c r="J3" i="6" s="1"/>
  <c r="H6" i="6"/>
  <c r="J6" i="6" s="1"/>
  <c r="H7" i="6"/>
  <c r="J7" i="6" s="1"/>
  <c r="C6" i="6"/>
  <c r="C4" i="6"/>
  <c r="C7" i="6"/>
  <c r="C5" i="6"/>
  <c r="C3" i="6"/>
  <c r="E53" i="15"/>
  <c r="D25" i="15"/>
  <c r="E45" i="15"/>
  <c r="C4" i="20"/>
  <c r="C5" i="20"/>
  <c r="C6" i="20"/>
  <c r="C3" i="20"/>
  <c r="D6" i="15"/>
  <c r="G6" i="15" s="1"/>
  <c r="E51" i="15"/>
  <c r="E47" i="15"/>
  <c r="E50" i="15"/>
  <c r="E46" i="15"/>
  <c r="E52" i="15"/>
  <c r="D26" i="15"/>
  <c r="E49" i="15"/>
  <c r="E48" i="15"/>
  <c r="D4" i="15"/>
  <c r="D5" i="15"/>
  <c r="D3" i="15"/>
  <c r="E8" i="4"/>
  <c r="D24" i="15"/>
  <c r="D37" i="15"/>
  <c r="D39" i="15"/>
  <c r="D36" i="15"/>
  <c r="B22" i="19"/>
  <c r="D31" i="15"/>
  <c r="D41" i="15"/>
  <c r="D38" i="15"/>
  <c r="D40" i="15"/>
  <c r="D33" i="15"/>
  <c r="D19" i="15"/>
  <c r="D42" i="15"/>
  <c r="D29" i="15"/>
  <c r="D35" i="15"/>
  <c r="D14" i="15"/>
  <c r="D12" i="15"/>
  <c r="D43" i="15"/>
  <c r="D34" i="15"/>
  <c r="D32" i="15"/>
  <c r="D30" i="15"/>
  <c r="D28" i="15"/>
  <c r="D27" i="15"/>
  <c r="D23" i="15"/>
  <c r="D22" i="15"/>
  <c r="D21" i="15"/>
  <c r="D20" i="15"/>
  <c r="D18" i="15"/>
  <c r="D17" i="15"/>
  <c r="D16" i="15"/>
  <c r="D15" i="15"/>
  <c r="D13" i="15"/>
  <c r="D11" i="15"/>
  <c r="D10" i="15"/>
  <c r="D9" i="15"/>
  <c r="D8" i="15"/>
  <c r="D7" i="15"/>
  <c r="G25" i="15" l="1"/>
  <c r="I25" i="15" s="1"/>
  <c r="E25" i="15"/>
  <c r="B22" i="6"/>
  <c r="E6" i="15"/>
  <c r="G26" i="15"/>
  <c r="I26" i="15" s="1"/>
  <c r="E26" i="15"/>
  <c r="E44" i="15"/>
  <c r="I6" i="15"/>
  <c r="E22" i="15"/>
  <c r="G22" i="15"/>
  <c r="E8" i="15"/>
  <c r="G8" i="15"/>
  <c r="E18" i="15"/>
  <c r="G18" i="15"/>
  <c r="E23" i="15"/>
  <c r="G23" i="15"/>
  <c r="E32" i="15"/>
  <c r="G32" i="15"/>
  <c r="E14" i="15"/>
  <c r="G14" i="15"/>
  <c r="E19" i="15"/>
  <c r="G19" i="15"/>
  <c r="E41" i="15"/>
  <c r="G41" i="15"/>
  <c r="E39" i="15"/>
  <c r="G39" i="15"/>
  <c r="E24" i="15"/>
  <c r="G24" i="15"/>
  <c r="E11" i="15"/>
  <c r="G11" i="15"/>
  <c r="E12" i="15"/>
  <c r="G12" i="15"/>
  <c r="E9" i="15"/>
  <c r="G9" i="15"/>
  <c r="E20" i="15"/>
  <c r="G20" i="15"/>
  <c r="E34" i="15"/>
  <c r="G34" i="15"/>
  <c r="E33" i="15"/>
  <c r="G33" i="15"/>
  <c r="E31" i="15"/>
  <c r="G31" i="15"/>
  <c r="E4" i="15"/>
  <c r="G4" i="15"/>
  <c r="E7" i="15"/>
  <c r="G7" i="15"/>
  <c r="E30" i="15"/>
  <c r="G30" i="15"/>
  <c r="E13" i="15"/>
  <c r="G13" i="15"/>
  <c r="E15" i="15"/>
  <c r="G15" i="15"/>
  <c r="E27" i="15"/>
  <c r="G27" i="15"/>
  <c r="E35" i="15"/>
  <c r="G35" i="15"/>
  <c r="E10" i="15"/>
  <c r="G10" i="15"/>
  <c r="E16" i="15"/>
  <c r="G16" i="15"/>
  <c r="E21" i="15"/>
  <c r="G21" i="15"/>
  <c r="E28" i="15"/>
  <c r="G28" i="15"/>
  <c r="E43" i="15"/>
  <c r="G43" i="15"/>
  <c r="E29" i="15"/>
  <c r="G29" i="15"/>
  <c r="E40" i="15"/>
  <c r="G40" i="15"/>
  <c r="E37" i="15"/>
  <c r="G37" i="15"/>
  <c r="E17" i="15"/>
  <c r="G17" i="15"/>
  <c r="E42" i="15"/>
  <c r="G42" i="15"/>
  <c r="E38" i="15"/>
  <c r="G38" i="15"/>
  <c r="E36" i="15"/>
  <c r="G36" i="15"/>
  <c r="E3" i="15"/>
  <c r="G3" i="15"/>
  <c r="E5" i="15"/>
  <c r="G5" i="15"/>
  <c r="I3" i="15" l="1"/>
  <c r="I28" i="15"/>
  <c r="I16" i="15"/>
  <c r="I15" i="15"/>
  <c r="I30" i="15"/>
  <c r="I38" i="15"/>
  <c r="I17" i="15"/>
  <c r="I40" i="15"/>
  <c r="I43" i="15"/>
  <c r="I21" i="15"/>
  <c r="I10" i="15"/>
  <c r="I27" i="15"/>
  <c r="I13" i="15"/>
  <c r="I7" i="15"/>
  <c r="I31" i="15"/>
  <c r="I34" i="15"/>
  <c r="I9" i="15"/>
  <c r="I11" i="15"/>
  <c r="I39" i="15"/>
  <c r="I19" i="15"/>
  <c r="I32" i="15"/>
  <c r="I36" i="15"/>
  <c r="I37" i="15"/>
  <c r="I29" i="15"/>
  <c r="I35" i="15"/>
  <c r="I4" i="15"/>
  <c r="I33" i="15"/>
  <c r="I20" i="15"/>
  <c r="I12" i="15"/>
  <c r="I24" i="15"/>
  <c r="I41" i="15"/>
  <c r="I14" i="15"/>
  <c r="I23" i="15"/>
  <c r="I5" i="15"/>
  <c r="I42" i="15"/>
  <c r="I8" i="15"/>
  <c r="I18" i="15"/>
  <c r="I22" i="15"/>
</calcChain>
</file>

<file path=xl/comments1.xml><?xml version="1.0" encoding="utf-8"?>
<comments xmlns="http://schemas.openxmlformats.org/spreadsheetml/2006/main">
  <authors>
    <author>Alexis Álvarez</author>
  </authors>
  <commentList>
    <comment ref="C6" authorId="0">
      <text>
        <r>
          <rPr>
            <i/>
            <sz val="12"/>
            <color indexed="81"/>
            <rFont val="Times New Roman"/>
            <family val="1"/>
          </rPr>
          <t>bless +1
shaken -2
inspired greatness +2
enlarge person -1</t>
        </r>
      </text>
    </comment>
    <comment ref="B7" authorId="0">
      <text>
        <r>
          <rPr>
            <i/>
            <sz val="12"/>
            <color indexed="81"/>
            <rFont val="Times New Roman"/>
            <family val="1"/>
          </rPr>
          <t>bull’s strength +4
enlarge person +2</t>
        </r>
      </text>
    </comment>
    <comment ref="E7" authorId="0">
      <text>
        <r>
          <rPr>
            <sz val="12"/>
            <color indexed="81"/>
            <rFont val="Times New Roman"/>
            <family val="1"/>
          </rPr>
          <t>See PHB 162</t>
        </r>
      </text>
    </comment>
    <comment ref="B8" authorId="0">
      <text>
        <r>
          <rPr>
            <sz val="12"/>
            <color indexed="81"/>
            <rFont val="Times New Roman"/>
            <family val="1"/>
          </rPr>
          <t xml:space="preserve">Gloves of Dexterity +2
</t>
        </r>
        <r>
          <rPr>
            <i/>
            <sz val="12"/>
            <color indexed="81"/>
            <rFont val="Times New Roman"/>
            <family val="1"/>
          </rPr>
          <t>enlarge person -2</t>
        </r>
      </text>
    </comment>
    <comment ref="B9" authorId="0">
      <text>
        <r>
          <rPr>
            <i/>
            <sz val="12"/>
            <color indexed="81"/>
            <rFont val="Times New Roman"/>
            <family val="1"/>
          </rPr>
          <t>cloudkill -2</t>
        </r>
      </text>
    </comment>
    <comment ref="E9" authorId="0">
      <text>
        <r>
          <rPr>
            <sz val="12"/>
            <color indexed="81"/>
            <rFont val="Times New Roman"/>
            <family val="1"/>
          </rPr>
          <t>[(5 * 10 Paladin) * 75%] + [(5 * 10 Pious Templar) * 75%] + (10 * 2 Con) + 10 Improved Toughness</t>
        </r>
      </text>
    </comment>
    <comment ref="E10" authorId="0">
      <text>
        <r>
          <rPr>
            <sz val="12"/>
            <color indexed="81"/>
            <rFont val="Times New Roman"/>
            <family val="1"/>
          </rPr>
          <t>Protection from Evil +2</t>
        </r>
      </text>
    </comment>
    <comment ref="E11" authorId="0">
      <text>
        <r>
          <rPr>
            <sz val="12"/>
            <color indexed="81"/>
            <rFont val="Times New Roman"/>
            <family val="1"/>
          </rPr>
          <t>Protection from Evil +2</t>
        </r>
      </text>
    </comment>
    <comment ref="B12" authorId="0">
      <text>
        <r>
          <rPr>
            <sz val="12"/>
            <color indexed="81"/>
            <rFont val="Times New Roman"/>
            <family val="1"/>
          </rPr>
          <t>Cloak of Charisma +2</t>
        </r>
      </text>
    </comment>
    <comment ref="E12" authorId="0">
      <text>
        <r>
          <rPr>
            <sz val="12"/>
            <color indexed="81"/>
            <rFont val="Times New Roman"/>
            <family val="1"/>
          </rPr>
          <t>Protection from Evil +2</t>
        </r>
      </text>
    </comment>
  </commentList>
</comments>
</file>

<file path=xl/comments2.xml><?xml version="1.0" encoding="utf-8"?>
<comments xmlns="http://schemas.openxmlformats.org/spreadsheetml/2006/main">
  <authors>
    <author>Alexis Álvarez</author>
  </authors>
  <commentList>
    <comment ref="F3" authorId="0">
      <text>
        <r>
          <rPr>
            <i/>
            <sz val="12"/>
            <color indexed="81"/>
            <rFont val="Times New Roman"/>
            <family val="1"/>
          </rPr>
          <t>inspired greatness +1
vest of resistance +2</t>
        </r>
      </text>
    </comment>
    <comment ref="F4" authorId="0">
      <text>
        <r>
          <rPr>
            <i/>
            <sz val="12"/>
            <color indexed="81"/>
            <rFont val="Times New Roman"/>
            <family val="1"/>
          </rPr>
          <t>vest of resistance +2
nightshield +3
haste +1</t>
        </r>
      </text>
    </comment>
    <comment ref="F5" authorId="0">
      <text>
        <r>
          <rPr>
            <i/>
            <sz val="12"/>
            <color indexed="81"/>
            <rFont val="Times New Roman"/>
            <family val="1"/>
          </rPr>
          <t>vest of resistance +2</t>
        </r>
      </text>
    </comment>
    <comment ref="F7" authorId="0">
      <text>
        <r>
          <rPr>
            <sz val="12"/>
            <color indexed="81"/>
            <rFont val="Times New Roman"/>
            <family val="1"/>
          </rPr>
          <t>Full Plate +1 (-5)</t>
        </r>
      </text>
    </comment>
    <comment ref="F9" authorId="0">
      <text>
        <r>
          <rPr>
            <sz val="12"/>
            <color indexed="81"/>
            <rFont val="Times New Roman"/>
            <family val="1"/>
          </rPr>
          <t>Full Plate +1 (-5)</t>
        </r>
      </text>
    </comment>
    <comment ref="F16" authorId="0">
      <text>
        <r>
          <rPr>
            <sz val="12"/>
            <color indexed="81"/>
            <rFont val="Times New Roman"/>
            <family val="1"/>
          </rPr>
          <t>Full Plate +1 (-5)</t>
        </r>
      </text>
    </comment>
    <comment ref="F21" authorId="0">
      <text>
        <r>
          <rPr>
            <sz val="12"/>
            <color indexed="81"/>
            <rFont val="Times New Roman"/>
            <family val="1"/>
          </rPr>
          <t>Full Plate +1 (-5)</t>
        </r>
      </text>
    </comment>
    <comment ref="F23" authorId="0">
      <text>
        <r>
          <rPr>
            <sz val="12"/>
            <color indexed="81"/>
            <rFont val="Times New Roman"/>
            <family val="1"/>
          </rPr>
          <t>Full Plate +1 (-5)</t>
        </r>
      </text>
    </comment>
    <comment ref="F28" authorId="0">
      <text>
        <r>
          <rPr>
            <sz val="12"/>
            <color indexed="81"/>
            <rFont val="Times New Roman"/>
            <family val="1"/>
          </rPr>
          <t>Full Plate +1 (-5)</t>
        </r>
      </text>
    </comment>
    <comment ref="F35" authorId="0">
      <text>
        <r>
          <rPr>
            <sz val="12"/>
            <color indexed="81"/>
            <rFont val="Times New Roman"/>
            <family val="1"/>
          </rPr>
          <t>Full Plate +1 (-5)</t>
        </r>
      </text>
    </comment>
    <comment ref="F41" authorId="0">
      <text>
        <r>
          <rPr>
            <sz val="12"/>
            <color indexed="81"/>
            <rFont val="Times New Roman"/>
            <family val="1"/>
          </rPr>
          <t>Full Plate +1 (-5)</t>
        </r>
      </text>
    </comment>
  </commentList>
</comments>
</file>

<file path=xl/comments3.xml><?xml version="1.0" encoding="utf-8"?>
<comments xmlns="http://schemas.openxmlformats.org/spreadsheetml/2006/main">
  <authors>
    <author>Alexis Álvarez</author>
  </authors>
  <commentList>
    <comment ref="D5" authorId="0">
      <text>
        <r>
          <rPr>
            <sz val="12"/>
            <color indexed="81"/>
            <rFont val="Times New Roman"/>
            <family val="1"/>
          </rPr>
          <t>Pure Water</t>
        </r>
      </text>
    </comment>
    <comment ref="D11" authorId="0">
      <text>
        <r>
          <rPr>
            <sz val="12"/>
            <color indexed="81"/>
            <rFont val="Times New Roman"/>
            <family val="1"/>
          </rPr>
          <t>Earth from grave</t>
        </r>
      </text>
    </comment>
    <comment ref="D15" authorId="0">
      <text>
        <r>
          <rPr>
            <sz val="12"/>
            <color indexed="81"/>
            <rFont val="Times New Roman"/>
            <family val="1"/>
          </rPr>
          <t>Imbued weapon</t>
        </r>
      </text>
    </comment>
    <comment ref="D18" authorId="0">
      <text>
        <r>
          <rPr>
            <sz val="12"/>
            <color indexed="81"/>
            <rFont val="Times New Roman"/>
            <family val="1"/>
          </rPr>
          <t>Prism, lens, or monocle</t>
        </r>
      </text>
    </comment>
    <comment ref="H22" authorId="0">
      <text>
        <r>
          <rPr>
            <sz val="12"/>
            <color indexed="81"/>
            <rFont val="Times New Roman"/>
            <family val="1"/>
          </rPr>
          <t>See Righteous Fury in Miniatures Handbook</t>
        </r>
      </text>
    </comment>
    <comment ref="D25" authorId="0">
      <text>
        <r>
          <rPr>
            <sz val="12"/>
            <color indexed="81"/>
            <rFont val="Times New Roman"/>
            <family val="1"/>
          </rPr>
          <t>Bull-shit or bull-hair</t>
        </r>
      </text>
    </comment>
  </commentList>
</comments>
</file>

<file path=xl/comments4.xml><?xml version="1.0" encoding="utf-8"?>
<comments xmlns="http://schemas.openxmlformats.org/spreadsheetml/2006/main">
  <authors>
    <author>Alexis Álvarez</author>
  </authors>
  <commentList>
    <comment ref="P2" authorId="0">
      <text>
        <r>
          <rPr>
            <sz val="12"/>
            <color indexed="81"/>
            <rFont val="Times New Roman"/>
            <family val="1"/>
          </rPr>
          <t xml:space="preserve">You can make exceptionally powerful melee attacks.
Prerequisite:  Str 13.
</t>
        </r>
        <r>
          <rPr>
            <b/>
            <sz val="12"/>
            <color indexed="81"/>
            <rFont val="Times New Roman"/>
            <family val="1"/>
          </rPr>
          <t xml:space="preserve">Benefit:  </t>
        </r>
        <r>
          <rPr>
            <sz val="12"/>
            <color indexed="81"/>
            <rFont val="Times New Roman"/>
            <family val="1"/>
          </rPr>
          <t xml:space="preserve">On your action, before making attack rolls for a round, you may choose to subtract a number from all melee attack rolls and add the same number to all melee damage rolls. This number may not exceed your base attack bonus. The penalty on attacks and bonus on damage apply until your next turn.
</t>
        </r>
        <r>
          <rPr>
            <b/>
            <sz val="12"/>
            <color indexed="81"/>
            <rFont val="Times New Roman"/>
            <family val="1"/>
          </rPr>
          <t xml:space="preserve">Special:  </t>
        </r>
        <r>
          <rPr>
            <sz val="12"/>
            <color indexed="81"/>
            <rFont val="Times New Roman"/>
            <family val="1"/>
          </rPr>
          <t>If you attack with a two-handed weapon, or with a one-handed weapon wielded in two hands, instead add twice the number subtracted from your attack rolls. You can’t add the bonus from Power Attack to the damage dealt with a light weapon (except with unarmed strikes or natural weapon attacks), even though the penalty on attack rolls still applies. (Normally, you treat a double weapon as a one-handed weapon and a light weapon. If you choose to use a double weapon like a two-handed weapon, attacking with only one end of it in a round, you treat it as a two-handed weapon.)
A fighter may select Power Attack as one of his fighter bonus feats (see page 38).
PHB 98</t>
        </r>
      </text>
    </comment>
    <comment ref="P3" authorId="0">
      <text>
        <r>
          <rPr>
            <sz val="12"/>
            <color indexed="81"/>
            <rFont val="Times New Roman"/>
            <family val="1"/>
          </rPr>
          <t xml:space="preserve">Your deity rewards your unquestioning faith and dedication.
</t>
        </r>
        <r>
          <rPr>
            <b/>
            <sz val="12"/>
            <color indexed="81"/>
            <rFont val="Times New Roman"/>
            <family val="1"/>
          </rPr>
          <t xml:space="preserve">Prerequisite:  </t>
        </r>
        <r>
          <rPr>
            <sz val="12"/>
            <color indexed="81"/>
            <rFont val="Times New Roman"/>
            <family val="1"/>
          </rPr>
          <t xml:space="preserve">Must choose a single deity to worship.  Must be within one step of that god’s alignment.
</t>
        </r>
        <r>
          <rPr>
            <b/>
            <sz val="12"/>
            <color indexed="81"/>
            <rFont val="Times New Roman"/>
            <family val="1"/>
          </rPr>
          <t xml:space="preserve">Benefit:  </t>
        </r>
        <r>
          <rPr>
            <sz val="12"/>
            <color indexed="81"/>
            <rFont val="Times New Roman"/>
            <family val="1"/>
          </rPr>
          <t>Once per day when you are about to make a saving throw you may declare that you are using this feat to gain a +2 insight bonus on that saving throw.
This feat also allows you to use a relic (see relics, page 88) of the deity you worship.
Complete Divine 86</t>
        </r>
      </text>
    </comment>
    <comment ref="P4" authorId="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 ref="P5" authorId="0">
      <text>
        <r>
          <rPr>
            <sz val="12"/>
            <color indexed="81"/>
            <rFont val="Times New Roman"/>
            <family val="1"/>
          </rPr>
          <t xml:space="preserve">You are significantly tougher than normal.
</t>
        </r>
        <r>
          <rPr>
            <b/>
            <sz val="12"/>
            <color indexed="81"/>
            <rFont val="Times New Roman"/>
            <family val="1"/>
          </rPr>
          <t xml:space="preserve">Prerequisite:  </t>
        </r>
        <r>
          <rPr>
            <sz val="12"/>
            <color indexed="81"/>
            <rFont val="Times New Roman"/>
            <family val="1"/>
          </rPr>
          <t xml:space="preserve">Base Fortitude save bonus +2.
</t>
        </r>
        <r>
          <rPr>
            <b/>
            <sz val="12"/>
            <color indexed="81"/>
            <rFont val="Times New Roman"/>
            <family val="1"/>
          </rPr>
          <t xml:space="preserve">Benefit:  </t>
        </r>
        <r>
          <rPr>
            <sz val="12"/>
            <color indexed="81"/>
            <rFont val="Times New Roman"/>
            <family val="1"/>
          </rPr>
          <t xml:space="preserve">You gain a number of hit points equal to your current Hit Dice.  Each time you gain a HD (such as by gaining a level), you gain 1 additional hit point. If you lose a HD (such as by losing a level), you lose 1 hit point permanently.
</t>
        </r>
        <r>
          <rPr>
            <b/>
            <sz val="12"/>
            <color indexed="81"/>
            <rFont val="Times New Roman"/>
            <family val="1"/>
          </rPr>
          <t xml:space="preserve">Special:  </t>
        </r>
        <r>
          <rPr>
            <sz val="12"/>
            <color indexed="81"/>
            <rFont val="Times New Roman"/>
            <family val="1"/>
          </rPr>
          <t>A fighter may select Improved Toughness as one of his fighter bonus feats.
Complete Warrior 101</t>
        </r>
      </text>
    </comment>
    <comment ref="P6" authorId="0">
      <text>
        <r>
          <rPr>
            <sz val="12"/>
            <color indexed="81"/>
            <rFont val="Times New Roman"/>
            <family val="1"/>
          </rPr>
          <t xml:space="preserve">You can channel positive energy to grant nearby living creatures the ability to recover from their wounds quickly.
</t>
        </r>
        <r>
          <rPr>
            <b/>
            <sz val="12"/>
            <color indexed="81"/>
            <rFont val="Times New Roman"/>
            <family val="1"/>
          </rPr>
          <t>Prerequisites:</t>
        </r>
        <r>
          <rPr>
            <sz val="12"/>
            <color indexed="81"/>
            <rFont val="Times New Roman"/>
            <family val="1"/>
          </rPr>
          <t xml:space="preserve">  Heal 8 ranks, ability to turn undead.
</t>
        </r>
        <r>
          <rPr>
            <b/>
            <sz val="12"/>
            <color indexed="81"/>
            <rFont val="Times New Roman"/>
            <family val="1"/>
          </rPr>
          <t>Benefit:</t>
        </r>
        <r>
          <rPr>
            <sz val="12"/>
            <color indexed="81"/>
            <rFont val="Times New Roman"/>
            <family val="1"/>
          </rPr>
          <t xml:space="preserve">  You can spend a turn attempt as a full-round action to grant fast healing 3 to all living creatures within a 60’ burst.  The fast healing lasts for a number of rounds equal to 1 + your Cha modifier (minimum 1 round).
Complete Divine 84</t>
        </r>
      </text>
    </comment>
    <comment ref="P9" authorId="0">
      <text>
        <r>
          <rPr>
            <sz val="12"/>
            <color indexed="81"/>
            <rFont val="Times New Roman"/>
            <family val="1"/>
          </rPr>
          <t>The power of a paladin’s aura of evil (see the detect evil spell) is equal to her paladin level, just like the aura of a cleric of an evil deity.
PHB 44</t>
        </r>
      </text>
    </comment>
    <comment ref="P10" authorId="0">
      <text>
        <r>
          <rPr>
            <sz val="12"/>
            <color indexed="81"/>
            <rFont val="Times New Roman"/>
            <family val="1"/>
          </rPr>
          <t>Beginning at 2nd level, a paladin with a Charisma score of 12 or higher can heal wounds (her own or those of others) by touch.  Each day she can heal a total number of hit points of damage equal to her paladin level × her Charisma bonus.  For example, a 7th-level paladin with a 16 Charisma (+3 bonus) can heal 21 points of damage per day.  A paladin may choose to divide her healing among multiple recipients, and she doesn’t have to use it all at once.  Using lay on hands is a standard action.
Alternatively, a paladin can use any or all of this healing power to deal damage to undead creatures.  Using lay on hands in this way requires a successful melee touch attack and doesn’t provoke an attack of opportunity.  The paladin decides how many of her daily allotment of points to use as damage after successfully touching an undead creature.  
PHB 44</t>
        </r>
      </text>
    </comment>
    <comment ref="P11" authorId="0">
      <text>
        <r>
          <rPr>
            <sz val="12"/>
            <color indexed="81"/>
            <rFont val="Times New Roman"/>
            <family val="1"/>
          </rPr>
          <t>A paladin must be of lawful good alignment and loses all class abilities if she ever willingly commits an evil act. Additionally, a paladin’s code requires that she respect legitimate authority, act with honor (not lying, not cheating, not using poison, and so forth), help those in need (provided they do not use the help for evil or chaotic ends), and punish those who harm or threaten innocents.
PHB 44</t>
        </r>
      </text>
    </comment>
    <comment ref="P12" authorId="0">
      <text>
        <r>
          <rPr>
            <sz val="12"/>
            <color indexed="81"/>
            <rFont val="Times New Roman"/>
            <family val="1"/>
          </rPr>
          <t>At will, a paladin can use detect good, as the spell.
PHB 44</t>
        </r>
      </text>
    </comment>
    <comment ref="H13" authorId="0">
      <text>
        <r>
          <rPr>
            <sz val="12"/>
            <color indexed="81"/>
            <rFont val="Times New Roman"/>
            <family val="1"/>
          </rPr>
          <t>Know: Religion synergy +2</t>
        </r>
      </text>
    </comment>
    <comment ref="P13" authorId="0">
      <text>
        <r>
          <rPr>
            <sz val="12"/>
            <color indexed="81"/>
            <rFont val="Times New Roman"/>
            <family val="1"/>
          </rPr>
          <t>Once per day, a paladin may attempt to smite evil with one normal melee attack.  She adds her Charisma bonus (if any) to her attack roll and deals 1 extra point of damage per paladin level.  For example, a 13th-level paladin armed with a longsword would deal 1d8+13 points of damage, plus any additional bonuses for high Strength or magical affects that would normally apply.  If the paladin accidentally smites a creature that is not evil, the smite has no effect, but the ability is still used up for that day.
At 5th level, and at every five levels thereafter, the paladin may smite evil one additional time per day, as indicated on Table 3–12:  The Paladin, to a maximum of five times per day at 20th level.
PHB 44</t>
        </r>
      </text>
    </comment>
    <comment ref="P14" authorId="0">
      <text>
        <r>
          <rPr>
            <sz val="12"/>
            <color indexed="81"/>
            <rFont val="Times New Roman"/>
            <family val="1"/>
          </rPr>
          <t>At 2nd level, a paladin gains a bonus equal to her Charisma bonus (if any) on all saving throws.
PHB 44</t>
        </r>
      </text>
    </comment>
    <comment ref="P15" authorId="0">
      <text>
        <r>
          <rPr>
            <sz val="12"/>
            <color indexed="81"/>
            <rFont val="Times New Roman"/>
            <family val="1"/>
          </rPr>
          <t>At 3rd level, a paladin gains immunity to all diseases, including supernatural and magical diseases (such as mummy rot and lycanthropy).
PHB 44</t>
        </r>
      </text>
    </comment>
    <comment ref="P16" authorId="0">
      <text>
        <r>
          <rPr>
            <sz val="12"/>
            <color indexed="81"/>
            <rFont val="Times New Roman"/>
            <family val="1"/>
          </rPr>
          <t>Beginning at 3rd level, a paladin is immune to fear (magical or otherwise). Each ally within 10 feet of her gains a +4 morale bonus on saving throws against fear effects.
This ability functions while the paladin is conscious, but not if she is unconscious or dead.
PHB 44</t>
        </r>
      </text>
    </comment>
    <comment ref="P18" authorId="0">
      <text>
        <r>
          <rPr>
            <sz val="12"/>
            <color indexed="81"/>
            <rFont val="Times New Roman"/>
            <family val="1"/>
          </rPr>
          <t>Upon reaching 5th level, a paladin gains the service of an unusually intelligent, strong, and loyal steed to serve her in her crusade against evil (see the sidebar).  This mount is usually a heavy warhorse (for a Medium paladin) or a warpony (for a Small paladin).
Once per day, as a full-round action, a paladin may magically call her mount from the celestial realms in which it resides.  The mount immediately appears adjacent to the paladin and remains for 2 hours per paladin level; it may be dismissed at any time as a free action. The mount is the same creature each time it is summoned, though the paladin may release a particular mount from service (if it has grown too old to join her crusade, for instance). Each time the mount is called, it appears in full health, regardless of any damage it may have taken previously. The mount also appears wearing or carrying any gear it had when it was last dismissed (including barding, saddle, saddlebags, and the like). Calling a mount is a conjuration (calling) effect equal to a spell level 1/3 the paladin level.  Should the paladin’s mount die, it immediately disappears, leaving behind any equipment it was carrying.  The paladin may not summon another mount for thirty days or until she gains a paladin level, whichever comes first, even if the mount is somehow returned from the dead.  During this thirty-day period, the paladin takes a –1 penalty on attack and weapon damage rolls.
PHB 44</t>
        </r>
      </text>
    </comment>
    <comment ref="P19" authorId="0">
      <text>
        <r>
          <rPr>
            <sz val="12"/>
            <color indexed="81"/>
            <rFont val="Times New Roman"/>
            <family val="1"/>
          </rPr>
          <t>When a paladin reaches 4th level, she gains the supernatural ability to turn undead.  She may use this ability a number of times per day equal to 3 + her Charisma modifier.  She turns undead as a cleric of three levels lower would. (See Turn or Rebuke Undead, page 159.)
PHB 44</t>
        </r>
      </text>
    </comment>
    <comment ref="P22" authorId="0">
      <text>
        <r>
          <rPr>
            <sz val="12"/>
            <color indexed="81"/>
            <rFont val="Times New Roman"/>
            <family val="1"/>
          </rPr>
          <t>A pious templar’s special blessing allows her to shrug off magical effects that would otherwise harm her.  If a pious templar makes a successful Will or Fortitude saving throw that would normally reduce the spell’s effect,
she suffers no effect from the spell at all.  Only those spells with a Saving Throw entry of “Will partial,” “Fortitude half,” or similar entries can be negated through this ability.
Complete Divine 50</t>
        </r>
      </text>
    </comment>
    <comment ref="P23" authorId="0">
      <text>
        <r>
          <rPr>
            <sz val="12"/>
            <color indexed="81"/>
            <rFont val="Times New Roman"/>
            <family val="1"/>
          </rPr>
          <t>Once per day, a pious templar of 2nd level or higher may make a single melee attack with a +4 attack bonus and a damage bonus equal to her pious templar level (if she hits).  The pious templar must declare the smite before making the attack.  Starting at 6th level, a pious templar can smite twice per day and at 10th level, three times per day.
If a pious templar has a smite evil or smite ability (for being a paladin or a cleric with the Destruction domain) already, she can use the ability one extra time per day (two extra times at 7th level). The attack bonus does not increase, but the damage bonus is based on the character’s combined level (pious templar level plus cleric or paladin level).
Complete Divine 51</t>
        </r>
      </text>
    </comment>
    <comment ref="P24" authorId="0">
      <text>
        <r>
          <rPr>
            <sz val="12"/>
            <color indexed="81"/>
            <rFont val="Times New Roman"/>
            <family val="1"/>
          </rPr>
          <t xml:space="preserve">Choose one type of weapon, such as greataxe, for which you have already selected the Weapon Focus feat.  You can also choose unarmed strike or grapple as your weapon for purposes of this feat.
You deal extra damage when using this weapon.
</t>
        </r>
        <r>
          <rPr>
            <b/>
            <sz val="12"/>
            <color indexed="81"/>
            <rFont val="Times New Roman"/>
            <family val="1"/>
          </rPr>
          <t>Prerequisites:</t>
        </r>
        <r>
          <rPr>
            <sz val="12"/>
            <color indexed="81"/>
            <rFont val="Times New Roman"/>
            <family val="1"/>
          </rPr>
          <t xml:space="preserve">  Proficiency with selected weapon, Weapon Focus with selected weapon, fighter level 4th.
</t>
        </r>
        <r>
          <rPr>
            <b/>
            <sz val="12"/>
            <color indexed="81"/>
            <rFont val="Times New Roman"/>
            <family val="1"/>
          </rPr>
          <t>Benefit:</t>
        </r>
        <r>
          <rPr>
            <sz val="12"/>
            <color indexed="81"/>
            <rFont val="Times New Roman"/>
            <family val="1"/>
          </rPr>
          <t xml:space="preserve">  You gain a +2 bonus on all damage rolls you make using the selected weapon.
</t>
        </r>
        <r>
          <rPr>
            <b/>
            <sz val="12"/>
            <color indexed="81"/>
            <rFont val="Times New Roman"/>
            <family val="1"/>
          </rPr>
          <t>Special:</t>
        </r>
        <r>
          <rPr>
            <sz val="12"/>
            <color indexed="81"/>
            <rFont val="Times New Roman"/>
            <family val="1"/>
          </rPr>
          <t xml:space="preserve">  You can gain this feat multiple times.  Its effects do not stack.  Each time you take the feat, it applies to a new type of weapon.
A fighter may select Weapon Specialization as one of his fighter bonus feats (see page 38).
PHB 102</t>
        </r>
      </text>
    </comment>
    <comment ref="P25" authorId="0">
      <text>
        <r>
          <rPr>
            <sz val="12"/>
            <color indexed="81"/>
            <rFont val="Times New Roman"/>
            <family val="1"/>
          </rPr>
          <t>Starting at 3rd level, pious templars have the ability to shrug off some amount of injury from each blow or attack. A pious templar gains damage reduction 1/—.  At 7th level, this damage reduction rises to 2/—.
Complete Divine 51</t>
        </r>
      </text>
    </comment>
    <comment ref="P26" authorId="0">
      <text>
        <r>
          <rPr>
            <sz val="12"/>
            <color indexed="81"/>
            <rFont val="Times New Roman"/>
            <family val="1"/>
          </rPr>
          <t xml:space="preserve">Choose one type of weapon, such as longsword or greataxe.  With that weapon, you know how to hit where it hurts.
</t>
        </r>
        <r>
          <rPr>
            <b/>
            <sz val="12"/>
            <color indexed="81"/>
            <rFont val="Times New Roman"/>
            <family val="1"/>
          </rPr>
          <t>Prerequisite:</t>
        </r>
        <r>
          <rPr>
            <sz val="12"/>
            <color indexed="81"/>
            <rFont val="Times New Roman"/>
            <family val="1"/>
          </rPr>
          <t xml:space="preserve">  Proficient with weapon, base attack bonus +8.
</t>
        </r>
        <r>
          <rPr>
            <b/>
            <sz val="12"/>
            <color indexed="81"/>
            <rFont val="Times New Roman"/>
            <family val="1"/>
          </rPr>
          <t>Benefit:</t>
        </r>
        <r>
          <rPr>
            <sz val="12"/>
            <color indexed="81"/>
            <rFont val="Times New Roman"/>
            <family val="1"/>
          </rPr>
          <t xml:space="preserve">  When using the weapon you selected, your threat range is doubled.  For example, a longsword usually threatens a critical hit on a roll of 19–20 (two numbers).  If a character using a longsword has Improved Critical (longsword), the threat range becomes 17–20 (four numbers).
</t>
        </r>
        <r>
          <rPr>
            <b/>
            <sz val="12"/>
            <color indexed="81"/>
            <rFont val="Times New Roman"/>
            <family val="1"/>
          </rPr>
          <t>Special:</t>
        </r>
        <r>
          <rPr>
            <sz val="12"/>
            <color indexed="81"/>
            <rFont val="Times New Roman"/>
            <family val="1"/>
          </rPr>
          <t xml:space="preserve">  You can gain Improved Critical multiple times.  The effects do not stack.  Each time you take the feat, it applies to a new type of weapon.  This effect doesn’t stack with any other effect that expands the threat range of a weapon (such as the keen edge spell).
A fighter may select Improved Critical as one of his fighter bonus feats (see page 38).
PHB 95</t>
        </r>
      </text>
    </comment>
  </commentList>
</comments>
</file>

<file path=xl/comments5.xml><?xml version="1.0" encoding="utf-8"?>
<comments xmlns="http://schemas.openxmlformats.org/spreadsheetml/2006/main">
  <authors>
    <author>Alexis Álvarez</author>
  </authors>
  <commentList>
    <comment ref="B3" authorId="0">
      <text>
        <r>
          <rPr>
            <sz val="12"/>
            <color indexed="81"/>
            <rFont val="Times New Roman"/>
            <family val="1"/>
          </rPr>
          <t>Weapon Specialization +2 dmg</t>
        </r>
      </text>
    </comment>
    <comment ref="E3" authorId="0">
      <text>
        <r>
          <rPr>
            <sz val="12"/>
            <color indexed="81"/>
            <rFont val="Times New Roman"/>
            <family val="1"/>
          </rPr>
          <t>Improved Critical</t>
        </r>
      </text>
    </comment>
    <comment ref="B4" authorId="0">
      <text>
        <r>
          <rPr>
            <sz val="12"/>
            <color indexed="81"/>
            <rFont val="Times New Roman"/>
            <family val="1"/>
          </rPr>
          <t>Weapon Specialization +2 dmg</t>
        </r>
      </text>
    </comment>
    <comment ref="E4" authorId="0">
      <text>
        <r>
          <rPr>
            <sz val="12"/>
            <color indexed="81"/>
            <rFont val="Times New Roman"/>
            <family val="1"/>
          </rPr>
          <t>Improved Critical</t>
        </r>
      </text>
    </comment>
    <comment ref="D18" authorId="0">
      <text>
        <r>
          <rPr>
            <sz val="12"/>
            <color indexed="81"/>
            <rFont val="Times New Roman"/>
            <family val="1"/>
          </rPr>
          <t>Balance, Climb, Escape Artist, Hide, Jump, Move Silently, Sleight of Hand, Tumble.</t>
        </r>
      </text>
    </comment>
    <comment ref="A20" authorId="0">
      <text>
        <r>
          <rPr>
            <sz val="12"/>
            <color indexed="81"/>
            <rFont val="Times New Roman"/>
            <family val="1"/>
          </rPr>
          <t>Upon command, an animated shield floats within 2 feet of the wielder, protecting her as if she were using it herself but freeing up both her hands. Only one shield can protect a character at a time.  A character with an animated shield still takes any penalties associated with shield use, such as armor check penalty, arcane spell failure chance, and nonproficiency.
Strong transmutation; CL 12th; Craft Magic Arms and Armor, animate objects; Price +2 bonus.
DMG 218</t>
        </r>
      </text>
    </comment>
  </commentList>
</comments>
</file>

<file path=xl/comments6.xml><?xml version="1.0" encoding="utf-8"?>
<comments xmlns="http://schemas.openxmlformats.org/spreadsheetml/2006/main">
  <authors>
    <author>Alexis Álvarez</author>
  </authors>
  <commentList>
    <comment ref="A6" authorId="0">
      <text>
        <r>
          <rPr>
            <b/>
            <sz val="12"/>
            <color indexed="81"/>
            <rFont val="Times New Roman"/>
            <family val="1"/>
          </rPr>
          <t xml:space="preserve">Price (Item Level):  </t>
        </r>
        <r>
          <rPr>
            <sz val="12"/>
            <color indexed="81"/>
            <rFont val="Times New Roman"/>
            <family val="1"/>
          </rPr>
          <t xml:space="preserve">500 gp (3rd) (least); 1,500 gp (5th) (lesser); or 3,000 gp (7th) (greater)
</t>
        </r>
        <r>
          <rPr>
            <b/>
            <sz val="12"/>
            <color indexed="81"/>
            <rFont val="Times New Roman"/>
            <family val="1"/>
          </rPr>
          <t xml:space="preserve">Body Slot:  </t>
        </r>
        <r>
          <rPr>
            <sz val="12"/>
            <color indexed="81"/>
            <rFont val="Times New Roman"/>
            <family val="1"/>
          </rPr>
          <t xml:space="preserve">— (armor crystal)
</t>
        </r>
        <r>
          <rPr>
            <b/>
            <sz val="12"/>
            <color indexed="81"/>
            <rFont val="Times New Roman"/>
            <family val="1"/>
          </rPr>
          <t xml:space="preserve">Caster Level:  </t>
        </r>
        <r>
          <rPr>
            <sz val="12"/>
            <color indexed="81"/>
            <rFont val="Times New Roman"/>
            <family val="1"/>
          </rPr>
          <t xml:space="preserve">7th
</t>
        </r>
        <r>
          <rPr>
            <b/>
            <sz val="12"/>
            <color indexed="81"/>
            <rFont val="Times New Roman"/>
            <family val="1"/>
          </rPr>
          <t xml:space="preserve">Aura:  </t>
        </r>
        <r>
          <rPr>
            <sz val="12"/>
            <color indexed="81"/>
            <rFont val="Times New Roman"/>
            <family val="1"/>
          </rPr>
          <t xml:space="preserve">Moderate; (DC 18) necromancy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
This bright green, circular crystal is pleasantly warm to the touch.
A crystal of adaptation protects you from hostile environments, both terrestrial and extraplanar.
</t>
        </r>
        <r>
          <rPr>
            <b/>
            <sz val="12"/>
            <color indexed="81"/>
            <rFont val="Times New Roman"/>
            <family val="1"/>
          </rPr>
          <t xml:space="preserve">Least:  </t>
        </r>
        <r>
          <rPr>
            <sz val="12"/>
            <color indexed="81"/>
            <rFont val="Times New Roman"/>
            <family val="1"/>
          </rPr>
          <t xml:space="preserve">This augment crystal protects you from temperature extremes as an </t>
        </r>
        <r>
          <rPr>
            <i/>
            <sz val="12"/>
            <color indexed="81"/>
            <rFont val="Times New Roman"/>
            <family val="1"/>
          </rPr>
          <t xml:space="preserve">endure elements </t>
        </r>
        <r>
          <rPr>
            <sz val="12"/>
            <color indexed="81"/>
            <rFont val="Times New Roman"/>
            <family val="1"/>
          </rPr>
          <t>spell.
MIC 24</t>
        </r>
      </text>
    </comment>
    <comment ref="A7" authorId="0">
      <text>
        <r>
          <rPr>
            <sz val="12"/>
            <color indexed="81"/>
            <rFont val="Times New Roman"/>
            <family val="1"/>
          </rPr>
          <t>This seemingly normal pearl of average size and luster is a potent aid to all spellcasters who prepare spells (clerics, druids, rangers, paladins, and wizards).  Once per day on command, a pearl of power enables the possessor to recall any one spell that she had prepared and then cast.  The spell is then prepared again, just as if it had not been cast.  The spell must be of a particular level, depending on the pearl.  Different pearls exist for recalling one spell per day of each level from 1st through 9th and for the recall of two spells per day (each of a different level, 6th or lower).
DMG 263</t>
        </r>
      </text>
    </comment>
    <comment ref="A9" authorId="0">
      <text>
        <r>
          <rPr>
            <sz val="12"/>
            <color indexed="81"/>
            <rFont val="Times New Roman"/>
            <family val="1"/>
          </rPr>
          <t xml:space="preserve">This lightweight and fashionable cloak has a highly decorative silver trim.  When in a character’s possession, it adds a +2, +4, or +6 enhancement bonus to her Charisma score.
Moderate transmutation; CL 8th; Craft Wondrous Item, </t>
        </r>
        <r>
          <rPr>
            <i/>
            <sz val="12"/>
            <color indexed="81"/>
            <rFont val="Times New Roman"/>
            <family val="1"/>
          </rPr>
          <t>eagle’s splendor</t>
        </r>
        <r>
          <rPr>
            <sz val="12"/>
            <color indexed="81"/>
            <rFont val="Times New Roman"/>
            <family val="1"/>
          </rPr>
          <t>; Price 4,000 gp (+2), 16,000 gp (+4), 36,000 gp (+6); Weight 2 lb.
DMG 253</t>
        </r>
      </text>
    </comment>
    <comment ref="A10" authorId="0">
      <text>
        <r>
          <rPr>
            <sz val="12"/>
            <color indexed="81"/>
            <rFont val="Times New Roman"/>
            <family val="1"/>
          </rPr>
          <t xml:space="preserve">Resistance to Acid, Cold, Electricity, Fire, and Negative Energy (20).
Ability to breathe normally in liquid and solid medium.
</t>
        </r>
        <r>
          <rPr>
            <b/>
            <sz val="12"/>
            <color indexed="81"/>
            <rFont val="Times New Roman"/>
            <family val="1"/>
          </rPr>
          <t xml:space="preserve">Fly (Sp):  </t>
        </r>
        <r>
          <rPr>
            <sz val="12"/>
            <color indexed="81"/>
            <rFont val="Times New Roman"/>
            <family val="1"/>
          </rPr>
          <t xml:space="preserve">1/day, CL 12.  </t>
        </r>
        <r>
          <rPr>
            <b/>
            <sz val="12"/>
            <color indexed="81"/>
            <rFont val="Times New Roman"/>
            <family val="1"/>
          </rPr>
          <t xml:space="preserve">Activation:  </t>
        </r>
        <r>
          <rPr>
            <sz val="12"/>
            <color indexed="81"/>
            <rFont val="Times New Roman"/>
            <family val="1"/>
          </rPr>
          <t xml:space="preserve">free action.
</t>
        </r>
        <r>
          <rPr>
            <b/>
            <sz val="12"/>
            <color indexed="81"/>
            <rFont val="Times New Roman"/>
            <family val="1"/>
          </rPr>
          <t xml:space="preserve">Feather Fall (Sp):  </t>
        </r>
        <r>
          <rPr>
            <sz val="12"/>
            <color indexed="81"/>
            <rFont val="Times New Roman"/>
            <family val="1"/>
          </rPr>
          <t xml:space="preserve">3/day, CL 12.  </t>
        </r>
        <r>
          <rPr>
            <b/>
            <sz val="12"/>
            <color indexed="81"/>
            <rFont val="Times New Roman"/>
            <family val="1"/>
          </rPr>
          <t xml:space="preserve">Activation:  </t>
        </r>
        <r>
          <rPr>
            <sz val="12"/>
            <color indexed="81"/>
            <rFont val="Times New Roman"/>
            <family val="1"/>
          </rPr>
          <t>free action.
Must be worn for 24 hours before it becomes effective.
In-house item</t>
        </r>
      </text>
    </comment>
    <comment ref="A11" authorId="0">
      <text>
        <r>
          <rPr>
            <sz val="12"/>
            <color indexed="81"/>
            <rFont val="Times New Roman"/>
            <family val="1"/>
          </rPr>
          <t xml:space="preserve">These thin leather gloves are very flexible and allow for delicate manipulation.  They add to the wearer’s Dexterity score in the form of an enhancement bonus of +2, +4, or +6.
Both gloves must be worn for the magic to be effective.
Moderate transmutation; CL 8th; Craft Wondrous Item, </t>
        </r>
        <r>
          <rPr>
            <i/>
            <sz val="12"/>
            <color indexed="81"/>
            <rFont val="Times New Roman"/>
            <family val="1"/>
          </rPr>
          <t>cat’s grace</t>
        </r>
        <r>
          <rPr>
            <sz val="12"/>
            <color indexed="81"/>
            <rFont val="Times New Roman"/>
            <family val="1"/>
          </rPr>
          <t>; Price 4,000 gp (+2), 16,000 gp (+4), 36,000 gp (+6).
DMG 257</t>
        </r>
      </text>
    </comment>
  </commentList>
</comments>
</file>

<file path=xl/sharedStrings.xml><?xml version="1.0" encoding="utf-8"?>
<sst xmlns="http://schemas.openxmlformats.org/spreadsheetml/2006/main" count="633" uniqueCount="352">
  <si>
    <t>Race:</t>
  </si>
  <si>
    <t>Sex:</t>
  </si>
  <si>
    <t>Strength:</t>
  </si>
  <si>
    <t>Dexterity:</t>
  </si>
  <si>
    <t>Level</t>
  </si>
  <si>
    <t>Properties</t>
  </si>
  <si>
    <t>Melee Weapon</t>
  </si>
  <si>
    <t>Dmg</t>
  </si>
  <si>
    <t>Qty.</t>
  </si>
  <si>
    <t>Ranged Weapon</t>
  </si>
  <si>
    <t>Dmg.</t>
  </si>
  <si>
    <t>Rng.</t>
  </si>
  <si>
    <t>Weight on Hand (this page):</t>
  </si>
  <si>
    <t>Skills</t>
  </si>
  <si>
    <t>Charisma:</t>
  </si>
  <si>
    <t>Constitution:</t>
  </si>
  <si>
    <t>Intelligence:</t>
  </si>
  <si>
    <t>Hit Points:</t>
  </si>
  <si>
    <t>Wisdom:</t>
  </si>
  <si>
    <t>Concentration</t>
  </si>
  <si>
    <t>AC Mod.</t>
  </si>
  <si>
    <t>Handle Animal</t>
  </si>
  <si>
    <t>Move Silently</t>
  </si>
  <si>
    <t>Ride</t>
  </si>
  <si>
    <t>Search</t>
  </si>
  <si>
    <t>Swim</t>
  </si>
  <si>
    <t>Type</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</si>
  <si>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</si>
  <si>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</si>
  <si>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</si>
  <si>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</si>
  <si>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</si>
  <si>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</si>
  <si>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</si>
  <si>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</si>
  <si>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</si>
  <si>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</si>
  <si>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</si>
  <si>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</si>
  <si>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</si>
  <si>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</si>
  <si>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</si>
  <si>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</si>
  <si>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</si>
  <si>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</si>
  <si>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</si>
  <si>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</si>
  <si>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</si>
  <si>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</si>
  <si>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</si>
  <si>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</si>
  <si>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</si>
  <si>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</si>
  <si>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</si>
  <si>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</si>
  <si>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</si>
  <si>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</si>
  <si>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Profession:  (type)</t>
  </si>
  <si>
    <t>Sense Motive</t>
  </si>
  <si>
    <t>Spellcraft</t>
  </si>
  <si>
    <t>Spot</t>
  </si>
  <si>
    <t>Tumble</t>
  </si>
  <si>
    <t>Use Magic Device</t>
  </si>
  <si>
    <t>Use Rope</t>
  </si>
  <si>
    <t>Ability &amp; Mod.</t>
  </si>
  <si>
    <t>0</t>
  </si>
  <si>
    <t>Modified AC:</t>
  </si>
  <si>
    <t>Class:</t>
  </si>
  <si>
    <t>Level:</t>
  </si>
  <si>
    <t>Alignment:</t>
  </si>
  <si>
    <t>Total</t>
  </si>
  <si>
    <t>Critical</t>
  </si>
  <si>
    <t>Fortitude</t>
  </si>
  <si>
    <t>Reflex</t>
  </si>
  <si>
    <t>Will</t>
  </si>
  <si>
    <t>Armor &amp; Shield</t>
  </si>
  <si>
    <t>Missiles</t>
  </si>
  <si>
    <t>Lb. Capacity:</t>
  </si>
  <si>
    <t>Lb. Carried:</t>
  </si>
  <si>
    <t>Spell</t>
  </si>
  <si>
    <t>Cast?</t>
  </si>
  <si>
    <t>¨</t>
  </si>
  <si>
    <t>Languages</t>
  </si>
  <si>
    <t>Equipment Worn</t>
  </si>
  <si>
    <t>Item</t>
  </si>
  <si>
    <t>Effects/</t>
  </si>
  <si>
    <t>Notes</t>
  </si>
  <si>
    <t>Equipment Carried</t>
  </si>
  <si>
    <t>Check</t>
  </si>
  <si>
    <t>Arcane</t>
  </si>
  <si>
    <t>Speed</t>
  </si>
  <si>
    <t>Human</t>
  </si>
  <si>
    <t>Craft:  (type)</t>
  </si>
  <si>
    <t>Speak Language</t>
  </si>
  <si>
    <t>Knowledge:  Religion</t>
  </si>
  <si>
    <t>Perform:  (type)</t>
  </si>
  <si>
    <t>Sleight of Hand</t>
  </si>
  <si>
    <t>Survival</t>
  </si>
  <si>
    <t>Touch AC:</t>
  </si>
  <si>
    <t>Attack Bonus:</t>
  </si>
  <si>
    <t>Prepared Spells</t>
  </si>
  <si>
    <t>Divine Health</t>
  </si>
  <si>
    <t>General Feats</t>
  </si>
  <si>
    <t>DC</t>
  </si>
  <si>
    <t>Weapon Proficiencies</t>
  </si>
  <si>
    <t>School</t>
  </si>
  <si>
    <t>Components</t>
  </si>
  <si>
    <t>Casting</t>
  </si>
  <si>
    <t>Range</t>
  </si>
  <si>
    <t>Duration</t>
  </si>
  <si>
    <t>Create Water</t>
  </si>
  <si>
    <t>Conjuration</t>
  </si>
  <si>
    <t>V S</t>
  </si>
  <si>
    <t>1 SA</t>
  </si>
  <si>
    <t>25’ + 2½’/lvl</t>
  </si>
  <si>
    <t>Instant</t>
  </si>
  <si>
    <t>2 gallons/level</t>
  </si>
  <si>
    <t>Universal</t>
  </si>
  <si>
    <t>Touch</t>
  </si>
  <si>
    <t>1 min/lvl</t>
  </si>
  <si>
    <t>Detect Poison</t>
  </si>
  <si>
    <t>Divination</t>
  </si>
  <si>
    <t>1 minute</t>
  </si>
  <si>
    <t>Evocation</t>
  </si>
  <si>
    <t>10 min/lvl</t>
  </si>
  <si>
    <t>Read Magic</t>
  </si>
  <si>
    <t>V S F</t>
  </si>
  <si>
    <t>Personal</t>
  </si>
  <si>
    <t>Resistance</t>
  </si>
  <si>
    <t>Abjuration</t>
  </si>
  <si>
    <t>V S M/DF</t>
  </si>
  <si>
    <t>+1 all saves</t>
  </si>
  <si>
    <t>Virtue</t>
  </si>
  <si>
    <t>V S DF</t>
  </si>
  <si>
    <t>+1 HP to target</t>
  </si>
  <si>
    <t>50’</t>
  </si>
  <si>
    <t>+/-1 Att. &amp; vs Fear</t>
  </si>
  <si>
    <t>V S M</t>
  </si>
  <si>
    <t>1 liter</t>
  </si>
  <si>
    <t>Command</t>
  </si>
  <si>
    <t>V</t>
  </si>
  <si>
    <t>1 round</t>
  </si>
  <si>
    <t>Single word command, PHB 211</t>
  </si>
  <si>
    <t>Cure Light Wounds</t>
  </si>
  <si>
    <t>1d8 + 5 HP</t>
  </si>
  <si>
    <t>Divine Favor</t>
  </si>
  <si>
    <t>+1 Luck bonus / 3 levels</t>
  </si>
  <si>
    <t>Endure Elements</t>
  </si>
  <si>
    <t>24 hours</t>
  </si>
  <si>
    <t>Element (5)</t>
  </si>
  <si>
    <t>Magic Weapon</t>
  </si>
  <si>
    <t>V S F/DF</t>
  </si>
  <si>
    <t>+1 enhancement</t>
  </si>
  <si>
    <t>Detect Undead</t>
  </si>
  <si>
    <t>PHB 205</t>
  </si>
  <si>
    <t>PHB 220</t>
  </si>
  <si>
    <t>PHB 219</t>
  </si>
  <si>
    <t>PHB 266</t>
  </si>
  <si>
    <t>PHB 269</t>
  </si>
  <si>
    <t>Atk</t>
  </si>
  <si>
    <t>Conduit of Life</t>
  </si>
  <si>
    <t>Complete Champion 118</t>
  </si>
  <si>
    <t>Divine Presence</t>
  </si>
  <si>
    <t>Complete Champion 119</t>
  </si>
  <si>
    <t>Master Cavalier</t>
  </si>
  <si>
    <t>1 rnd/lvl</t>
  </si>
  <si>
    <t>Complete Champion 125</t>
  </si>
  <si>
    <t>Summon Holy Symbol</t>
  </si>
  <si>
    <t>Complete Champion 128</t>
  </si>
  <si>
    <t>Touch of Restoration</t>
  </si>
  <si>
    <t>Complete Champion 129</t>
  </si>
  <si>
    <t>Turn Anathema</t>
  </si>
  <si>
    <t>10 minutes</t>
  </si>
  <si>
    <t>War Mount</t>
  </si>
  <si>
    <t>Benediction</t>
  </si>
  <si>
    <t>1 FR</t>
  </si>
  <si>
    <t>Complete Champion 116</t>
  </si>
  <si>
    <t>Lesser Restoration</t>
  </si>
  <si>
    <t>Restores attribute pts.</t>
  </si>
  <si>
    <t>2</t>
  </si>
  <si>
    <t>Female</t>
  </si>
  <si>
    <t>Special Mount</t>
  </si>
  <si>
    <t>Divine Sacrifice</t>
  </si>
  <si>
    <t>Complete Divine 163</t>
  </si>
  <si>
    <t>Saddlebags</t>
  </si>
  <si>
    <t>Military Saddle</t>
  </si>
  <si>
    <t>Belt Pouch</t>
  </si>
  <si>
    <t>Whetstone</t>
  </si>
  <si>
    <t>Traveler’s outfit</t>
  </si>
  <si>
    <t>Roll</t>
  </si>
  <si>
    <t>Paladin 1</t>
  </si>
  <si>
    <t>Bane</t>
  </si>
  <si>
    <t>Curse Water</t>
  </si>
  <si>
    <t>Curse Weapon</t>
  </si>
  <si>
    <t>Prot. fr. Chaos</t>
  </si>
  <si>
    <t>All Armor and Shields (not tower)</t>
  </si>
  <si>
    <t>Simple and Martial Weapons</t>
  </si>
  <si>
    <t>30’ (20’)</t>
  </si>
  <si>
    <t>five</t>
  </si>
  <si>
    <t>1d10</t>
  </si>
  <si>
    <t>Divine Grace</t>
  </si>
  <si>
    <t>Move:</t>
  </si>
  <si>
    <t>Paladin 2</t>
  </si>
  <si>
    <t>Spells Granted</t>
  </si>
  <si>
    <t>Mount Encumbrance:</t>
  </si>
  <si>
    <t>19-20/x2</t>
  </si>
  <si>
    <t>Bludgeon</t>
  </si>
  <si>
    <t>Faith</t>
  </si>
  <si>
    <t>Paladin</t>
  </si>
  <si>
    <t>Lawful Good</t>
  </si>
  <si>
    <t>Victoria Greystone</t>
  </si>
  <si>
    <t>Pious Templar</t>
  </si>
  <si>
    <t>FF AC:</t>
  </si>
  <si>
    <r>
      <t>76</t>
    </r>
    <r>
      <rPr>
        <sz val="13"/>
        <rFont val="Times New Roman"/>
        <family val="1"/>
      </rPr>
      <t>/</t>
    </r>
    <r>
      <rPr>
        <sz val="13"/>
        <color indexed="52"/>
        <rFont val="Times New Roman"/>
        <family val="1"/>
      </rPr>
      <t>153</t>
    </r>
    <r>
      <rPr>
        <sz val="13"/>
        <rFont val="Times New Roman"/>
        <family val="1"/>
      </rPr>
      <t>/</t>
    </r>
    <r>
      <rPr>
        <sz val="13"/>
        <color indexed="10"/>
        <rFont val="Times New Roman"/>
        <family val="1"/>
      </rPr>
      <t>230</t>
    </r>
  </si>
  <si>
    <t>Paladin 3</t>
  </si>
  <si>
    <t>Paladin 4</t>
  </si>
  <si>
    <t>Paladin 5</t>
  </si>
  <si>
    <t>Pious Templar 1</t>
  </si>
  <si>
    <t>Pious Templar 2</t>
  </si>
  <si>
    <t>Pious Templar 3</t>
  </si>
  <si>
    <t>Knowledge:  Nobility</t>
  </si>
  <si>
    <t>Aura of Good 1/day</t>
  </si>
  <si>
    <t>Code of Conduct</t>
  </si>
  <si>
    <t>Detect Evil 1/day</t>
  </si>
  <si>
    <t>Cure Disease</t>
  </si>
  <si>
    <t>Turn Undead</t>
  </si>
  <si>
    <t>Silver Holy Symbol</t>
  </si>
  <si>
    <t>Lance</t>
  </si>
  <si>
    <t>Cloak of Charisma +2</t>
  </si>
  <si>
    <t>Gloves of Dexterity +2</t>
  </si>
  <si>
    <t>Crystal of Adaptation, Least</t>
  </si>
  <si>
    <t>Scrolls and Potions</t>
  </si>
  <si>
    <t>CLev</t>
  </si>
  <si>
    <t>Value</t>
  </si>
  <si>
    <t>1</t>
  </si>
  <si>
    <t>On Mount</t>
  </si>
  <si>
    <t>Lance (see Weapons)</t>
  </si>
  <si>
    <t>on mount</t>
  </si>
  <si>
    <t>Deity:</t>
  </si>
  <si>
    <t>Torm</t>
  </si>
  <si>
    <t>Male</t>
  </si>
  <si>
    <t>Initiative:</t>
  </si>
  <si>
    <t>Size:</t>
  </si>
  <si>
    <t>Medium</t>
  </si>
  <si>
    <t>Wlk/Brw/Clm:</t>
  </si>
  <si>
    <t>TAC/AC:</t>
  </si>
  <si>
    <t>BAB:</t>
  </si>
  <si>
    <t>Fort:</t>
  </si>
  <si>
    <t>Ref:</t>
  </si>
  <si>
    <t>Will:</t>
  </si>
  <si>
    <t>Mount</t>
  </si>
  <si>
    <t>+1</t>
  </si>
  <si>
    <t>Heavy Warhorse</t>
  </si>
  <si>
    <t>MW Silver Heavy Flail</t>
  </si>
  <si>
    <t>Ruby Dust</t>
  </si>
  <si>
    <t>1d6</t>
  </si>
  <si>
    <t>x2</t>
  </si>
  <si>
    <t>30’</t>
  </si>
  <si>
    <t>1d8</t>
  </si>
  <si>
    <t>x3</t>
  </si>
  <si>
    <t>Piercing</t>
  </si>
  <si>
    <t>Common</t>
  </si>
  <si>
    <t>Human:  Power Attack</t>
  </si>
  <si>
    <t>includes Weapon Focus bonus</t>
  </si>
  <si>
    <t>Slashing</t>
  </si>
  <si>
    <t>Total Equity:</t>
  </si>
  <si>
    <t>bypasses lycanthropes’ DR</t>
  </si>
  <si>
    <t>one</t>
  </si>
  <si>
    <r>
      <t xml:space="preserve">as </t>
    </r>
    <r>
      <rPr>
        <i/>
        <sz val="12"/>
        <rFont val="Times New Roman"/>
        <family val="1"/>
      </rPr>
      <t xml:space="preserve">endure elements </t>
    </r>
    <r>
      <rPr>
        <sz val="12"/>
        <rFont val="Times New Roman"/>
        <family val="1"/>
      </rPr>
      <t>spell</t>
    </r>
  </si>
  <si>
    <t>20’</t>
  </si>
  <si>
    <t>Animated Heavy Darkwood Shield +1</t>
  </si>
  <si>
    <t>-</t>
  </si>
  <si>
    <r>
      <t xml:space="preserve">Spell Component:  </t>
    </r>
    <r>
      <rPr>
        <i/>
        <sz val="12"/>
        <rFont val="Times New Roman"/>
        <family val="1"/>
      </rPr>
      <t>continual flame</t>
    </r>
    <r>
      <rPr>
        <sz val="12"/>
        <rFont val="Times New Roman"/>
        <family val="1"/>
      </rPr>
      <t>, 1 casting</t>
    </r>
  </si>
  <si>
    <t>Wealth Cap:</t>
  </si>
  <si>
    <t>Remaining Balance:</t>
  </si>
  <si>
    <t>0th</t>
  </si>
  <si>
    <t>1st</t>
  </si>
  <si>
    <t>2nd</t>
  </si>
  <si>
    <t>3rd</t>
  </si>
  <si>
    <t>4th</t>
  </si>
  <si>
    <t>5th</t>
  </si>
  <si>
    <t>6th</t>
  </si>
  <si>
    <t>7th</t>
  </si>
  <si>
    <t>Total Daily Spells</t>
  </si>
  <si>
    <t>Spells by Level</t>
  </si>
  <si>
    <t>Paladin Spells</t>
  </si>
  <si>
    <t>Pious Templar Spells</t>
  </si>
  <si>
    <t>Wisdom Bonus 1</t>
  </si>
  <si>
    <t>Wisdom Bonus 2</t>
  </si>
  <si>
    <t>Bless Weapon</t>
  </si>
  <si>
    <t>Transmutation</t>
  </si>
  <si>
    <t>Enchantment</t>
  </si>
  <si>
    <t>Prot. fr. Evil</t>
  </si>
  <si>
    <t>Paladin Features</t>
  </si>
  <si>
    <t>Pious Templar Features</t>
  </si>
  <si>
    <t>Mettle</t>
  </si>
  <si>
    <t>Smite +1/day (see Smith Evil above)</t>
  </si>
  <si>
    <t>Damage Reduction -/1</t>
  </si>
  <si>
    <t>True Believer bonus +2 when invoked</t>
  </si>
  <si>
    <t>40’</t>
  </si>
  <si>
    <t>0’</t>
  </si>
  <si>
    <t>1st:  True Believer</t>
  </si>
  <si>
    <t>3rd:  Weapon Focus:  Greatsword</t>
  </si>
  <si>
    <t>Greatsword +1</t>
  </si>
  <si>
    <t>Brant</t>
  </si>
  <si>
    <t>Smite Evil 2/day (+4 Att/+8 Dmg)</t>
  </si>
  <si>
    <t>Rhino’s Rush</t>
  </si>
  <si>
    <t>Swift</t>
  </si>
  <si>
    <t>Spell Compendium 176</t>
  </si>
  <si>
    <t>Bull’s Strength</t>
  </si>
  <si>
    <t>6th:  Improved Toughness</t>
  </si>
  <si>
    <t>Weapon Specialization:  Greatsword</t>
  </si>
  <si>
    <t>Grapple</t>
  </si>
  <si>
    <t>Skill/Save</t>
  </si>
  <si>
    <t>9th:  Sacred Healing</t>
  </si>
  <si>
    <t>Improved Critical:  Greatsword</t>
  </si>
  <si>
    <t>Knowledge:  Arcana</t>
  </si>
  <si>
    <t>Pious Templar 4</t>
  </si>
  <si>
    <t>PHB 207</t>
  </si>
  <si>
    <t>2nd Attack</t>
  </si>
  <si>
    <t>Javelins, 3</t>
  </si>
  <si>
    <t>17-20/x2</t>
  </si>
  <si>
    <t>Turning Undead</t>
  </si>
  <si>
    <t>Max HD Turned</t>
  </si>
  <si>
    <t>Turns/Day</t>
  </si>
  <si>
    <t>1d20 Roll</t>
  </si>
  <si>
    <t>Turn Check</t>
  </si>
  <si>
    <t>2d6 Roll</t>
  </si>
  <si>
    <t>Turn Dmg.</t>
  </si>
  <si>
    <t>Turns Used</t>
  </si>
  <si>
    <t>CROSS-CLASS SKILL</t>
  </si>
  <si>
    <t>Pious Templar 5</t>
  </si>
  <si>
    <t>Vest of Resistance +2</t>
  </si>
  <si>
    <t>loan</t>
  </si>
  <si>
    <t>Returning Javelin of Fire</t>
  </si>
  <si>
    <t>Scepter of Tiamat</t>
  </si>
  <si>
    <t>Properties yet to be discerned</t>
  </si>
  <si>
    <t xml:space="preserve">Protection from Evil </t>
  </si>
  <si>
    <t>Lay on Hands</t>
  </si>
  <si>
    <r>
      <t xml:space="preserve">Potion of </t>
    </r>
    <r>
      <rPr>
        <i/>
        <sz val="12"/>
        <rFont val="Times New Roman"/>
        <family val="1"/>
      </rPr>
      <t>enlarge person</t>
    </r>
  </si>
  <si>
    <t>Aura of Courage</t>
  </si>
  <si>
    <t>Full Plate +1</t>
  </si>
  <si>
    <t>2nd Shot</t>
  </si>
  <si>
    <t>+2</t>
  </si>
  <si>
    <t>Raptoran design</t>
  </si>
  <si>
    <t>Composite Longbow +2</t>
  </si>
  <si>
    <t>110’</t>
  </si>
  <si>
    <t>Bracelet of the Planar Champion</t>
  </si>
  <si>
    <t>Pearls of Power, 1st level,</t>
  </si>
  <si>
    <t>Played by Jason Davis</t>
  </si>
  <si>
    <t>2d6+2+5</t>
  </si>
  <si>
    <t>þ</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</si>
</sst>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3C0A]\ #,##0"/>
  </numFmts>
  <fonts count="70">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i/>
      <sz val="18"/>
      <color indexed="12"/>
      <name val="Times New Roman"/>
      <family val="1"/>
    </font>
    <font>
      <i/>
      <sz val="18"/>
      <color indexed="53"/>
      <name val="Times New Roman"/>
      <family val="1"/>
    </font>
    <font>
      <sz val="13"/>
      <name val="Wingdings"/>
      <charset val="2"/>
    </font>
    <font>
      <i/>
      <sz val="14"/>
      <color indexed="57"/>
      <name val="Times New Roman"/>
      <family val="1"/>
    </font>
    <font>
      <sz val="13"/>
      <color indexed="12"/>
      <name val="Times New Roman"/>
      <family val="1"/>
    </font>
    <font>
      <sz val="12"/>
      <color indexed="81"/>
      <name val="Times New Roman"/>
      <family val="1"/>
    </font>
    <font>
      <i/>
      <sz val="12"/>
      <color indexed="81"/>
      <name val="Times New Roman"/>
      <family val="1"/>
    </font>
    <font>
      <i/>
      <sz val="14"/>
      <color indexed="10"/>
      <name val="Times New Roman"/>
      <family val="1"/>
    </font>
    <font>
      <i/>
      <sz val="18"/>
      <color indexed="21"/>
      <name val="Times New Roman"/>
      <family val="1"/>
    </font>
    <font>
      <i/>
      <sz val="17"/>
      <name val="Times New Roman"/>
      <family val="1"/>
    </font>
    <font>
      <i/>
      <sz val="12"/>
      <color indexed="52"/>
      <name val="Times New Roman"/>
      <family val="1"/>
    </font>
    <font>
      <i/>
      <sz val="22"/>
      <color indexed="14"/>
      <name val="Times New Roman"/>
      <family val="1"/>
    </font>
    <font>
      <b/>
      <sz val="13"/>
      <color rgb="FF00CC00"/>
      <name val="Times New Roman"/>
      <family val="1"/>
    </font>
    <font>
      <b/>
      <sz val="13"/>
      <color rgb="FFFF0000"/>
      <name val="Times New Roman"/>
      <family val="1"/>
    </font>
    <font>
      <b/>
      <sz val="13"/>
      <color rgb="FF0000FF"/>
      <name val="Times New Roman"/>
      <family val="1"/>
    </font>
    <font>
      <sz val="13"/>
      <color rgb="FFFFC000"/>
      <name val="Times New Roman"/>
      <family val="1"/>
    </font>
    <font>
      <b/>
      <sz val="13"/>
      <color rgb="FF7030A0"/>
      <name val="Times New Roman"/>
      <family val="1"/>
    </font>
    <font>
      <b/>
      <sz val="13"/>
      <color rgb="FFFFC000"/>
      <name val="Times New Roman"/>
      <family val="1"/>
    </font>
    <font>
      <sz val="13"/>
      <color rgb="FFFF0000"/>
      <name val="Times New Roman"/>
      <family val="1"/>
    </font>
    <font>
      <sz val="13"/>
      <color rgb="FF0000FF"/>
      <name val="Times New Roman"/>
      <family val="1"/>
    </font>
    <font>
      <b/>
      <sz val="12"/>
      <color rgb="FFFFC000"/>
      <name val="Times New Roman"/>
      <family val="1"/>
    </font>
    <font>
      <sz val="12"/>
      <color rgb="FFFFC000"/>
      <name val="Times New Roman"/>
      <family val="1"/>
    </font>
    <font>
      <i/>
      <sz val="12"/>
      <name val="Times New Roman"/>
      <family val="1"/>
    </font>
    <font>
      <i/>
      <sz val="20"/>
      <color rgb="FFFFC000"/>
      <name val="Times New Roman"/>
      <family val="1"/>
    </font>
    <font>
      <b/>
      <sz val="12"/>
      <color indexed="48"/>
      <name val="Times New Roman"/>
      <family val="1"/>
    </font>
    <font>
      <i/>
      <sz val="12"/>
      <color indexed="9"/>
      <name val="Times New Roman"/>
      <family val="1"/>
    </font>
    <font>
      <i/>
      <sz val="13"/>
      <name val="Times New Roman"/>
      <family val="1"/>
    </font>
    <font>
      <b/>
      <sz val="13"/>
      <color indexed="20"/>
      <name val="Times New Roman"/>
      <family val="1"/>
    </font>
    <font>
      <sz val="12"/>
      <name val="Times New Roman"/>
      <family val="1"/>
      <charset val="1"/>
    </font>
    <font>
      <sz val="10"/>
      <name val="Arial"/>
      <family val="2"/>
    </font>
    <font>
      <b/>
      <sz val="12"/>
      <color indexed="81"/>
      <name val="Times New Roman"/>
      <family val="1"/>
    </font>
    <font>
      <b/>
      <sz val="12"/>
      <color theme="0"/>
      <name val="Times New Roman"/>
      <family val="1"/>
    </font>
    <font>
      <b/>
      <sz val="12"/>
      <color rgb="FF0000FF"/>
      <name val="Times New Roman"/>
      <family val="1"/>
    </font>
    <font>
      <sz val="12"/>
      <color rgb="FF0000FF"/>
      <name val="Times New Roman"/>
      <family val="1"/>
    </font>
    <font>
      <i/>
      <sz val="18"/>
      <color rgb="FF0000FF"/>
      <name val="Times New Roman"/>
      <family val="1"/>
    </font>
    <font>
      <sz val="12"/>
      <color rgb="FFFF0000"/>
      <name val="Times New Roman"/>
      <family val="1"/>
    </font>
    <font>
      <b/>
      <sz val="13"/>
      <color rgb="FFFFFF00"/>
      <name val="Times New Roman"/>
      <family val="1"/>
    </font>
  </fonts>
  <fills count="21">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9"/>
        <bgColor indexed="55"/>
      </patternFill>
    </fill>
    <fill>
      <patternFill patternType="solid">
        <fgColor indexed="42"/>
        <bgColor indexed="64"/>
      </patternFill>
    </fill>
    <fill>
      <patternFill patternType="solid">
        <fgColor indexed="11"/>
        <bgColor indexed="64"/>
      </patternFill>
    </fill>
    <fill>
      <patternFill patternType="solid">
        <fgColor indexed="12"/>
        <bgColor indexed="64"/>
      </patternFill>
    </fill>
    <fill>
      <patternFill patternType="solid">
        <fgColor rgb="FF7030A0"/>
        <bgColor indexed="64"/>
      </patternFill>
    </fill>
    <fill>
      <patternFill patternType="solid">
        <fgColor theme="0" tint="-0.249977111117893"/>
        <bgColor indexed="64"/>
      </patternFill>
    </fill>
    <fill>
      <patternFill patternType="solid">
        <fgColor rgb="FFFF0000"/>
        <bgColor indexed="64"/>
      </patternFill>
    </fill>
    <fill>
      <patternFill patternType="solid">
        <fgColor rgb="FFCCFFCC"/>
        <bgColor indexed="64"/>
      </patternFill>
    </fill>
    <fill>
      <patternFill patternType="solid">
        <fgColor theme="7" tint="0.39997558519241921"/>
        <bgColor indexed="64"/>
      </patternFill>
    </fill>
    <fill>
      <patternFill patternType="solid">
        <fgColor indexed="10"/>
        <bgColor indexed="64"/>
      </patternFill>
    </fill>
    <fill>
      <patternFill patternType="solid">
        <fgColor rgb="FF0000FF"/>
        <bgColor indexed="64"/>
      </patternFill>
    </fill>
    <fill>
      <patternFill patternType="solid">
        <fgColor theme="0" tint="-0.14999847407452621"/>
        <bgColor indexed="64"/>
      </patternFill>
    </fill>
    <fill>
      <patternFill patternType="solid">
        <fgColor rgb="FFFFFF00"/>
        <bgColor indexed="64"/>
      </patternFill>
    </fill>
    <fill>
      <patternFill patternType="solid">
        <fgColor rgb="FF66FF33"/>
        <bgColor indexed="64"/>
      </patternFill>
    </fill>
  </fills>
  <borders count="139">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dotted">
        <color indexed="64"/>
      </bottom>
      <diagonal/>
    </border>
    <border>
      <left style="double">
        <color indexed="64"/>
      </left>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double">
        <color indexed="64"/>
      </right>
      <top style="hair">
        <color indexed="64"/>
      </top>
      <bottom style="double">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medium">
        <color indexed="64"/>
      </left>
      <right style="thin">
        <color indexed="64"/>
      </right>
      <top/>
      <bottom style="thin">
        <color indexed="9"/>
      </bottom>
      <diagonal/>
    </border>
    <border>
      <left/>
      <right/>
      <top style="double">
        <color indexed="64"/>
      </top>
      <bottom style="thick">
        <color indexed="61"/>
      </bottom>
      <diagonal/>
    </border>
    <border>
      <left/>
      <right style="double">
        <color indexed="64"/>
      </right>
      <top style="double">
        <color indexed="64"/>
      </top>
      <bottom style="thick">
        <color indexed="61"/>
      </bottom>
      <diagonal/>
    </border>
    <border>
      <left style="double">
        <color indexed="64"/>
      </left>
      <right/>
      <top style="double">
        <color indexed="64"/>
      </top>
      <bottom style="thick">
        <color indexed="61"/>
      </bottom>
      <diagonal/>
    </border>
    <border>
      <left/>
      <right style="double">
        <color indexed="64"/>
      </right>
      <top style="medium">
        <color indexed="64"/>
      </top>
      <bottom style="medium">
        <color indexed="64"/>
      </bottom>
      <diagonal/>
    </border>
    <border>
      <left style="thin">
        <color auto="1"/>
      </left>
      <right style="double">
        <color auto="1"/>
      </right>
      <top style="double">
        <color auto="1"/>
      </top>
      <bottom style="thin">
        <color auto="1"/>
      </bottom>
      <diagonal/>
    </border>
    <border>
      <left style="double">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style="thin">
        <color indexed="64"/>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hair">
        <color indexed="64"/>
      </left>
      <right style="hair">
        <color indexed="64"/>
      </right>
      <top style="hair">
        <color indexed="64"/>
      </top>
      <bottom/>
      <diagonal/>
    </border>
    <border>
      <left style="medium">
        <color auto="1"/>
      </left>
      <right style="thin">
        <color indexed="64"/>
      </right>
      <top style="double">
        <color auto="1"/>
      </top>
      <bottom style="thin">
        <color auto="1"/>
      </bottom>
      <diagonal/>
    </border>
    <border>
      <left style="thin">
        <color indexed="64"/>
      </left>
      <right style="thin">
        <color indexed="64"/>
      </right>
      <top style="double">
        <color indexed="64"/>
      </top>
      <bottom style="medium">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double">
        <color indexed="64"/>
      </right>
      <top style="medium">
        <color indexed="64"/>
      </top>
      <bottom style="hair">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
      <left/>
      <right style="hair">
        <color indexed="64"/>
      </right>
      <top style="hair">
        <color indexed="64"/>
      </top>
      <bottom style="double">
        <color indexed="64"/>
      </bottom>
      <diagonal/>
    </border>
    <border>
      <left style="double">
        <color indexed="64"/>
      </left>
      <right/>
      <top style="double">
        <color indexed="64"/>
      </top>
      <bottom style="thick">
        <color indexed="16"/>
      </bottom>
      <diagonal/>
    </border>
    <border>
      <left/>
      <right/>
      <top style="double">
        <color indexed="64"/>
      </top>
      <bottom style="thick">
        <color indexed="16"/>
      </bottom>
      <diagonal/>
    </border>
    <border>
      <left/>
      <right style="double">
        <color indexed="64"/>
      </right>
      <top style="double">
        <color indexed="64"/>
      </top>
      <bottom style="thick">
        <color indexed="16"/>
      </bottom>
      <diagonal/>
    </border>
    <border>
      <left style="double">
        <color indexed="64"/>
      </left>
      <right style="thin">
        <color indexed="64"/>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double">
        <color indexed="64"/>
      </right>
      <top style="double">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thin">
        <color auto="1"/>
      </left>
      <right style="medium">
        <color auto="1"/>
      </right>
      <top style="double">
        <color auto="1"/>
      </top>
      <bottom style="thin">
        <color auto="1"/>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double">
        <color indexed="64"/>
      </left>
      <right style="hair">
        <color indexed="64"/>
      </right>
      <top style="hair">
        <color indexed="64"/>
      </top>
      <bottom/>
      <diagonal/>
    </border>
    <border>
      <left style="double">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double">
        <color indexed="64"/>
      </right>
      <top style="medium">
        <color indexed="64"/>
      </top>
      <bottom/>
      <diagonal/>
    </border>
    <border>
      <left style="double">
        <color indexed="64"/>
      </left>
      <right style="double">
        <color indexed="64"/>
      </right>
      <top style="medium">
        <color indexed="64"/>
      </top>
      <bottom/>
      <diagonal/>
    </border>
    <border>
      <left style="double">
        <color indexed="64"/>
      </left>
      <right style="double">
        <color indexed="64"/>
      </right>
      <top/>
      <bottom style="hair">
        <color indexed="64"/>
      </bottom>
      <diagonal/>
    </border>
    <border>
      <left style="double">
        <color indexed="64"/>
      </left>
      <right style="hair">
        <color indexed="64"/>
      </right>
      <top/>
      <bottom/>
      <diagonal/>
    </border>
    <border>
      <left style="hair">
        <color indexed="64"/>
      </left>
      <right style="hair">
        <color indexed="64"/>
      </right>
      <top/>
      <bottom/>
      <diagonal/>
    </border>
    <border>
      <left style="hair">
        <color indexed="64"/>
      </left>
      <right style="double">
        <color indexed="64"/>
      </right>
      <top/>
      <bottom/>
      <diagonal/>
    </border>
    <border>
      <left style="double">
        <color indexed="64"/>
      </left>
      <right style="double">
        <color indexed="64"/>
      </right>
      <top/>
      <bottom/>
      <diagonal/>
    </border>
    <border>
      <left style="double">
        <color indexed="64"/>
      </left>
      <right/>
      <top style="double">
        <color indexed="64"/>
      </top>
      <bottom style="thin">
        <color indexed="64"/>
      </bottom>
      <diagonal/>
    </border>
    <border>
      <left style="hair">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style="hair">
        <color indexed="64"/>
      </bottom>
      <diagonal/>
    </border>
    <border>
      <left/>
      <right/>
      <top/>
      <bottom style="hair">
        <color indexed="64"/>
      </bottom>
      <diagonal/>
    </border>
    <border>
      <left style="thin">
        <color indexed="64"/>
      </left>
      <right style="double">
        <color indexed="64"/>
      </right>
      <top/>
      <bottom style="hair">
        <color indexed="64"/>
      </bottom>
      <diagonal/>
    </border>
    <border>
      <left style="thin">
        <color indexed="64"/>
      </left>
      <right style="double">
        <color indexed="64"/>
      </right>
      <top style="hair">
        <color indexed="64"/>
      </top>
      <bottom style="double">
        <color indexed="64"/>
      </bottom>
      <diagonal/>
    </border>
    <border>
      <left style="double">
        <color indexed="64"/>
      </left>
      <right style="medium">
        <color indexed="64"/>
      </right>
      <top style="double">
        <color indexed="64"/>
      </top>
      <bottom/>
      <diagonal/>
    </border>
    <border>
      <left style="medium">
        <color indexed="64"/>
      </left>
      <right style="medium">
        <color indexed="64"/>
      </right>
      <top style="double">
        <color indexed="64"/>
      </top>
      <bottom/>
      <diagonal/>
    </border>
    <border>
      <left style="medium">
        <color indexed="64"/>
      </left>
      <right/>
      <top style="double">
        <color indexed="64"/>
      </top>
      <bottom/>
      <diagonal/>
    </border>
    <border>
      <left style="medium">
        <color indexed="64"/>
      </left>
      <right style="double">
        <color indexed="64"/>
      </right>
      <top style="double">
        <color indexed="64"/>
      </top>
      <bottom/>
      <diagonal/>
    </border>
    <border>
      <left style="double">
        <color indexed="64"/>
      </left>
      <right style="hair">
        <color indexed="64"/>
      </right>
      <top style="double">
        <color indexed="64"/>
      </top>
      <bottom style="hair">
        <color indexed="64"/>
      </bottom>
      <diagonal/>
    </border>
  </borders>
  <cellStyleXfs count="9">
    <xf numFmtId="0" fontId="0" fillId="0" borderId="0"/>
    <xf numFmtId="0" fontId="32"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xf numFmtId="0" fontId="61" fillId="0" borderId="0"/>
    <xf numFmtId="0" fontId="62" fillId="0" borderId="0"/>
    <xf numFmtId="0" fontId="1" fillId="0" borderId="0"/>
    <xf numFmtId="9" fontId="1" fillId="0" borderId="0" applyFont="0" applyFill="0" applyBorder="0" applyAlignment="0" applyProtection="0"/>
    <xf numFmtId="9" fontId="1" fillId="0" borderId="0" applyFont="0" applyFill="0" applyBorder="0" applyAlignment="0" applyProtection="0"/>
  </cellStyleXfs>
  <cellXfs count="552">
    <xf numFmtId="0" fontId="0" fillId="0" borderId="0" xfId="0"/>
    <xf numFmtId="0" fontId="4" fillId="0" borderId="0" xfId="0" applyFont="1" applyBorder="1" applyAlignment="1"/>
    <xf numFmtId="0" fontId="3" fillId="0" borderId="0" xfId="0" applyFont="1" applyBorder="1" applyAlignment="1">
      <alignment horizontal="right"/>
    </xf>
    <xf numFmtId="0" fontId="4" fillId="0" borderId="0" xfId="0" applyFont="1" applyBorder="1" applyAlignment="1">
      <alignment horizontal="left"/>
    </xf>
    <xf numFmtId="0" fontId="18" fillId="0" borderId="0" xfId="0" applyFont="1" applyBorder="1" applyAlignment="1"/>
    <xf numFmtId="0" fontId="28" fillId="0" borderId="0" xfId="0" applyFont="1" applyBorder="1" applyAlignment="1"/>
    <xf numFmtId="0" fontId="29" fillId="0" borderId="0" xfId="0" applyFont="1" applyBorder="1" applyAlignment="1"/>
    <xf numFmtId="0" fontId="30" fillId="0" borderId="0" xfId="0" applyFont="1" applyBorder="1" applyAlignment="1"/>
    <xf numFmtId="0" fontId="31" fillId="0" borderId="0" xfId="0" applyFont="1" applyBorder="1" applyAlignment="1"/>
    <xf numFmtId="0" fontId="4" fillId="0" borderId="0" xfId="0" applyNumberFormat="1" applyFont="1" applyBorder="1" applyAlignment="1">
      <alignment horizontal="left"/>
    </xf>
    <xf numFmtId="0" fontId="36" fillId="0" borderId="62" xfId="0" applyFont="1" applyBorder="1" applyAlignment="1">
      <alignment horizontal="centerContinuous" vertical="center" wrapText="1"/>
    </xf>
    <xf numFmtId="0" fontId="36" fillId="0" borderId="63" xfId="0" applyFont="1" applyBorder="1" applyAlignment="1">
      <alignment horizontal="centerContinuous" vertical="center" wrapText="1"/>
    </xf>
    <xf numFmtId="0" fontId="40" fillId="0" borderId="18" xfId="0" applyFont="1" applyBorder="1" applyAlignment="1">
      <alignment horizontal="centerContinuous" vertical="center" wrapText="1"/>
    </xf>
    <xf numFmtId="0" fontId="50" fillId="11" borderId="43" xfId="0" applyNumberFormat="1" applyFont="1" applyFill="1" applyBorder="1" applyAlignment="1">
      <alignment horizontal="center" vertical="center" wrapText="1"/>
    </xf>
    <xf numFmtId="0" fontId="11" fillId="3" borderId="44" xfId="0" applyNumberFormat="1" applyFont="1" applyFill="1" applyBorder="1" applyAlignment="1">
      <alignment horizontal="center" vertical="center" wrapText="1"/>
    </xf>
    <xf numFmtId="0" fontId="11" fillId="3" borderId="76" xfId="0" applyFont="1" applyFill="1" applyBorder="1" applyAlignment="1">
      <alignment horizontal="center" vertical="center" wrapText="1"/>
    </xf>
    <xf numFmtId="0" fontId="11" fillId="3" borderId="21" xfId="0" applyFont="1" applyFill="1" applyBorder="1" applyAlignment="1">
      <alignment horizontal="centerContinuous" vertical="center" wrapText="1"/>
    </xf>
    <xf numFmtId="0" fontId="11" fillId="3" borderId="22" xfId="0" applyFont="1" applyFill="1" applyBorder="1" applyAlignment="1">
      <alignment horizontal="center" vertical="center" wrapText="1"/>
    </xf>
    <xf numFmtId="0" fontId="11" fillId="3" borderId="22" xfId="0" applyNumberFormat="1" applyFont="1" applyFill="1" applyBorder="1" applyAlignment="1">
      <alignment horizontal="center" vertical="center" wrapText="1"/>
    </xf>
    <xf numFmtId="0" fontId="3" fillId="0" borderId="0" xfId="0" applyFont="1" applyBorder="1" applyAlignment="1">
      <alignment vertical="center" wrapText="1"/>
    </xf>
    <xf numFmtId="0" fontId="1" fillId="0" borderId="46" xfId="0" applyFont="1" applyFill="1" applyBorder="1" applyAlignment="1">
      <alignment horizontal="center" vertical="center"/>
    </xf>
    <xf numFmtId="0" fontId="2" fillId="0" borderId="0" xfId="0" applyFont="1" applyBorder="1" applyAlignment="1">
      <alignment horizontal="centerContinuous" vertical="center"/>
    </xf>
    <xf numFmtId="0" fontId="4" fillId="0" borderId="0" xfId="0" applyFont="1" applyBorder="1" applyAlignment="1">
      <alignment vertical="center"/>
    </xf>
    <xf numFmtId="0" fontId="20" fillId="13" borderId="15" xfId="0" applyFont="1" applyFill="1" applyBorder="1" applyAlignment="1">
      <alignment horizontal="center" vertical="center"/>
    </xf>
    <xf numFmtId="0" fontId="20" fillId="13" borderId="16" xfId="0" applyFont="1" applyFill="1" applyBorder="1" applyAlignment="1">
      <alignment horizontal="center" vertical="center"/>
    </xf>
    <xf numFmtId="49" fontId="20" fillId="13" borderId="16" xfId="0" applyNumberFormat="1" applyFont="1" applyFill="1" applyBorder="1" applyAlignment="1">
      <alignment horizontal="center" vertical="center"/>
    </xf>
    <xf numFmtId="0" fontId="20" fillId="13" borderId="20" xfId="0" applyFont="1" applyFill="1" applyBorder="1" applyAlignment="1">
      <alignment horizontal="center" vertical="center"/>
    </xf>
    <xf numFmtId="0" fontId="53" fillId="11" borderId="20" xfId="0" applyFont="1" applyFill="1" applyBorder="1" applyAlignment="1">
      <alignment horizontal="center" vertical="center"/>
    </xf>
    <xf numFmtId="0" fontId="20" fillId="13" borderId="17" xfId="0" applyFont="1" applyFill="1" applyBorder="1" applyAlignment="1">
      <alignment horizontal="center" vertical="center"/>
    </xf>
    <xf numFmtId="0" fontId="1" fillId="0" borderId="52" xfId="0" applyFont="1" applyFill="1" applyBorder="1" applyAlignment="1">
      <alignment horizontal="center" vertical="center"/>
    </xf>
    <xf numFmtId="49" fontId="1" fillId="0" borderId="52" xfId="2" applyNumberFormat="1" applyFont="1" applyFill="1" applyBorder="1" applyAlignment="1">
      <alignment horizontal="center" vertical="center"/>
    </xf>
    <xf numFmtId="0" fontId="1" fillId="0" borderId="52" xfId="0" applyFont="1" applyBorder="1" applyAlignment="1">
      <alignment horizontal="center" vertical="center"/>
    </xf>
    <xf numFmtId="164" fontId="1" fillId="0" borderId="52" xfId="0" applyNumberFormat="1" applyFont="1" applyFill="1" applyBorder="1" applyAlignment="1">
      <alignment horizontal="center" vertical="center"/>
    </xf>
    <xf numFmtId="164" fontId="4" fillId="0" borderId="52" xfId="0" applyNumberFormat="1" applyFont="1" applyFill="1" applyBorder="1" applyAlignment="1">
      <alignment horizontal="center" vertical="center"/>
    </xf>
    <xf numFmtId="0" fontId="1" fillId="0" borderId="54" xfId="0" applyFont="1" applyFill="1" applyBorder="1" applyAlignment="1">
      <alignment horizontal="center" vertical="center"/>
    </xf>
    <xf numFmtId="0" fontId="4" fillId="0" borderId="0" xfId="0" applyFont="1" applyBorder="1" applyAlignment="1">
      <alignment horizontal="center" vertical="center"/>
    </xf>
    <xf numFmtId="164" fontId="1" fillId="0" borderId="79" xfId="0" applyNumberFormat="1" applyFont="1" applyFill="1" applyBorder="1" applyAlignment="1">
      <alignment horizontal="center" vertical="center"/>
    </xf>
    <xf numFmtId="0" fontId="4" fillId="0" borderId="57" xfId="0" applyFont="1" applyBorder="1" applyAlignment="1">
      <alignment horizontal="center" vertical="center"/>
    </xf>
    <xf numFmtId="164" fontId="4" fillId="0" borderId="57" xfId="0" applyNumberFormat="1" applyFont="1" applyBorder="1" applyAlignment="1">
      <alignment horizontal="center" vertical="center"/>
    </xf>
    <xf numFmtId="0" fontId="4" fillId="0" borderId="0" xfId="0" applyFont="1" applyBorder="1" applyAlignment="1">
      <alignment horizontal="centerContinuous" vertical="center"/>
    </xf>
    <xf numFmtId="164" fontId="4" fillId="0" borderId="0" xfId="0" applyNumberFormat="1" applyFont="1" applyBorder="1" applyAlignment="1">
      <alignment horizontal="center" vertical="center"/>
    </xf>
    <xf numFmtId="0" fontId="20" fillId="13" borderId="20" xfId="0" applyFont="1" applyFill="1" applyBorder="1" applyAlignment="1">
      <alignment horizontal="centerContinuous" vertical="center"/>
    </xf>
    <xf numFmtId="0" fontId="20" fillId="13" borderId="62" xfId="0" applyFont="1" applyFill="1" applyBorder="1" applyAlignment="1">
      <alignment horizontal="centerContinuous" vertical="center"/>
    </xf>
    <xf numFmtId="0" fontId="20" fillId="13" borderId="63" xfId="0" applyFont="1" applyFill="1" applyBorder="1" applyAlignment="1">
      <alignment horizontal="centerContinuous" vertical="center"/>
    </xf>
    <xf numFmtId="0" fontId="1" fillId="0" borderId="79" xfId="0" applyFont="1" applyBorder="1" applyAlignment="1">
      <alignment horizontal="center" vertical="center"/>
    </xf>
    <xf numFmtId="164" fontId="4" fillId="0" borderId="80" xfId="0" applyNumberFormat="1" applyFont="1" applyFill="1" applyBorder="1" applyAlignment="1">
      <alignment horizontal="centerContinuous" vertical="center"/>
    </xf>
    <xf numFmtId="164" fontId="4" fillId="0" borderId="65" xfId="0" applyNumberFormat="1" applyFont="1" applyFill="1" applyBorder="1" applyAlignment="1">
      <alignment horizontal="centerContinuous" vertical="center"/>
    </xf>
    <xf numFmtId="0" fontId="4" fillId="0" borderId="66" xfId="0" quotePrefix="1" applyFont="1" applyBorder="1" applyAlignment="1">
      <alignment horizontal="centerContinuous" vertical="center"/>
    </xf>
    <xf numFmtId="9" fontId="4" fillId="0" borderId="57" xfId="0" applyNumberFormat="1" applyFont="1" applyBorder="1" applyAlignment="1">
      <alignment horizontal="center" vertical="center"/>
    </xf>
    <xf numFmtId="164" fontId="4" fillId="0" borderId="58" xfId="0" applyNumberFormat="1" applyFont="1" applyBorder="1" applyAlignment="1">
      <alignment horizontal="centerContinuous" vertical="center"/>
    </xf>
    <xf numFmtId="164" fontId="4" fillId="0" borderId="9" xfId="0" applyNumberFormat="1" applyFont="1" applyBorder="1" applyAlignment="1">
      <alignment horizontal="centerContinuous" vertical="center"/>
    </xf>
    <xf numFmtId="0" fontId="4" fillId="0" borderId="10" xfId="0" applyFont="1" applyBorder="1" applyAlignment="1">
      <alignment horizontal="centerContinuous" vertical="center"/>
    </xf>
    <xf numFmtId="0" fontId="17" fillId="0" borderId="0" xfId="0" applyFont="1" applyBorder="1" applyAlignment="1">
      <alignment horizontal="right" vertical="center"/>
    </xf>
    <xf numFmtId="0" fontId="20" fillId="13" borderId="18" xfId="0" applyFont="1" applyFill="1" applyBorder="1" applyAlignment="1">
      <alignment horizontal="centerContinuous" vertical="center"/>
    </xf>
    <xf numFmtId="0" fontId="20" fillId="13" borderId="19" xfId="0" applyFont="1" applyFill="1" applyBorder="1" applyAlignment="1">
      <alignment horizontal="centerContinuous" vertical="center"/>
    </xf>
    <xf numFmtId="0" fontId="20" fillId="13" borderId="63" xfId="0" applyFont="1" applyFill="1" applyBorder="1" applyAlignment="1">
      <alignment horizontal="center" vertical="center"/>
    </xf>
    <xf numFmtId="0" fontId="4" fillId="0" borderId="64" xfId="0" applyFont="1" applyFill="1" applyBorder="1" applyAlignment="1">
      <alignment horizontal="centerContinuous" vertical="center"/>
    </xf>
    <xf numFmtId="0" fontId="4" fillId="0" borderId="65" xfId="0" applyFont="1" applyFill="1" applyBorder="1" applyAlignment="1">
      <alignment horizontal="centerContinuous" vertical="center"/>
    </xf>
    <xf numFmtId="0" fontId="4" fillId="0" borderId="80" xfId="0" applyFont="1" applyFill="1" applyBorder="1" applyAlignment="1">
      <alignment horizontal="centerContinuous" vertical="center"/>
    </xf>
    <xf numFmtId="0" fontId="4" fillId="0" borderId="79" xfId="0" applyFont="1" applyFill="1" applyBorder="1" applyAlignment="1">
      <alignment horizontal="center" vertical="center"/>
    </xf>
    <xf numFmtId="49" fontId="1" fillId="0" borderId="80" xfId="0" applyNumberFormat="1" applyFont="1" applyFill="1" applyBorder="1" applyAlignment="1">
      <alignment horizontal="center" vertical="center"/>
    </xf>
    <xf numFmtId="0" fontId="4" fillId="0" borderId="66" xfId="0" applyFont="1" applyFill="1" applyBorder="1" applyAlignment="1">
      <alignment horizontal="center" vertical="center"/>
    </xf>
    <xf numFmtId="0" fontId="4" fillId="0" borderId="51" xfId="0" applyFont="1" applyFill="1" applyBorder="1" applyAlignment="1">
      <alignment horizontal="centerContinuous" vertical="center"/>
    </xf>
    <xf numFmtId="0" fontId="4" fillId="0" borderId="83" xfId="0" applyFont="1" applyFill="1" applyBorder="1" applyAlignment="1">
      <alignment horizontal="centerContinuous" vertical="center"/>
    </xf>
    <xf numFmtId="0" fontId="4" fillId="0" borderId="81" xfId="0" applyFont="1" applyFill="1" applyBorder="1" applyAlignment="1">
      <alignment horizontal="centerContinuous" vertical="center"/>
    </xf>
    <xf numFmtId="164" fontId="4" fillId="0" borderId="82" xfId="0" applyNumberFormat="1" applyFont="1" applyFill="1" applyBorder="1" applyAlignment="1">
      <alignment horizontal="center" vertical="center"/>
    </xf>
    <xf numFmtId="49" fontId="4" fillId="0" borderId="81" xfId="0" applyNumberFormat="1" applyFont="1" applyFill="1" applyBorder="1" applyAlignment="1">
      <alignment horizontal="center" vertical="center"/>
    </xf>
    <xf numFmtId="164" fontId="4" fillId="0" borderId="84" xfId="0" applyNumberFormat="1" applyFont="1" applyBorder="1" applyAlignment="1">
      <alignment horizontal="centerContinuous" vertical="center"/>
    </xf>
    <xf numFmtId="0" fontId="4" fillId="0" borderId="85" xfId="0" applyFont="1" applyFill="1" applyBorder="1" applyAlignment="1">
      <alignment horizontal="center" vertical="center"/>
    </xf>
    <xf numFmtId="164" fontId="2" fillId="0" borderId="0" xfId="0" applyNumberFormat="1" applyFont="1" applyBorder="1" applyAlignment="1">
      <alignment horizontal="centerContinuous" vertical="center"/>
    </xf>
    <xf numFmtId="0" fontId="20" fillId="3" borderId="43" xfId="0" applyFont="1" applyFill="1" applyBorder="1" applyAlignment="1">
      <alignment horizontal="center" vertical="center"/>
    </xf>
    <xf numFmtId="164" fontId="20" fillId="3" borderId="44" xfId="0" applyNumberFormat="1" applyFont="1" applyFill="1" applyBorder="1" applyAlignment="1">
      <alignment horizontal="center" vertical="center"/>
    </xf>
    <xf numFmtId="0" fontId="20" fillId="3" borderId="43" xfId="0" applyFont="1" applyFill="1" applyBorder="1" applyAlignment="1">
      <alignment horizontal="right" vertical="center"/>
    </xf>
    <xf numFmtId="0" fontId="20" fillId="3" borderId="45" xfId="0" applyFont="1" applyFill="1" applyBorder="1" applyAlignment="1">
      <alignment vertical="center"/>
    </xf>
    <xf numFmtId="0" fontId="1" fillId="0" borderId="70" xfId="0" applyFont="1" applyBorder="1" applyAlignment="1">
      <alignment horizontal="center" vertical="center" shrinkToFit="1"/>
    </xf>
    <xf numFmtId="164" fontId="4" fillId="0" borderId="46" xfId="0" applyNumberFormat="1" applyFont="1" applyBorder="1" applyAlignment="1">
      <alignment horizontal="center" vertical="center" shrinkToFit="1"/>
    </xf>
    <xf numFmtId="0" fontId="4" fillId="0" borderId="47" xfId="0" applyFont="1" applyBorder="1" applyAlignment="1">
      <alignment horizontal="left" vertical="center"/>
    </xf>
    <xf numFmtId="0" fontId="4" fillId="0" borderId="48" xfId="0" applyFont="1" applyBorder="1" applyAlignment="1">
      <alignment horizontal="left" vertical="center" shrinkToFit="1"/>
    </xf>
    <xf numFmtId="0" fontId="4" fillId="0" borderId="70" xfId="0" applyFont="1" applyBorder="1" applyAlignment="1">
      <alignment horizontal="center" vertical="center" shrinkToFit="1"/>
    </xf>
    <xf numFmtId="164" fontId="1" fillId="0" borderId="46" xfId="0" applyNumberFormat="1" applyFont="1" applyBorder="1" applyAlignment="1">
      <alignment horizontal="center" vertical="center" shrinkToFit="1"/>
    </xf>
    <xf numFmtId="0" fontId="4" fillId="0" borderId="49" xfId="0" applyFont="1" applyBorder="1" applyAlignment="1">
      <alignment horizontal="left" vertical="center"/>
    </xf>
    <xf numFmtId="0" fontId="4" fillId="0" borderId="50" xfId="0" applyFont="1" applyBorder="1" applyAlignment="1">
      <alignment horizontal="left" vertical="center" shrinkToFit="1"/>
    </xf>
    <xf numFmtId="0" fontId="33" fillId="0" borderId="33" xfId="0" applyFont="1" applyBorder="1" applyAlignment="1">
      <alignment horizontal="centerContinuous" vertical="center" wrapText="1"/>
    </xf>
    <xf numFmtId="0" fontId="14" fillId="0" borderId="34" xfId="0" applyFont="1" applyBorder="1" applyAlignment="1">
      <alignment horizontal="centerContinuous" vertical="center" wrapText="1"/>
    </xf>
    <xf numFmtId="0" fontId="14" fillId="0" borderId="35" xfId="0" applyFont="1" applyBorder="1" applyAlignment="1">
      <alignment horizontal="centerContinuous" vertical="center" wrapText="1"/>
    </xf>
    <xf numFmtId="0" fontId="4" fillId="0" borderId="0" xfId="0" applyFont="1" applyBorder="1" applyAlignment="1">
      <alignment vertical="center" wrapText="1"/>
    </xf>
    <xf numFmtId="0" fontId="34" fillId="0" borderId="36" xfId="0" applyFont="1" applyBorder="1" applyAlignment="1">
      <alignment horizontal="centerContinuous" vertical="center"/>
    </xf>
    <xf numFmtId="0" fontId="11" fillId="10" borderId="37" xfId="0" applyFont="1" applyFill="1" applyBorder="1" applyAlignment="1">
      <alignment horizontal="centerContinuous" vertical="center" wrapText="1"/>
    </xf>
    <xf numFmtId="0" fontId="11" fillId="10" borderId="38" xfId="0" applyFont="1" applyFill="1" applyBorder="1" applyAlignment="1">
      <alignment horizontal="center" vertical="center" wrapText="1"/>
    </xf>
    <xf numFmtId="0" fontId="11" fillId="10" borderId="39" xfId="0" applyFont="1" applyFill="1" applyBorder="1" applyAlignment="1">
      <alignment horizontal="center" vertical="center" wrapText="1"/>
    </xf>
    <xf numFmtId="0" fontId="4" fillId="0" borderId="0" xfId="0" applyFont="1" applyBorder="1" applyAlignment="1">
      <alignment horizontal="left" vertical="center"/>
    </xf>
    <xf numFmtId="0" fontId="51" fillId="0" borderId="42" xfId="0" applyFont="1" applyFill="1" applyBorder="1" applyAlignment="1">
      <alignment horizontal="centerContinuous" vertical="center" shrinkToFit="1"/>
    </xf>
    <xf numFmtId="0" fontId="37" fillId="0" borderId="42" xfId="0" applyFont="1" applyBorder="1" applyAlignment="1">
      <alignment horizontal="centerContinuous" vertical="center"/>
    </xf>
    <xf numFmtId="0" fontId="1" fillId="0" borderId="0" xfId="0" applyFont="1" applyBorder="1" applyAlignment="1">
      <alignment vertical="center" wrapText="1"/>
    </xf>
    <xf numFmtId="0" fontId="35" fillId="9" borderId="40" xfId="2" applyNumberFormat="1" applyFont="1" applyFill="1" applyBorder="1" applyAlignment="1">
      <alignment horizontal="center" vertical="center" shrinkToFit="1"/>
    </xf>
    <xf numFmtId="0" fontId="16" fillId="0" borderId="42" xfId="0" applyFont="1" applyFill="1" applyBorder="1" applyAlignment="1">
      <alignment horizontal="center" vertical="center" shrinkToFit="1"/>
    </xf>
    <xf numFmtId="0" fontId="26" fillId="0" borderId="42" xfId="0" applyFont="1" applyBorder="1" applyAlignment="1">
      <alignment horizontal="centerContinuous" vertical="center"/>
    </xf>
    <xf numFmtId="0" fontId="35" fillId="9" borderId="41" xfId="2" applyNumberFormat="1" applyFont="1" applyFill="1" applyBorder="1" applyAlignment="1">
      <alignment horizontal="center" vertical="center" shrinkToFit="1"/>
    </xf>
    <xf numFmtId="0" fontId="4" fillId="0" borderId="0" xfId="0" applyFont="1" applyBorder="1" applyAlignment="1">
      <alignment horizontal="left" vertical="center" wrapText="1"/>
    </xf>
    <xf numFmtId="0" fontId="3" fillId="0" borderId="0" xfId="0" applyFont="1" applyBorder="1" applyAlignment="1">
      <alignment horizontal="right" vertical="center" wrapText="1"/>
    </xf>
    <xf numFmtId="0" fontId="41" fillId="0" borderId="36" xfId="0" applyFont="1" applyBorder="1" applyAlignment="1">
      <alignment horizontal="centerContinuous" vertical="center"/>
    </xf>
    <xf numFmtId="0" fontId="6" fillId="0" borderId="61" xfId="0" applyFont="1" applyFill="1" applyBorder="1" applyAlignment="1">
      <alignment horizontal="center" vertical="center" shrinkToFit="1"/>
    </xf>
    <xf numFmtId="0" fontId="6" fillId="0" borderId="64" xfId="0" applyFont="1" applyFill="1" applyBorder="1" applyAlignment="1">
      <alignment horizontal="centerContinuous" vertical="center"/>
    </xf>
    <xf numFmtId="0" fontId="6" fillId="0" borderId="65" xfId="0" applyFont="1" applyFill="1" applyBorder="1" applyAlignment="1">
      <alignment horizontal="centerContinuous" vertical="center"/>
    </xf>
    <xf numFmtId="0" fontId="6" fillId="0" borderId="66" xfId="0" applyFont="1" applyFill="1" applyBorder="1" applyAlignment="1">
      <alignment horizontal="centerContinuous" vertical="center"/>
    </xf>
    <xf numFmtId="0" fontId="6" fillId="0" borderId="8" xfId="0" applyFont="1" applyFill="1" applyBorder="1" applyAlignment="1">
      <alignment horizontal="centerContinuous" vertical="center"/>
    </xf>
    <xf numFmtId="0" fontId="6" fillId="0" borderId="9" xfId="0" applyFont="1" applyFill="1" applyBorder="1" applyAlignment="1">
      <alignment horizontal="centerContinuous" vertical="center"/>
    </xf>
    <xf numFmtId="0" fontId="6" fillId="0" borderId="10" xfId="0" applyFont="1" applyFill="1" applyBorder="1" applyAlignment="1">
      <alignment horizontal="centerContinuous" vertical="center"/>
    </xf>
    <xf numFmtId="0" fontId="24" fillId="0" borderId="24" xfId="0" applyFont="1" applyBorder="1" applyAlignment="1">
      <alignment horizontal="centerContinuous" vertical="center"/>
    </xf>
    <xf numFmtId="0" fontId="14" fillId="0" borderId="0" xfId="0" applyFont="1" applyBorder="1" applyAlignment="1">
      <alignment horizontal="centerContinuous" vertical="center"/>
    </xf>
    <xf numFmtId="0" fontId="14" fillId="0" borderId="0" xfId="0" applyNumberFormat="1" applyFont="1" applyBorder="1" applyAlignment="1">
      <alignment horizontal="centerContinuous" vertical="center"/>
    </xf>
    <xf numFmtId="0" fontId="46" fillId="0" borderId="1" xfId="0" applyFont="1" applyFill="1" applyBorder="1" applyAlignment="1">
      <alignment vertical="center"/>
    </xf>
    <xf numFmtId="0" fontId="6" fillId="0" borderId="26" xfId="0" applyFont="1" applyFill="1" applyBorder="1" applyAlignment="1">
      <alignment horizontal="center" vertical="center"/>
    </xf>
    <xf numFmtId="0" fontId="26" fillId="0" borderId="27" xfId="0" applyNumberFormat="1" applyFont="1" applyFill="1" applyBorder="1" applyAlignment="1">
      <alignment horizontal="center" vertical="center"/>
    </xf>
    <xf numFmtId="49" fontId="6" fillId="0" borderId="26" xfId="0" applyNumberFormat="1" applyFont="1" applyFill="1" applyBorder="1" applyAlignment="1">
      <alignment horizontal="center" vertical="center"/>
    </xf>
    <xf numFmtId="1" fontId="6" fillId="0" borderId="26" xfId="0" applyNumberFormat="1" applyFont="1" applyFill="1" applyBorder="1" applyAlignment="1">
      <alignment horizontal="center" vertical="center" wrapText="1"/>
    </xf>
    <xf numFmtId="0" fontId="48" fillId="11" borderId="27" xfId="0" applyNumberFormat="1" applyFont="1" applyFill="1" applyBorder="1" applyAlignment="1">
      <alignment horizontal="center" vertical="center"/>
    </xf>
    <xf numFmtId="0" fontId="49" fillId="0" borderId="1" xfId="0" applyFont="1" applyFill="1" applyBorder="1" applyAlignment="1">
      <alignment vertical="center"/>
    </xf>
    <xf numFmtId="0" fontId="23" fillId="0" borderId="27" xfId="0" applyNumberFormat="1" applyFont="1" applyFill="1" applyBorder="1" applyAlignment="1">
      <alignment horizontal="center" vertical="center"/>
    </xf>
    <xf numFmtId="0" fontId="12" fillId="0" borderId="27" xfId="0" applyNumberFormat="1" applyFont="1" applyFill="1" applyBorder="1" applyAlignment="1">
      <alignment horizontal="center" vertical="center"/>
    </xf>
    <xf numFmtId="49" fontId="6" fillId="0" borderId="26" xfId="0" applyNumberFormat="1" applyFont="1" applyFill="1" applyBorder="1" applyAlignment="1">
      <alignment horizontal="center" vertical="center" wrapText="1"/>
    </xf>
    <xf numFmtId="0" fontId="6" fillId="0" borderId="28" xfId="0" applyNumberFormat="1" applyFont="1" applyFill="1" applyBorder="1" applyAlignment="1">
      <alignment horizontal="center" vertical="center"/>
    </xf>
    <xf numFmtId="0" fontId="47" fillId="0" borderId="37" xfId="0" applyFont="1" applyFill="1" applyBorder="1" applyAlignment="1">
      <alignment vertical="center"/>
    </xf>
    <xf numFmtId="0" fontId="6" fillId="0" borderId="56" xfId="0" applyFont="1" applyFill="1" applyBorder="1" applyAlignment="1">
      <alignment horizontal="center" vertical="center"/>
    </xf>
    <xf numFmtId="0" fontId="27" fillId="0" borderId="13" xfId="0" applyNumberFormat="1" applyFont="1" applyFill="1" applyBorder="1" applyAlignment="1">
      <alignment horizontal="center" vertical="center"/>
    </xf>
    <xf numFmtId="0" fontId="27" fillId="0" borderId="56" xfId="0" applyNumberFormat="1" applyFont="1" applyFill="1" applyBorder="1" applyAlignment="1">
      <alignment horizontal="center" vertical="center"/>
    </xf>
    <xf numFmtId="49" fontId="6" fillId="0" borderId="56" xfId="0" applyNumberFormat="1" applyFont="1" applyFill="1" applyBorder="1" applyAlignment="1">
      <alignment horizontal="center" vertical="center" wrapText="1"/>
    </xf>
    <xf numFmtId="1" fontId="6" fillId="0" borderId="56" xfId="0" applyNumberFormat="1" applyFont="1" applyFill="1" applyBorder="1" applyAlignment="1">
      <alignment horizontal="center" vertical="center" wrapText="1"/>
    </xf>
    <xf numFmtId="0" fontId="48" fillId="11" borderId="56" xfId="0" applyNumberFormat="1" applyFont="1" applyFill="1" applyBorder="1" applyAlignment="1">
      <alignment horizontal="center" vertical="center"/>
    </xf>
    <xf numFmtId="0" fontId="10" fillId="0" borderId="1" xfId="0" applyFont="1" applyFill="1" applyBorder="1" applyAlignment="1">
      <alignment vertical="center"/>
    </xf>
    <xf numFmtId="0" fontId="6" fillId="0" borderId="26" xfId="0" applyNumberFormat="1" applyFont="1" applyFill="1" applyBorder="1" applyAlignment="1">
      <alignment horizontal="center" vertical="center"/>
    </xf>
    <xf numFmtId="49" fontId="15" fillId="0" borderId="26" xfId="0" applyNumberFormat="1" applyFont="1" applyFill="1" applyBorder="1" applyAlignment="1">
      <alignment horizontal="center" vertical="center"/>
    </xf>
    <xf numFmtId="0" fontId="15" fillId="0" borderId="27" xfId="0" applyNumberFormat="1" applyFont="1" applyFill="1" applyBorder="1" applyAlignment="1">
      <alignment horizontal="center" vertical="center"/>
    </xf>
    <xf numFmtId="0" fontId="6" fillId="0" borderId="27" xfId="0" applyNumberFormat="1" applyFont="1" applyFill="1" applyBorder="1" applyAlignment="1">
      <alignment horizontal="center" vertical="center"/>
    </xf>
    <xf numFmtId="49" fontId="6" fillId="0" borderId="27" xfId="0" applyNumberFormat="1" applyFont="1" applyFill="1" applyBorder="1" applyAlignment="1">
      <alignment horizontal="center" vertical="center"/>
    </xf>
    <xf numFmtId="0" fontId="12" fillId="0" borderId="1" xfId="0" applyFont="1" applyFill="1" applyBorder="1" applyAlignment="1">
      <alignment vertical="center"/>
    </xf>
    <xf numFmtId="49" fontId="23" fillId="0" borderId="26" xfId="0" applyNumberFormat="1" applyFont="1" applyFill="1" applyBorder="1" applyAlignment="1">
      <alignment horizontal="center" vertical="center"/>
    </xf>
    <xf numFmtId="0" fontId="13" fillId="0" borderId="1" xfId="0" applyFont="1" applyFill="1" applyBorder="1" applyAlignment="1">
      <alignment vertical="center"/>
    </xf>
    <xf numFmtId="49" fontId="22" fillId="0" borderId="26" xfId="0" applyNumberFormat="1" applyFont="1" applyFill="1" applyBorder="1" applyAlignment="1">
      <alignment horizontal="center" vertical="center"/>
    </xf>
    <xf numFmtId="0" fontId="22" fillId="0" borderId="27" xfId="0" applyNumberFormat="1" applyFont="1" applyFill="1" applyBorder="1" applyAlignment="1">
      <alignment horizontal="center" vertical="center"/>
    </xf>
    <xf numFmtId="0" fontId="13" fillId="0" borderId="27" xfId="0" applyNumberFormat="1" applyFont="1" applyFill="1" applyBorder="1" applyAlignment="1">
      <alignment horizontal="center" vertical="center"/>
    </xf>
    <xf numFmtId="0" fontId="7" fillId="0" borderId="1" xfId="0" applyFont="1" applyFill="1" applyBorder="1" applyAlignment="1">
      <alignment vertical="center"/>
    </xf>
    <xf numFmtId="49" fontId="16" fillId="0" borderId="26" xfId="0" applyNumberFormat="1" applyFont="1" applyFill="1" applyBorder="1" applyAlignment="1">
      <alignment horizontal="center" vertical="center"/>
    </xf>
    <xf numFmtId="0" fontId="16" fillId="0" borderId="27" xfId="0" applyNumberFormat="1" applyFont="1" applyFill="1" applyBorder="1" applyAlignment="1">
      <alignment horizontal="center" vertical="center"/>
    </xf>
    <xf numFmtId="0" fontId="6" fillId="14" borderId="26" xfId="0" applyNumberFormat="1" applyFont="1" applyFill="1" applyBorder="1" applyAlignment="1">
      <alignment horizontal="center" vertical="center"/>
    </xf>
    <xf numFmtId="49" fontId="6" fillId="14" borderId="27" xfId="0" applyNumberFormat="1" applyFont="1" applyFill="1" applyBorder="1" applyAlignment="1">
      <alignment horizontal="center" vertical="center"/>
    </xf>
    <xf numFmtId="0" fontId="6" fillId="14" borderId="28" xfId="0" applyNumberFormat="1" applyFont="1" applyFill="1" applyBorder="1" applyAlignment="1">
      <alignment horizontal="center" vertical="center"/>
    </xf>
    <xf numFmtId="0" fontId="10" fillId="5" borderId="1" xfId="0" applyFont="1" applyFill="1" applyBorder="1" applyAlignment="1">
      <alignment vertical="center"/>
    </xf>
    <xf numFmtId="0" fontId="6" fillId="5" borderId="26" xfId="0" applyNumberFormat="1" applyFont="1" applyFill="1" applyBorder="1" applyAlignment="1">
      <alignment horizontal="center" vertical="center"/>
    </xf>
    <xf numFmtId="49" fontId="15" fillId="5" borderId="26" xfId="0" applyNumberFormat="1" applyFont="1" applyFill="1" applyBorder="1" applyAlignment="1">
      <alignment horizontal="center" vertical="center"/>
    </xf>
    <xf numFmtId="0" fontId="15" fillId="5" borderId="27" xfId="0" applyNumberFormat="1" applyFont="1" applyFill="1" applyBorder="1" applyAlignment="1">
      <alignment horizontal="center" vertical="center"/>
    </xf>
    <xf numFmtId="49" fontId="6" fillId="5" borderId="27" xfId="0" applyNumberFormat="1" applyFont="1" applyFill="1" applyBorder="1" applyAlignment="1">
      <alignment horizontal="center" vertical="center"/>
    </xf>
    <xf numFmtId="0" fontId="6" fillId="5" borderId="28" xfId="0" applyNumberFormat="1" applyFont="1" applyFill="1" applyBorder="1" applyAlignment="1">
      <alignment horizontal="center" vertical="center"/>
    </xf>
    <xf numFmtId="0" fontId="13" fillId="14" borderId="1" xfId="0" applyFont="1" applyFill="1" applyBorder="1" applyAlignment="1">
      <alignment vertical="center"/>
    </xf>
    <xf numFmtId="49" fontId="22" fillId="14" borderId="26" xfId="0" applyNumberFormat="1" applyFont="1" applyFill="1" applyBorder="1" applyAlignment="1">
      <alignment horizontal="center" vertical="center"/>
    </xf>
    <xf numFmtId="0" fontId="22" fillId="14" borderId="27" xfId="0" applyNumberFormat="1" applyFont="1" applyFill="1" applyBorder="1" applyAlignment="1">
      <alignment horizontal="center" vertical="center"/>
    </xf>
    <xf numFmtId="0" fontId="13" fillId="14" borderId="27" xfId="0" applyNumberFormat="1" applyFont="1" applyFill="1" applyBorder="1" applyAlignment="1">
      <alignment horizontal="center" vertical="center"/>
    </xf>
    <xf numFmtId="0" fontId="6" fillId="0" borderId="28" xfId="0" applyNumberFormat="1" applyFont="1" applyFill="1" applyBorder="1" applyAlignment="1">
      <alignment horizontal="center" vertical="center" wrapText="1"/>
    </xf>
    <xf numFmtId="0" fontId="10" fillId="6" borderId="1" xfId="0" applyFont="1" applyFill="1" applyBorder="1" applyAlignment="1">
      <alignment vertical="center"/>
    </xf>
    <xf numFmtId="0" fontId="6" fillId="6" borderId="26" xfId="0" applyNumberFormat="1" applyFont="1" applyFill="1" applyBorder="1" applyAlignment="1">
      <alignment horizontal="center" vertical="center"/>
    </xf>
    <xf numFmtId="49" fontId="15" fillId="6" borderId="26" xfId="0" applyNumberFormat="1" applyFont="1" applyFill="1" applyBorder="1" applyAlignment="1">
      <alignment horizontal="center" vertical="center"/>
    </xf>
    <xf numFmtId="0" fontId="15" fillId="6" borderId="27" xfId="0" applyNumberFormat="1" applyFont="1" applyFill="1" applyBorder="1" applyAlignment="1">
      <alignment horizontal="center" vertical="center"/>
    </xf>
    <xf numFmtId="49" fontId="6" fillId="6" borderId="27" xfId="0" applyNumberFormat="1" applyFont="1" applyFill="1" applyBorder="1" applyAlignment="1">
      <alignment horizontal="center" vertical="center"/>
    </xf>
    <xf numFmtId="0" fontId="21" fillId="0" borderId="1" xfId="0" applyFont="1" applyFill="1" applyBorder="1" applyAlignment="1">
      <alignment vertical="center"/>
    </xf>
    <xf numFmtId="49" fontId="27" fillId="0" borderId="26" xfId="0" applyNumberFormat="1" applyFont="1" applyFill="1" applyBorder="1" applyAlignment="1">
      <alignment horizontal="center" vertical="center"/>
    </xf>
    <xf numFmtId="0" fontId="27" fillId="0" borderId="27" xfId="0" applyNumberFormat="1" applyFont="1" applyFill="1" applyBorder="1" applyAlignment="1">
      <alignment horizontal="center" vertical="center"/>
    </xf>
    <xf numFmtId="0" fontId="13" fillId="6" borderId="1" xfId="0" applyFont="1" applyFill="1" applyBorder="1" applyAlignment="1">
      <alignment vertical="center"/>
    </xf>
    <xf numFmtId="49" fontId="22" fillId="7" borderId="26" xfId="0" applyNumberFormat="1" applyFont="1" applyFill="1" applyBorder="1" applyAlignment="1">
      <alignment horizontal="center" vertical="center"/>
    </xf>
    <xf numFmtId="0" fontId="22" fillId="7" borderId="27" xfId="0" applyNumberFormat="1" applyFont="1" applyFill="1" applyBorder="1" applyAlignment="1">
      <alignment horizontal="center" vertical="center"/>
    </xf>
    <xf numFmtId="0" fontId="22" fillId="6" borderId="27" xfId="0" applyNumberFormat="1" applyFont="1" applyFill="1" applyBorder="1" applyAlignment="1">
      <alignment horizontal="center" vertical="center"/>
    </xf>
    <xf numFmtId="0" fontId="10" fillId="14" borderId="1" xfId="0" applyFont="1" applyFill="1" applyBorder="1" applyAlignment="1">
      <alignment vertical="center"/>
    </xf>
    <xf numFmtId="49" fontId="15" fillId="14" borderId="26" xfId="0" applyNumberFormat="1" applyFont="1" applyFill="1" applyBorder="1" applyAlignment="1">
      <alignment horizontal="center" vertical="center"/>
    </xf>
    <xf numFmtId="0" fontId="15" fillId="14" borderId="27" xfId="0" applyNumberFormat="1" applyFont="1" applyFill="1" applyBorder="1" applyAlignment="1">
      <alignment horizontal="center" vertical="center"/>
    </xf>
    <xf numFmtId="0" fontId="21" fillId="0" borderId="27" xfId="0" applyNumberFormat="1" applyFont="1" applyFill="1" applyBorder="1" applyAlignment="1">
      <alignment horizontal="center" vertical="center"/>
    </xf>
    <xf numFmtId="0" fontId="12" fillId="5" borderId="1" xfId="0" applyFont="1" applyFill="1" applyBorder="1" applyAlignment="1">
      <alignment vertical="center"/>
    </xf>
    <xf numFmtId="49" fontId="23" fillId="5" borderId="26" xfId="0" applyNumberFormat="1" applyFont="1" applyFill="1" applyBorder="1" applyAlignment="1">
      <alignment horizontal="center" vertical="center"/>
    </xf>
    <xf numFmtId="0" fontId="23" fillId="5" borderId="27" xfId="0" applyNumberFormat="1" applyFont="1" applyFill="1" applyBorder="1" applyAlignment="1">
      <alignment horizontal="center" vertical="center"/>
    </xf>
    <xf numFmtId="0" fontId="13" fillId="4" borderId="1" xfId="0" applyFont="1" applyFill="1" applyBorder="1" applyAlignment="1">
      <alignment vertical="center"/>
    </xf>
    <xf numFmtId="49" fontId="27" fillId="5" borderId="26" xfId="0" applyNumberFormat="1" applyFont="1" applyFill="1" applyBorder="1" applyAlignment="1">
      <alignment horizontal="center" vertical="center"/>
    </xf>
    <xf numFmtId="0" fontId="27" fillId="5" borderId="27" xfId="0" applyNumberFormat="1" applyFont="1" applyFill="1" applyBorder="1" applyAlignment="1">
      <alignment horizontal="center" vertical="center"/>
    </xf>
    <xf numFmtId="0" fontId="12" fillId="8" borderId="1" xfId="0" applyFont="1" applyFill="1" applyBorder="1" applyAlignment="1">
      <alignment vertical="center"/>
    </xf>
    <xf numFmtId="0" fontId="6" fillId="8" borderId="26" xfId="0" applyNumberFormat="1" applyFont="1" applyFill="1" applyBorder="1" applyAlignment="1">
      <alignment horizontal="center" vertical="center"/>
    </xf>
    <xf numFmtId="49" fontId="23" fillId="8" borderId="26" xfId="0" applyNumberFormat="1" applyFont="1" applyFill="1" applyBorder="1" applyAlignment="1">
      <alignment horizontal="center" vertical="center"/>
    </xf>
    <xf numFmtId="0" fontId="23" fillId="8" borderId="27" xfId="0" applyNumberFormat="1" applyFont="1" applyFill="1" applyBorder="1" applyAlignment="1">
      <alignment horizontal="center" vertical="center"/>
    </xf>
    <xf numFmtId="0" fontId="12" fillId="8" borderId="27" xfId="0" applyNumberFormat="1" applyFont="1" applyFill="1" applyBorder="1" applyAlignment="1">
      <alignment horizontal="center" vertical="center"/>
    </xf>
    <xf numFmtId="49" fontId="6" fillId="8" borderId="27" xfId="0" applyNumberFormat="1" applyFont="1" applyFill="1" applyBorder="1" applyAlignment="1">
      <alignment horizontal="center" vertical="center"/>
    </xf>
    <xf numFmtId="0" fontId="6" fillId="8" borderId="28" xfId="0" applyNumberFormat="1" applyFont="1" applyFill="1" applyBorder="1" applyAlignment="1">
      <alignment horizontal="center" vertical="center"/>
    </xf>
    <xf numFmtId="0" fontId="21" fillId="8" borderId="1" xfId="0" applyFont="1" applyFill="1" applyBorder="1" applyAlignment="1">
      <alignment vertical="center"/>
    </xf>
    <xf numFmtId="49" fontId="27" fillId="8" borderId="26" xfId="0" applyNumberFormat="1" applyFont="1" applyFill="1" applyBorder="1" applyAlignment="1">
      <alignment horizontal="center" vertical="center"/>
    </xf>
    <xf numFmtId="0" fontId="27" fillId="8" borderId="27" xfId="0" applyNumberFormat="1" applyFont="1" applyFill="1" applyBorder="1" applyAlignment="1">
      <alignment horizontal="center" vertical="center"/>
    </xf>
    <xf numFmtId="0" fontId="10" fillId="4" borderId="1" xfId="0" applyFont="1" applyFill="1" applyBorder="1" applyAlignment="1">
      <alignment vertical="center"/>
    </xf>
    <xf numFmtId="0" fontId="6" fillId="4" borderId="26" xfId="0" applyNumberFormat="1" applyFont="1" applyFill="1" applyBorder="1" applyAlignment="1">
      <alignment horizontal="center" vertical="center"/>
    </xf>
    <xf numFmtId="49" fontId="15" fillId="4" borderId="26" xfId="0" applyNumberFormat="1" applyFont="1" applyFill="1" applyBorder="1" applyAlignment="1">
      <alignment horizontal="center" vertical="center"/>
    </xf>
    <xf numFmtId="0" fontId="15" fillId="4" borderId="27" xfId="0" applyNumberFormat="1" applyFont="1" applyFill="1" applyBorder="1" applyAlignment="1">
      <alignment horizontal="center" vertical="center"/>
    </xf>
    <xf numFmtId="49" fontId="6" fillId="4" borderId="27" xfId="0" applyNumberFormat="1" applyFont="1" applyFill="1" applyBorder="1" applyAlignment="1">
      <alignment horizontal="center" vertical="center"/>
    </xf>
    <xf numFmtId="0" fontId="6" fillId="4" borderId="28" xfId="0" applyNumberFormat="1" applyFont="1" applyFill="1" applyBorder="1" applyAlignment="1">
      <alignment horizontal="center" vertical="center"/>
    </xf>
    <xf numFmtId="0" fontId="6" fillId="0" borderId="28" xfId="0" quotePrefix="1" applyNumberFormat="1" applyFont="1" applyFill="1" applyBorder="1" applyAlignment="1">
      <alignment horizontal="center" vertical="center"/>
    </xf>
    <xf numFmtId="0" fontId="12" fillId="4" borderId="1" xfId="0" applyFont="1" applyFill="1" applyBorder="1" applyAlignment="1">
      <alignment vertical="center"/>
    </xf>
    <xf numFmtId="49" fontId="23" fillId="4" borderId="26" xfId="0" applyNumberFormat="1" applyFont="1" applyFill="1" applyBorder="1" applyAlignment="1">
      <alignment horizontal="center" vertical="center"/>
    </xf>
    <xf numFmtId="0" fontId="23" fillId="4" borderId="27" xfId="0" applyNumberFormat="1" applyFont="1" applyFill="1" applyBorder="1" applyAlignment="1">
      <alignment horizontal="center" vertical="center"/>
    </xf>
    <xf numFmtId="0" fontId="13" fillId="5" borderId="1" xfId="0" applyFont="1" applyFill="1" applyBorder="1" applyAlignment="1">
      <alignment vertical="center"/>
    </xf>
    <xf numFmtId="49" fontId="22" fillId="5" borderId="26" xfId="0" applyNumberFormat="1" applyFont="1" applyFill="1" applyBorder="1" applyAlignment="1">
      <alignment horizontal="center" vertical="center"/>
    </xf>
    <xf numFmtId="0" fontId="22" fillId="5" borderId="27" xfId="0" applyNumberFormat="1" applyFont="1" applyFill="1" applyBorder="1" applyAlignment="1">
      <alignment horizontal="center" vertical="center"/>
    </xf>
    <xf numFmtId="0" fontId="12" fillId="6" borderId="8" xfId="0" applyFont="1" applyFill="1" applyBorder="1" applyAlignment="1">
      <alignment vertical="center"/>
    </xf>
    <xf numFmtId="0" fontId="6" fillId="6" borderId="57" xfId="0" applyNumberFormat="1" applyFont="1" applyFill="1" applyBorder="1" applyAlignment="1">
      <alignment horizontal="center" vertical="center"/>
    </xf>
    <xf numFmtId="49" fontId="23" fillId="6" borderId="57" xfId="0" applyNumberFormat="1" applyFont="1" applyFill="1" applyBorder="1" applyAlignment="1">
      <alignment horizontal="center" vertical="center"/>
    </xf>
    <xf numFmtId="0" fontId="23" fillId="6" borderId="58" xfId="0" applyNumberFormat="1" applyFont="1" applyFill="1" applyBorder="1" applyAlignment="1">
      <alignment horizontal="center" vertical="center"/>
    </xf>
    <xf numFmtId="49" fontId="6" fillId="6" borderId="58" xfId="0" applyNumberFormat="1" applyFont="1" applyFill="1" applyBorder="1" applyAlignment="1">
      <alignment horizontal="center" vertical="center"/>
    </xf>
    <xf numFmtId="0" fontId="48" fillId="11" borderId="58" xfId="0" applyNumberFormat="1" applyFont="1" applyFill="1" applyBorder="1" applyAlignment="1">
      <alignment horizontal="center" vertical="center"/>
    </xf>
    <xf numFmtId="0" fontId="6" fillId="6" borderId="41" xfId="0" applyNumberFormat="1" applyFont="1" applyFill="1" applyBorder="1" applyAlignment="1">
      <alignment horizontal="center" vertical="center"/>
    </xf>
    <xf numFmtId="0" fontId="3" fillId="0" borderId="0" xfId="0" applyFont="1" applyBorder="1" applyAlignment="1">
      <alignment horizontal="right" vertical="center"/>
    </xf>
    <xf numFmtId="0" fontId="14" fillId="0" borderId="0" xfId="0" applyFont="1" applyBorder="1" applyAlignment="1">
      <alignment horizontal="centerContinuous" vertical="center" wrapText="1"/>
    </xf>
    <xf numFmtId="0" fontId="11" fillId="10" borderId="21" xfId="0" applyFont="1" applyFill="1" applyBorder="1" applyAlignment="1">
      <alignment horizontal="centerContinuous" vertical="center" wrapText="1"/>
    </xf>
    <xf numFmtId="0" fontId="11" fillId="10" borderId="22" xfId="0" applyFont="1" applyFill="1" applyBorder="1" applyAlignment="1">
      <alignment horizontal="center" vertical="center" wrapText="1"/>
    </xf>
    <xf numFmtId="0" fontId="20" fillId="10" borderId="22" xfId="0" applyFont="1" applyFill="1" applyBorder="1" applyAlignment="1">
      <alignment horizontal="center" vertical="center" wrapText="1"/>
    </xf>
    <xf numFmtId="0" fontId="11" fillId="10" borderId="23" xfId="0" applyFont="1" applyFill="1" applyBorder="1" applyAlignment="1">
      <alignment horizontal="centerContinuous" vertical="center" wrapText="1"/>
    </xf>
    <xf numFmtId="0" fontId="44" fillId="2" borderId="75" xfId="0" applyFont="1" applyFill="1" applyBorder="1" applyAlignment="1">
      <alignment horizontal="right" vertical="center"/>
    </xf>
    <xf numFmtId="0" fontId="44" fillId="2" borderId="73" xfId="0" applyFont="1" applyFill="1" applyBorder="1" applyAlignment="1">
      <alignment horizontal="left" vertical="center"/>
    </xf>
    <xf numFmtId="0" fontId="19" fillId="2" borderId="73" xfId="0" applyFont="1" applyFill="1" applyBorder="1" applyAlignment="1">
      <alignment horizontal="left" vertical="center"/>
    </xf>
    <xf numFmtId="0" fontId="3" fillId="2" borderId="73" xfId="0" applyFont="1" applyFill="1" applyBorder="1" applyAlignment="1">
      <alignment horizontal="centerContinuous" vertical="center"/>
    </xf>
    <xf numFmtId="0" fontId="4" fillId="2" borderId="73" xfId="0" applyFont="1" applyFill="1" applyBorder="1" applyAlignment="1">
      <alignment horizontal="centerContinuous" vertical="center"/>
    </xf>
    <xf numFmtId="0" fontId="43" fillId="2" borderId="74" xfId="1" applyFont="1" applyFill="1" applyBorder="1" applyAlignment="1" applyProtection="1">
      <alignment horizontal="right" vertical="center"/>
    </xf>
    <xf numFmtId="0" fontId="5" fillId="0" borderId="1" xfId="0" applyFont="1" applyBorder="1" applyAlignment="1">
      <alignment horizontal="right" vertical="center"/>
    </xf>
    <xf numFmtId="0" fontId="6" fillId="0" borderId="0" xfId="0" applyFont="1" applyBorder="1" applyAlignment="1">
      <alignment horizontal="centerContinuous" vertical="center"/>
    </xf>
    <xf numFmtId="0" fontId="5" fillId="0" borderId="0" xfId="0" applyFont="1" applyBorder="1" applyAlignment="1">
      <alignment horizontal="right" vertical="center"/>
    </xf>
    <xf numFmtId="0" fontId="6" fillId="0" borderId="0" xfId="0" applyFont="1" applyBorder="1" applyAlignment="1">
      <alignment horizontal="center" vertical="center"/>
    </xf>
    <xf numFmtId="0" fontId="0" fillId="0" borderId="0" xfId="0" applyAlignment="1">
      <alignment vertical="center"/>
    </xf>
    <xf numFmtId="0" fontId="6" fillId="0" borderId="2" xfId="0" applyFont="1" applyBorder="1" applyAlignment="1">
      <alignment horizontal="left" vertical="center"/>
    </xf>
    <xf numFmtId="0" fontId="5" fillId="4" borderId="59" xfId="0" applyFont="1" applyFill="1" applyBorder="1" applyAlignment="1">
      <alignment horizontal="right" vertical="center"/>
    </xf>
    <xf numFmtId="49" fontId="6" fillId="0" borderId="77" xfId="0" applyNumberFormat="1" applyFont="1" applyBorder="1" applyAlignment="1">
      <alignment horizontal="center" vertical="center"/>
    </xf>
    <xf numFmtId="0" fontId="6" fillId="0" borderId="0" xfId="0" applyFont="1" applyBorder="1" applyAlignment="1">
      <alignment horizontal="left" vertical="center"/>
    </xf>
    <xf numFmtId="0" fontId="7" fillId="2" borderId="12" xfId="0" applyFont="1" applyFill="1" applyBorder="1" applyAlignment="1">
      <alignment horizontal="right" vertical="center"/>
    </xf>
    <xf numFmtId="0" fontId="25" fillId="0" borderId="13" xfId="0" applyNumberFormat="1" applyFont="1" applyBorder="1" applyAlignment="1">
      <alignment horizontal="center" vertical="center"/>
    </xf>
    <xf numFmtId="0" fontId="9" fillId="4" borderId="72" xfId="0" applyFont="1" applyFill="1" applyBorder="1" applyAlignment="1">
      <alignment horizontal="right" vertical="center"/>
    </xf>
    <xf numFmtId="0" fontId="12" fillId="2" borderId="4" xfId="0" applyFont="1" applyFill="1" applyBorder="1" applyAlignment="1">
      <alignment horizontal="right" vertical="center"/>
    </xf>
    <xf numFmtId="49" fontId="25" fillId="0" borderId="13" xfId="0" applyNumberFormat="1" applyFont="1" applyBorder="1" applyAlignment="1">
      <alignment horizontal="center" vertical="center"/>
    </xf>
    <xf numFmtId="0" fontId="9" fillId="4" borderId="67" xfId="0" applyFont="1" applyFill="1" applyBorder="1" applyAlignment="1">
      <alignment horizontal="right" vertical="center"/>
    </xf>
    <xf numFmtId="164" fontId="5" fillId="9" borderId="31" xfId="0" applyNumberFormat="1" applyFont="1" applyFill="1" applyBorder="1" applyAlignment="1">
      <alignment horizontal="center" vertical="center"/>
    </xf>
    <xf numFmtId="0" fontId="9" fillId="2" borderId="4" xfId="0" applyFont="1" applyFill="1" applyBorder="1" applyAlignment="1">
      <alignment horizontal="right" vertical="center"/>
    </xf>
    <xf numFmtId="0" fontId="8" fillId="0" borderId="3" xfId="0" quotePrefix="1" applyFont="1" applyBorder="1" applyAlignment="1">
      <alignment horizontal="center" vertical="center"/>
    </xf>
    <xf numFmtId="49" fontId="25" fillId="0" borderId="3" xfId="0" applyNumberFormat="1" applyFont="1" applyBorder="1" applyAlignment="1">
      <alignment horizontal="center" vertical="center"/>
    </xf>
    <xf numFmtId="0" fontId="7" fillId="4" borderId="67" xfId="0" applyFont="1" applyFill="1" applyBorder="1" applyAlignment="1">
      <alignment horizontal="right" vertical="center"/>
    </xf>
    <xf numFmtId="0" fontId="45" fillId="2" borderId="4" xfId="0" applyFont="1" applyFill="1" applyBorder="1" applyAlignment="1">
      <alignment horizontal="right" vertical="center"/>
    </xf>
    <xf numFmtId="0" fontId="21" fillId="2" borderId="4" xfId="0" applyFont="1" applyFill="1" applyBorder="1" applyAlignment="1">
      <alignment horizontal="right" vertical="center"/>
    </xf>
    <xf numFmtId="0" fontId="10" fillId="4" borderId="67" xfId="0" applyFont="1" applyFill="1" applyBorder="1" applyAlignment="1">
      <alignment horizontal="right" vertical="center"/>
    </xf>
    <xf numFmtId="0" fontId="13" fillId="2" borderId="14" xfId="0" applyFont="1" applyFill="1" applyBorder="1" applyAlignment="1">
      <alignment horizontal="right" vertical="center"/>
    </xf>
    <xf numFmtId="49" fontId="25" fillId="0" borderId="25" xfId="0" applyNumberFormat="1" applyFont="1" applyBorder="1" applyAlignment="1">
      <alignment horizontal="center" vertical="center"/>
    </xf>
    <xf numFmtId="0" fontId="10" fillId="4" borderId="68" xfId="0" applyFont="1" applyFill="1" applyBorder="1" applyAlignment="1">
      <alignment horizontal="right" vertical="center"/>
    </xf>
    <xf numFmtId="0" fontId="6" fillId="0" borderId="1"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164" fontId="4" fillId="0" borderId="52" xfId="0" applyNumberFormat="1" applyFont="1" applyBorder="1" applyAlignment="1">
      <alignment horizontal="center" vertical="center" shrinkToFit="1"/>
    </xf>
    <xf numFmtId="0" fontId="4" fillId="0" borderId="53" xfId="0" applyFont="1" applyBorder="1" applyAlignment="1">
      <alignment horizontal="left" vertical="center"/>
    </xf>
    <xf numFmtId="0" fontId="4" fillId="0" borderId="54" xfId="0" applyFont="1" applyBorder="1" applyAlignment="1">
      <alignment horizontal="left" vertical="center" shrinkToFit="1"/>
    </xf>
    <xf numFmtId="164" fontId="2" fillId="0" borderId="0" xfId="0" applyNumberFormat="1" applyFont="1" applyBorder="1" applyAlignment="1">
      <alignment horizontal="centerContinuous" vertical="center" shrinkToFit="1"/>
    </xf>
    <xf numFmtId="0" fontId="2" fillId="0" borderId="0" xfId="0" applyFont="1" applyBorder="1" applyAlignment="1">
      <alignment horizontal="centerContinuous" vertical="center" shrinkToFit="1"/>
    </xf>
    <xf numFmtId="0" fontId="4" fillId="0" borderId="46" xfId="0" applyFont="1" applyBorder="1" applyAlignment="1">
      <alignment horizontal="left" vertical="center"/>
    </xf>
    <xf numFmtId="0" fontId="4" fillId="0" borderId="71" xfId="0" applyFont="1" applyBorder="1" applyAlignment="1">
      <alignment horizontal="center" vertical="center" shrinkToFit="1"/>
    </xf>
    <xf numFmtId="0" fontId="4" fillId="0" borderId="52" xfId="0" applyFont="1" applyBorder="1" applyAlignment="1">
      <alignment horizontal="left" vertical="center"/>
    </xf>
    <xf numFmtId="0" fontId="2" fillId="0" borderId="0" xfId="0" applyFont="1" applyBorder="1" applyAlignment="1">
      <alignment vertical="center"/>
    </xf>
    <xf numFmtId="0" fontId="4" fillId="0" borderId="69" xfId="0" applyFont="1" applyBorder="1" applyAlignment="1">
      <alignment horizontal="center" vertical="center" shrinkToFit="1"/>
    </xf>
    <xf numFmtId="164" fontId="4" fillId="0" borderId="55" xfId="0" applyNumberFormat="1" applyFont="1" applyBorder="1" applyAlignment="1">
      <alignment horizontal="center" vertical="center" shrinkToFit="1"/>
    </xf>
    <xf numFmtId="0" fontId="1" fillId="0" borderId="46" xfId="0" applyFont="1" applyBorder="1" applyAlignment="1">
      <alignment horizontal="left" vertical="center"/>
    </xf>
    <xf numFmtId="0" fontId="42" fillId="0" borderId="0" xfId="0" applyFont="1" applyBorder="1" applyAlignment="1">
      <alignment vertical="center"/>
    </xf>
    <xf numFmtId="1" fontId="5" fillId="0" borderId="29" xfId="0" applyNumberFormat="1" applyFont="1" applyBorder="1" applyAlignment="1">
      <alignment horizontal="center" vertical="center"/>
    </xf>
    <xf numFmtId="49" fontId="15" fillId="0" borderId="40" xfId="0" applyNumberFormat="1" applyFont="1" applyFill="1" applyBorder="1" applyAlignment="1">
      <alignment horizontal="center" shrinkToFit="1"/>
    </xf>
    <xf numFmtId="0" fontId="5" fillId="4" borderId="87" xfId="0" applyFont="1" applyFill="1" applyBorder="1" applyAlignment="1">
      <alignment horizontal="right" vertical="center"/>
    </xf>
    <xf numFmtId="1" fontId="3" fillId="0" borderId="0" xfId="0" applyNumberFormat="1" applyFont="1" applyBorder="1" applyAlignment="1">
      <alignment horizontal="right" vertical="center"/>
    </xf>
    <xf numFmtId="1" fontId="3" fillId="0" borderId="0" xfId="0" applyNumberFormat="1" applyFont="1" applyBorder="1" applyAlignment="1">
      <alignment horizontal="center" vertical="center"/>
    </xf>
    <xf numFmtId="1" fontId="4" fillId="0" borderId="0" xfId="0" applyNumberFormat="1" applyFont="1" applyBorder="1" applyAlignment="1">
      <alignment horizontal="left" vertical="center"/>
    </xf>
    <xf numFmtId="1" fontId="4" fillId="0" borderId="0" xfId="0" applyNumberFormat="1" applyFont="1" applyBorder="1" applyAlignment="1">
      <alignment horizontal="center" vertical="center"/>
    </xf>
    <xf numFmtId="1" fontId="3" fillId="0" borderId="0" xfId="0" applyNumberFormat="1" applyFont="1" applyBorder="1" applyAlignment="1">
      <alignment horizontal="left" vertical="center"/>
    </xf>
    <xf numFmtId="1" fontId="1" fillId="0" borderId="0" xfId="0" applyNumberFormat="1" applyFont="1" applyBorder="1" applyAlignment="1">
      <alignment horizontal="left" vertical="center"/>
    </xf>
    <xf numFmtId="1" fontId="1" fillId="0" borderId="0" xfId="0" applyNumberFormat="1" applyFont="1" applyBorder="1" applyAlignment="1">
      <alignment horizontal="center" vertical="center"/>
    </xf>
    <xf numFmtId="1" fontId="3" fillId="0" borderId="0" xfId="0" applyNumberFormat="1" applyFont="1" applyBorder="1" applyAlignment="1">
      <alignment horizontal="right"/>
    </xf>
    <xf numFmtId="1" fontId="4" fillId="0" borderId="0" xfId="0" applyNumberFormat="1" applyFont="1" applyBorder="1" applyAlignment="1">
      <alignment horizontal="left"/>
    </xf>
    <xf numFmtId="0" fontId="7" fillId="14" borderId="1" xfId="0" applyFont="1" applyFill="1" applyBorder="1" applyAlignment="1">
      <alignment vertical="center"/>
    </xf>
    <xf numFmtId="49" fontId="16" fillId="14" borderId="26" xfId="0" applyNumberFormat="1" applyFont="1" applyFill="1" applyBorder="1" applyAlignment="1">
      <alignment horizontal="center" vertical="center"/>
    </xf>
    <xf numFmtId="0" fontId="16" fillId="14" borderId="27" xfId="0" applyNumberFormat="1" applyFont="1" applyFill="1" applyBorder="1" applyAlignment="1">
      <alignment horizontal="center" vertical="center"/>
    </xf>
    <xf numFmtId="0" fontId="9" fillId="0" borderId="1" xfId="0" applyFont="1" applyFill="1" applyBorder="1" applyAlignment="1">
      <alignment vertical="center"/>
    </xf>
    <xf numFmtId="49" fontId="26" fillId="0" borderId="26" xfId="0" applyNumberFormat="1" applyFont="1" applyFill="1" applyBorder="1" applyAlignment="1">
      <alignment horizontal="center" vertical="center"/>
    </xf>
    <xf numFmtId="0" fontId="26" fillId="0" borderId="1" xfId="0" applyFont="1" applyFill="1" applyBorder="1" applyAlignment="1">
      <alignment horizontal="center" vertical="center" shrinkToFit="1"/>
    </xf>
    <xf numFmtId="0" fontId="6" fillId="0" borderId="26" xfId="0" applyFont="1" applyFill="1" applyBorder="1" applyAlignment="1">
      <alignment horizontal="center" vertical="center" wrapText="1"/>
    </xf>
    <xf numFmtId="9" fontId="6" fillId="0" borderId="26" xfId="2" applyFont="1" applyFill="1" applyBorder="1" applyAlignment="1">
      <alignment horizontal="center" vertical="center" shrinkToFit="1"/>
    </xf>
    <xf numFmtId="9" fontId="6" fillId="0" borderId="27" xfId="2" applyFont="1" applyFill="1" applyBorder="1" applyAlignment="1">
      <alignment horizontal="center" vertical="center" shrinkToFit="1"/>
    </xf>
    <xf numFmtId="0" fontId="6" fillId="0" borderId="27" xfId="2" applyNumberFormat="1" applyFont="1" applyFill="1" applyBorder="1" applyAlignment="1">
      <alignment horizontal="center" vertical="center" shrinkToFit="1"/>
    </xf>
    <xf numFmtId="0" fontId="6" fillId="0" borderId="28" xfId="0" quotePrefix="1" applyNumberFormat="1" applyFont="1" applyFill="1" applyBorder="1" applyAlignment="1">
      <alignment horizontal="center" vertical="center" wrapText="1"/>
    </xf>
    <xf numFmtId="49" fontId="6" fillId="0" borderId="28" xfId="0" applyNumberFormat="1"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27" xfId="2" applyNumberFormat="1" applyFont="1" applyFill="1" applyBorder="1" applyAlignment="1">
      <alignment horizontal="center" vertical="center" shrinkToFit="1"/>
    </xf>
    <xf numFmtId="0" fontId="52" fillId="0" borderId="37" xfId="0" applyFont="1" applyFill="1" applyBorder="1" applyAlignment="1">
      <alignment horizontal="center" vertical="center" shrinkToFit="1"/>
    </xf>
    <xf numFmtId="0" fontId="6" fillId="0" borderId="56" xfId="0" applyFont="1" applyFill="1" applyBorder="1" applyAlignment="1">
      <alignment horizontal="center" vertical="center" wrapText="1"/>
    </xf>
    <xf numFmtId="9" fontId="6" fillId="0" borderId="56" xfId="2" applyFont="1" applyFill="1" applyBorder="1" applyAlignment="1">
      <alignment horizontal="center" vertical="center" shrinkToFit="1"/>
    </xf>
    <xf numFmtId="9" fontId="6" fillId="0" borderId="13" xfId="2" applyFont="1" applyFill="1" applyBorder="1" applyAlignment="1">
      <alignment horizontal="center" vertical="center" shrinkToFit="1"/>
    </xf>
    <xf numFmtId="0" fontId="6" fillId="0" borderId="13" xfId="2" applyNumberFormat="1" applyFont="1" applyFill="1" applyBorder="1" applyAlignment="1">
      <alignment horizontal="center" vertical="center" shrinkToFit="1"/>
    </xf>
    <xf numFmtId="49" fontId="6" fillId="0" borderId="40" xfId="0" applyNumberFormat="1" applyFont="1" applyFill="1" applyBorder="1" applyAlignment="1">
      <alignment horizontal="center" vertical="center" wrapText="1"/>
    </xf>
    <xf numFmtId="0" fontId="6" fillId="0" borderId="37" xfId="0" applyFont="1" applyFill="1" applyBorder="1" applyAlignment="1">
      <alignment horizontal="center" vertical="center" shrinkToFit="1"/>
    </xf>
    <xf numFmtId="0" fontId="37" fillId="0" borderId="42" xfId="0" applyFont="1" applyFill="1" applyBorder="1" applyAlignment="1">
      <alignment horizontal="centerContinuous" vertical="center"/>
    </xf>
    <xf numFmtId="0" fontId="26" fillId="0" borderId="42" xfId="0" applyFont="1" applyFill="1" applyBorder="1" applyAlignment="1">
      <alignment horizontal="center" vertical="center" shrinkToFit="1"/>
    </xf>
    <xf numFmtId="0" fontId="26" fillId="0" borderId="42" xfId="0" applyFont="1" applyFill="1" applyBorder="1" applyAlignment="1">
      <alignment horizontal="centerContinuous" vertical="center"/>
    </xf>
    <xf numFmtId="0" fontId="33" fillId="0" borderId="24" xfId="0" applyFont="1" applyBorder="1" applyAlignment="1">
      <alignment horizontal="centerContinuous" vertical="center" wrapText="1"/>
    </xf>
    <xf numFmtId="0" fontId="1" fillId="0" borderId="78" xfId="0" applyFont="1" applyBorder="1" applyAlignment="1">
      <alignment horizontal="center" vertical="center"/>
    </xf>
    <xf numFmtId="0" fontId="1" fillId="0" borderId="14" xfId="0" applyFont="1" applyBorder="1" applyAlignment="1">
      <alignment horizontal="center" vertical="center"/>
    </xf>
    <xf numFmtId="0" fontId="1" fillId="0" borderId="71" xfId="0" applyFont="1" applyFill="1" applyBorder="1" applyAlignment="1">
      <alignment horizontal="center" vertical="center"/>
    </xf>
    <xf numFmtId="164" fontId="4" fillId="0" borderId="86" xfId="0" applyNumberFormat="1" applyFont="1" applyBorder="1" applyAlignment="1">
      <alignment horizontal="center" vertical="center" shrinkToFit="1"/>
    </xf>
    <xf numFmtId="0" fontId="6" fillId="15" borderId="25" xfId="0" quotePrefix="1" applyFont="1" applyFill="1" applyBorder="1" applyAlignment="1">
      <alignment horizontal="center" vertical="center"/>
    </xf>
    <xf numFmtId="0" fontId="20" fillId="13" borderId="88" xfId="0" applyFont="1" applyFill="1" applyBorder="1" applyAlignment="1">
      <alignment horizontal="center" vertical="center"/>
    </xf>
    <xf numFmtId="0" fontId="1" fillId="0" borderId="0" xfId="0" applyFont="1" applyBorder="1" applyAlignment="1">
      <alignment vertical="center"/>
    </xf>
    <xf numFmtId="1" fontId="20" fillId="13" borderId="36" xfId="0" applyNumberFormat="1" applyFont="1" applyFill="1" applyBorder="1" applyAlignment="1">
      <alignment horizontal="center" vertical="center"/>
    </xf>
    <xf numFmtId="0" fontId="1" fillId="0" borderId="64" xfId="0" applyFont="1" applyFill="1" applyBorder="1" applyAlignment="1">
      <alignment horizontal="centerContinuous" vertical="center" shrinkToFit="1"/>
    </xf>
    <xf numFmtId="0" fontId="20" fillId="0" borderId="65" xfId="0" applyFont="1" applyFill="1" applyBorder="1" applyAlignment="1">
      <alignment horizontal="centerContinuous" vertical="center"/>
    </xf>
    <xf numFmtId="0" fontId="20" fillId="0" borderId="89" xfId="0" applyFont="1" applyFill="1" applyBorder="1" applyAlignment="1">
      <alignment horizontal="centerContinuous" vertical="center"/>
    </xf>
    <xf numFmtId="0" fontId="1" fillId="0" borderId="90" xfId="0" applyFont="1" applyFill="1" applyBorder="1" applyAlignment="1">
      <alignment horizontal="center" vertical="center"/>
    </xf>
    <xf numFmtId="0" fontId="1" fillId="0" borderId="55" xfId="0" applyFont="1" applyFill="1" applyBorder="1" applyAlignment="1">
      <alignment horizontal="center" vertical="center"/>
    </xf>
    <xf numFmtId="0" fontId="1" fillId="0" borderId="66" xfId="0" applyFont="1" applyFill="1" applyBorder="1" applyAlignment="1">
      <alignment horizontal="centerContinuous" vertical="center"/>
    </xf>
    <xf numFmtId="1" fontId="1" fillId="0" borderId="91" xfId="0" applyNumberFormat="1" applyFont="1" applyFill="1" applyBorder="1" applyAlignment="1">
      <alignment horizontal="center" vertical="center"/>
    </xf>
    <xf numFmtId="0" fontId="1" fillId="0" borderId="92" xfId="0" applyFont="1" applyFill="1" applyBorder="1" applyAlignment="1">
      <alignment horizontal="centerContinuous" vertical="center" shrinkToFit="1"/>
    </xf>
    <xf numFmtId="0" fontId="20" fillId="0" borderId="93" xfId="0" applyFont="1" applyFill="1" applyBorder="1" applyAlignment="1">
      <alignment horizontal="centerContinuous" vertical="center"/>
    </xf>
    <xf numFmtId="0" fontId="20" fillId="0" borderId="94" xfId="0" applyFont="1" applyFill="1" applyBorder="1" applyAlignment="1">
      <alignment horizontal="centerContinuous" vertical="center"/>
    </xf>
    <xf numFmtId="0" fontId="1" fillId="0" borderId="47" xfId="0" applyFont="1" applyFill="1" applyBorder="1" applyAlignment="1">
      <alignment horizontal="center" vertical="center"/>
    </xf>
    <xf numFmtId="0" fontId="1" fillId="0" borderId="95" xfId="0" applyFont="1" applyFill="1" applyBorder="1" applyAlignment="1">
      <alignment horizontal="centerContinuous" vertical="center"/>
    </xf>
    <xf numFmtId="1" fontId="1" fillId="0" borderId="96" xfId="0" applyNumberFormat="1" applyFont="1" applyBorder="1" applyAlignment="1">
      <alignment horizontal="center" vertical="center"/>
    </xf>
    <xf numFmtId="0" fontId="1" fillId="0" borderId="51" xfId="0" applyFont="1" applyFill="1" applyBorder="1" applyAlignment="1">
      <alignment horizontal="centerContinuous" vertical="center" shrinkToFit="1"/>
    </xf>
    <xf numFmtId="0" fontId="1" fillId="0" borderId="84" xfId="0" applyFont="1" applyFill="1" applyBorder="1" applyAlignment="1">
      <alignment horizontal="centerContinuous" vertical="center"/>
    </xf>
    <xf numFmtId="0" fontId="1" fillId="0" borderId="97" xfId="0" applyFont="1" applyFill="1" applyBorder="1" applyAlignment="1">
      <alignment horizontal="centerContinuous" vertical="center"/>
    </xf>
    <xf numFmtId="49" fontId="1" fillId="0" borderId="53" xfId="0" applyNumberFormat="1" applyFont="1" applyFill="1" applyBorder="1" applyAlignment="1">
      <alignment horizontal="center" vertical="center"/>
    </xf>
    <xf numFmtId="49" fontId="1" fillId="0" borderId="52" xfId="0" applyNumberFormat="1" applyFont="1" applyFill="1" applyBorder="1" applyAlignment="1">
      <alignment horizontal="center" vertical="center"/>
    </xf>
    <xf numFmtId="0" fontId="1" fillId="0" borderId="85" xfId="0" applyFont="1" applyFill="1" applyBorder="1" applyAlignment="1">
      <alignment horizontal="centerContinuous" vertical="center"/>
    </xf>
    <xf numFmtId="1" fontId="1" fillId="0" borderId="61" xfId="0" applyNumberFormat="1" applyFont="1" applyBorder="1" applyAlignment="1">
      <alignment horizontal="center" vertical="center"/>
    </xf>
    <xf numFmtId="164" fontId="20" fillId="3" borderId="36" xfId="0" applyNumberFormat="1" applyFont="1" applyFill="1" applyBorder="1" applyAlignment="1">
      <alignment horizontal="center" vertical="center"/>
    </xf>
    <xf numFmtId="1" fontId="1" fillId="0" borderId="42" xfId="0" applyNumberFormat="1" applyFont="1" applyBorder="1" applyAlignment="1">
      <alignment horizontal="center" vertical="center" shrinkToFit="1"/>
    </xf>
    <xf numFmtId="1" fontId="1" fillId="0" borderId="61" xfId="0" applyNumberFormat="1" applyFont="1" applyBorder="1" applyAlignment="1">
      <alignment horizontal="center" vertical="center" shrinkToFit="1"/>
    </xf>
    <xf numFmtId="0" fontId="56" fillId="2" borderId="98" xfId="0" applyFont="1" applyFill="1" applyBorder="1" applyAlignment="1">
      <alignment horizontal="right" vertical="center"/>
    </xf>
    <xf numFmtId="0" fontId="19" fillId="2" borderId="99" xfId="0" applyFont="1" applyFill="1" applyBorder="1" applyAlignment="1">
      <alignment horizontal="left" vertical="center"/>
    </xf>
    <xf numFmtId="0" fontId="57" fillId="2" borderId="99" xfId="0" applyFont="1" applyFill="1" applyBorder="1" applyAlignment="1">
      <alignment horizontal="centerContinuous" vertical="center"/>
    </xf>
    <xf numFmtId="0" fontId="1" fillId="2" borderId="99" xfId="0" applyFont="1" applyFill="1" applyBorder="1" applyAlignment="1">
      <alignment horizontal="left" vertical="center"/>
    </xf>
    <xf numFmtId="0" fontId="3" fillId="2" borderId="99" xfId="0" applyFont="1" applyFill="1" applyBorder="1" applyAlignment="1">
      <alignment horizontal="centerContinuous" vertical="center"/>
    </xf>
    <xf numFmtId="0" fontId="58" fillId="2" borderId="100" xfId="0" applyFont="1" applyFill="1" applyBorder="1" applyAlignment="1">
      <alignment horizontal="right" vertical="center"/>
    </xf>
    <xf numFmtId="0" fontId="59" fillId="0" borderId="0" xfId="0" applyFont="1" applyBorder="1" applyAlignment="1">
      <alignment horizontal="centerContinuous" vertical="center"/>
    </xf>
    <xf numFmtId="49" fontId="6" fillId="0" borderId="2" xfId="0" quotePrefix="1" applyNumberFormat="1" applyFont="1" applyBorder="1" applyAlignment="1">
      <alignment horizontal="center" vertical="center"/>
    </xf>
    <xf numFmtId="0" fontId="5" fillId="0" borderId="8" xfId="0" applyFont="1" applyBorder="1" applyAlignment="1">
      <alignment horizontal="right" vertical="center"/>
    </xf>
    <xf numFmtId="0" fontId="59" fillId="0" borderId="9" xfId="0" applyFont="1" applyBorder="1" applyAlignment="1">
      <alignment horizontal="centerContinuous" vertical="center"/>
    </xf>
    <xf numFmtId="0" fontId="6" fillId="0" borderId="9" xfId="0" applyFont="1" applyBorder="1" applyAlignment="1">
      <alignment horizontal="centerContinuous" vertical="center"/>
    </xf>
    <xf numFmtId="0" fontId="5" fillId="0" borderId="9" xfId="0" applyFont="1" applyBorder="1" applyAlignment="1">
      <alignment horizontal="right"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25" fillId="0" borderId="60" xfId="3" applyNumberFormat="1" applyFont="1" applyFill="1" applyBorder="1" applyAlignment="1">
      <alignment horizontal="center" vertical="center"/>
    </xf>
    <xf numFmtId="0" fontId="7" fillId="4" borderId="101" xfId="3" applyFont="1" applyFill="1" applyBorder="1" applyAlignment="1">
      <alignment horizontal="right" vertical="center"/>
    </xf>
    <xf numFmtId="1" fontId="6" fillId="0" borderId="6" xfId="3" applyNumberFormat="1" applyFont="1" applyBorder="1" applyAlignment="1">
      <alignment horizontal="center" vertical="center"/>
    </xf>
    <xf numFmtId="0" fontId="5" fillId="16" borderId="77" xfId="3" applyFont="1" applyFill="1" applyBorder="1" applyAlignment="1">
      <alignment horizontal="center" vertical="center"/>
    </xf>
    <xf numFmtId="0" fontId="6" fillId="0" borderId="7" xfId="0" applyFont="1" applyFill="1" applyBorder="1" applyAlignment="1">
      <alignment horizontal="center" vertical="center"/>
    </xf>
    <xf numFmtId="0" fontId="6" fillId="0" borderId="3" xfId="0" applyFont="1" applyBorder="1" applyAlignment="1">
      <alignment horizontal="center" vertical="center"/>
    </xf>
    <xf numFmtId="0" fontId="25" fillId="0" borderId="102" xfId="3" applyNumberFormat="1" applyFont="1" applyFill="1" applyBorder="1" applyAlignment="1">
      <alignment horizontal="center" vertical="center"/>
    </xf>
    <xf numFmtId="0" fontId="10" fillId="4" borderId="92" xfId="3" applyFont="1" applyFill="1" applyBorder="1" applyAlignment="1">
      <alignment horizontal="right" vertical="center"/>
    </xf>
    <xf numFmtId="0" fontId="6" fillId="0" borderId="103" xfId="3" applyNumberFormat="1" applyFont="1" applyBorder="1" applyAlignment="1">
      <alignment horizontal="center" vertical="center"/>
    </xf>
    <xf numFmtId="1" fontId="6" fillId="0" borderId="30" xfId="3" applyNumberFormat="1" applyFont="1" applyBorder="1" applyAlignment="1">
      <alignment horizontal="center" vertical="center"/>
    </xf>
    <xf numFmtId="0" fontId="6" fillId="0" borderId="2" xfId="0" applyFont="1" applyFill="1" applyBorder="1" applyAlignment="1">
      <alignment horizontal="center" vertical="center"/>
    </xf>
    <xf numFmtId="0" fontId="7" fillId="4" borderId="92" xfId="3" applyFont="1" applyFill="1" applyBorder="1" applyAlignment="1">
      <alignment horizontal="right" vertical="center"/>
    </xf>
    <xf numFmtId="0" fontId="6" fillId="0" borderId="104" xfId="3" quotePrefix="1" applyFont="1" applyBorder="1" applyAlignment="1">
      <alignment horizontal="center" vertical="center"/>
    </xf>
    <xf numFmtId="0" fontId="7" fillId="0" borderId="1" xfId="3" applyFont="1" applyFill="1" applyBorder="1" applyAlignment="1">
      <alignment horizontal="right" vertical="center"/>
    </xf>
    <xf numFmtId="0" fontId="10" fillId="2" borderId="4" xfId="0" applyFont="1" applyFill="1" applyBorder="1" applyAlignment="1">
      <alignment horizontal="right" vertical="center"/>
    </xf>
    <xf numFmtId="0" fontId="6" fillId="0" borderId="104" xfId="3" applyFont="1" applyBorder="1" applyAlignment="1">
      <alignment horizontal="center" vertical="center"/>
    </xf>
    <xf numFmtId="0" fontId="10" fillId="0" borderId="1" xfId="3" applyFont="1" applyFill="1" applyBorder="1" applyAlignment="1">
      <alignment horizontal="right" vertical="center"/>
    </xf>
    <xf numFmtId="0" fontId="25" fillId="0" borderId="3" xfId="3" applyNumberFormat="1" applyFont="1" applyFill="1" applyBorder="1" applyAlignment="1">
      <alignment horizontal="center" vertical="center"/>
    </xf>
    <xf numFmtId="0" fontId="60" fillId="4" borderId="105" xfId="3" applyFont="1" applyFill="1" applyBorder="1" applyAlignment="1">
      <alignment horizontal="right" vertical="center"/>
    </xf>
    <xf numFmtId="0" fontId="6" fillId="0" borderId="25" xfId="0" applyFont="1" applyBorder="1" applyAlignment="1">
      <alignment horizontal="center" vertical="center"/>
    </xf>
    <xf numFmtId="0" fontId="25" fillId="0" borderId="25" xfId="3" applyNumberFormat="1" applyFont="1" applyFill="1" applyBorder="1" applyAlignment="1">
      <alignment horizontal="center" vertical="center"/>
    </xf>
    <xf numFmtId="0" fontId="9" fillId="4" borderId="14" xfId="3" applyFont="1" applyFill="1" applyBorder="1" applyAlignment="1">
      <alignment horizontal="right" vertical="center"/>
    </xf>
    <xf numFmtId="0" fontId="6" fillId="0" borderId="41" xfId="3" applyFont="1" applyBorder="1" applyAlignment="1">
      <alignment horizontal="center" vertical="center"/>
    </xf>
    <xf numFmtId="0" fontId="10" fillId="0" borderId="1" xfId="0" applyFont="1" applyFill="1" applyBorder="1" applyAlignment="1">
      <alignment horizontal="right" vertical="center"/>
    </xf>
    <xf numFmtId="0" fontId="1" fillId="0" borderId="0" xfId="0" applyFont="1" applyBorder="1" applyAlignment="1">
      <alignment horizontal="left" vertical="center"/>
    </xf>
    <xf numFmtId="0" fontId="59" fillId="0" borderId="0" xfId="0" applyFont="1" applyBorder="1" applyAlignment="1">
      <alignment vertical="center"/>
    </xf>
    <xf numFmtId="0" fontId="1" fillId="0" borderId="71" xfId="0" applyFont="1" applyBorder="1" applyAlignment="1">
      <alignment horizontal="center" vertical="center" shrinkToFit="1"/>
    </xf>
    <xf numFmtId="0" fontId="1" fillId="0" borderId="52" xfId="0" applyFont="1" applyBorder="1" applyAlignment="1">
      <alignment horizontal="left" vertical="center"/>
    </xf>
    <xf numFmtId="1" fontId="1" fillId="12" borderId="42" xfId="0" applyNumberFormat="1" applyFont="1" applyFill="1" applyBorder="1" applyAlignment="1">
      <alignment horizontal="center" vertical="center" shrinkToFit="1"/>
    </xf>
    <xf numFmtId="165" fontId="4" fillId="0" borderId="0" xfId="0" applyNumberFormat="1" applyFont="1" applyBorder="1" applyAlignment="1">
      <alignment vertical="center"/>
    </xf>
    <xf numFmtId="164" fontId="1" fillId="0" borderId="42" xfId="0" applyNumberFormat="1" applyFont="1" applyBorder="1" applyAlignment="1">
      <alignment horizontal="center" vertical="center" shrinkToFit="1"/>
    </xf>
    <xf numFmtId="0" fontId="1" fillId="0" borderId="49" xfId="0" applyFont="1" applyBorder="1" applyAlignment="1">
      <alignment horizontal="left" vertical="center"/>
    </xf>
    <xf numFmtId="0" fontId="1" fillId="0" borderId="57" xfId="0" applyFont="1" applyBorder="1" applyAlignment="1">
      <alignment horizontal="center" vertical="center"/>
    </xf>
    <xf numFmtId="0" fontId="3" fillId="0" borderId="106" xfId="0" applyFont="1" applyBorder="1" applyAlignment="1">
      <alignment horizontal="right" vertical="center"/>
    </xf>
    <xf numFmtId="0" fontId="1" fillId="0" borderId="107" xfId="0" applyFont="1" applyBorder="1" applyAlignment="1">
      <alignment horizontal="center" vertical="center" wrapText="1"/>
    </xf>
    <xf numFmtId="0" fontId="3" fillId="0" borderId="42" xfId="0" applyFont="1" applyBorder="1" applyAlignment="1">
      <alignment horizontal="right" vertical="center"/>
    </xf>
    <xf numFmtId="0" fontId="1" fillId="0" borderId="94" xfId="0" applyFont="1" applyBorder="1" applyAlignment="1">
      <alignment horizontal="center" vertical="center" wrapText="1"/>
    </xf>
    <xf numFmtId="0" fontId="3" fillId="0" borderId="61" xfId="0" applyFont="1" applyBorder="1" applyAlignment="1">
      <alignment horizontal="right" vertical="center"/>
    </xf>
    <xf numFmtId="0" fontId="65" fillId="0" borderId="5" xfId="0" applyFont="1" applyBorder="1" applyAlignment="1">
      <alignment horizontal="centerContinuous" vertical="center"/>
    </xf>
    <xf numFmtId="0" fontId="65" fillId="0" borderId="6" xfId="0" applyFont="1" applyBorder="1" applyAlignment="1">
      <alignment horizontal="centerContinuous" vertical="center"/>
    </xf>
    <xf numFmtId="0" fontId="66" fillId="0" borderId="6" xfId="0" applyFont="1" applyBorder="1" applyAlignment="1">
      <alignment horizontal="centerContinuous" vertical="center" wrapText="1"/>
    </xf>
    <xf numFmtId="0" fontId="66" fillId="0" borderId="7" xfId="0" applyFont="1" applyBorder="1" applyAlignment="1">
      <alignment horizontal="centerContinuous" vertical="center" wrapText="1"/>
    </xf>
    <xf numFmtId="0" fontId="65" fillId="0" borderId="8" xfId="0" applyFont="1" applyBorder="1" applyAlignment="1">
      <alignment horizontal="center" vertical="center"/>
    </xf>
    <xf numFmtId="0" fontId="65" fillId="0" borderId="9" xfId="0" applyFont="1" applyBorder="1" applyAlignment="1">
      <alignment horizontal="center" vertical="center"/>
    </xf>
    <xf numFmtId="0" fontId="65" fillId="0" borderId="10" xfId="0" applyFont="1" applyBorder="1" applyAlignment="1">
      <alignment horizontal="center" vertical="center"/>
    </xf>
    <xf numFmtId="0" fontId="64" fillId="17" borderId="97" xfId="0" applyFont="1" applyFill="1" applyBorder="1" applyAlignment="1">
      <alignment horizontal="center" vertical="center" wrapText="1"/>
    </xf>
    <xf numFmtId="0" fontId="6" fillId="0" borderId="110" xfId="0" applyFont="1" applyFill="1" applyBorder="1" applyAlignment="1">
      <alignment horizontal="center" vertical="center" shrinkToFit="1"/>
    </xf>
    <xf numFmtId="0" fontId="6" fillId="0" borderId="111" xfId="0" applyFont="1" applyFill="1" applyBorder="1" applyAlignment="1">
      <alignment horizontal="center" vertical="center"/>
    </xf>
    <xf numFmtId="0" fontId="35" fillId="9" borderId="112" xfId="2" applyNumberFormat="1" applyFont="1" applyFill="1" applyBorder="1" applyAlignment="1">
      <alignment horizontal="center" vertical="center" shrinkToFit="1"/>
    </xf>
    <xf numFmtId="0" fontId="52" fillId="12" borderId="32" xfId="0" applyFont="1" applyFill="1" applyBorder="1" applyAlignment="1">
      <alignment horizontal="center" vertical="center" shrinkToFit="1"/>
    </xf>
    <xf numFmtId="0" fontId="6" fillId="12" borderId="11" xfId="0" applyFont="1" applyFill="1" applyBorder="1" applyAlignment="1">
      <alignment horizontal="center" vertical="center" wrapText="1"/>
    </xf>
    <xf numFmtId="9" fontId="6" fillId="12" borderId="11" xfId="2" applyFont="1" applyFill="1" applyBorder="1" applyAlignment="1">
      <alignment horizontal="center" vertical="center" shrinkToFit="1"/>
    </xf>
    <xf numFmtId="9" fontId="6" fillId="12" borderId="25" xfId="2" applyFont="1" applyFill="1" applyBorder="1" applyAlignment="1">
      <alignment horizontal="center" vertical="center" shrinkToFit="1"/>
    </xf>
    <xf numFmtId="0" fontId="4" fillId="12" borderId="25" xfId="0" applyFont="1" applyFill="1" applyBorder="1" applyAlignment="1">
      <alignment horizontal="center" vertical="center" wrapText="1"/>
    </xf>
    <xf numFmtId="0" fontId="6" fillId="12" borderId="25" xfId="2" applyNumberFormat="1" applyFont="1" applyFill="1" applyBorder="1" applyAlignment="1">
      <alignment horizontal="center" vertical="center" shrinkToFit="1"/>
    </xf>
    <xf numFmtId="0" fontId="6" fillId="12" borderId="30" xfId="0" applyNumberFormat="1" applyFont="1" applyFill="1" applyBorder="1" applyAlignment="1">
      <alignment horizontal="center" vertical="center" wrapText="1"/>
    </xf>
    <xf numFmtId="0" fontId="6" fillId="0" borderId="39" xfId="0" applyFont="1" applyFill="1" applyBorder="1" applyAlignment="1">
      <alignment horizontal="center" vertical="center"/>
    </xf>
    <xf numFmtId="0" fontId="1" fillId="0" borderId="46" xfId="0" applyFont="1" applyFill="1" applyBorder="1" applyAlignment="1">
      <alignment horizontal="center" vertical="center" wrapText="1"/>
    </xf>
    <xf numFmtId="0" fontId="64" fillId="17" borderId="52" xfId="0" applyFont="1" applyFill="1" applyBorder="1" applyAlignment="1">
      <alignment horizontal="center" vertical="center" wrapText="1"/>
    </xf>
    <xf numFmtId="0" fontId="1" fillId="18" borderId="108" xfId="0" applyFont="1" applyFill="1" applyBorder="1" applyAlignment="1">
      <alignment horizontal="center" vertical="center" wrapText="1"/>
    </xf>
    <xf numFmtId="0" fontId="1" fillId="18" borderId="46" xfId="0" applyFont="1" applyFill="1" applyBorder="1" applyAlignment="1">
      <alignment horizontal="center" vertical="center" wrapText="1"/>
    </xf>
    <xf numFmtId="0" fontId="1" fillId="18" borderId="109" xfId="0" applyFont="1" applyFill="1" applyBorder="1" applyAlignment="1">
      <alignment horizontal="center" vertical="center" wrapText="1"/>
    </xf>
    <xf numFmtId="0" fontId="1" fillId="18" borderId="48" xfId="0" applyFont="1" applyFill="1" applyBorder="1" applyAlignment="1">
      <alignment horizontal="center" vertical="center" wrapText="1"/>
    </xf>
    <xf numFmtId="0" fontId="3" fillId="18" borderId="52" xfId="0" applyFont="1" applyFill="1" applyBorder="1" applyAlignment="1">
      <alignment horizontal="center" vertical="center" wrapText="1"/>
    </xf>
    <xf numFmtId="0" fontId="3" fillId="18" borderId="54" xfId="0" applyFont="1" applyFill="1" applyBorder="1" applyAlignment="1">
      <alignment horizontal="center" vertical="center" wrapText="1"/>
    </xf>
    <xf numFmtId="0" fontId="6" fillId="0" borderId="92" xfId="0" applyFont="1" applyFill="1" applyBorder="1" applyAlignment="1">
      <alignment horizontal="center" vertical="center" shrinkToFit="1"/>
    </xf>
    <xf numFmtId="0" fontId="6" fillId="0" borderId="103" xfId="0" applyFont="1" applyFill="1" applyBorder="1" applyAlignment="1">
      <alignment horizontal="center" vertical="center"/>
    </xf>
    <xf numFmtId="0" fontId="35" fillId="9" borderId="104" xfId="2" applyNumberFormat="1" applyFont="1" applyFill="1" applyBorder="1" applyAlignment="1">
      <alignment horizontal="center" vertical="center" shrinkToFit="1"/>
    </xf>
    <xf numFmtId="0" fontId="51" fillId="0" borderId="42" xfId="0" applyFont="1" applyBorder="1" applyAlignment="1">
      <alignment horizontal="centerContinuous" vertical="center"/>
    </xf>
    <xf numFmtId="0" fontId="51" fillId="0" borderId="42" xfId="0" applyFont="1" applyFill="1" applyBorder="1" applyAlignment="1">
      <alignment horizontal="center" vertical="center" shrinkToFit="1"/>
    </xf>
    <xf numFmtId="1" fontId="6" fillId="0" borderId="111" xfId="0" applyNumberFormat="1" applyFont="1" applyFill="1" applyBorder="1" applyAlignment="1">
      <alignment horizontal="center" vertical="center"/>
    </xf>
    <xf numFmtId="1" fontId="6" fillId="0" borderId="103" xfId="0" applyNumberFormat="1" applyFont="1" applyFill="1" applyBorder="1" applyAlignment="1">
      <alignment horizontal="center" vertical="center"/>
    </xf>
    <xf numFmtId="1" fontId="6" fillId="0" borderId="56" xfId="0" applyNumberFormat="1" applyFont="1" applyFill="1" applyBorder="1" applyAlignment="1">
      <alignment horizontal="center" vertical="center"/>
    </xf>
    <xf numFmtId="1" fontId="54" fillId="11" borderId="52" xfId="0" applyNumberFormat="1" applyFont="1" applyFill="1" applyBorder="1" applyAlignment="1">
      <alignment horizontal="center" vertical="center"/>
    </xf>
    <xf numFmtId="1" fontId="1" fillId="0" borderId="52" xfId="0" applyNumberFormat="1" applyFont="1" applyBorder="1" applyAlignment="1">
      <alignment horizontal="center" vertical="center"/>
    </xf>
    <xf numFmtId="0" fontId="52" fillId="0" borderId="61" xfId="0" applyFont="1" applyFill="1" applyBorder="1" applyAlignment="1">
      <alignment horizontal="centerContinuous" vertical="center"/>
    </xf>
    <xf numFmtId="0" fontId="6" fillId="0" borderId="27" xfId="0" applyNumberFormat="1" applyFont="1" applyFill="1" applyBorder="1" applyAlignment="1">
      <alignment horizontal="center" vertical="center" shrinkToFit="1"/>
    </xf>
    <xf numFmtId="0" fontId="52" fillId="0" borderId="1" xfId="0" applyFont="1" applyFill="1" applyBorder="1" applyAlignment="1">
      <alignment horizontal="center" vertical="center" shrinkToFit="1"/>
    </xf>
    <xf numFmtId="0" fontId="1" fillId="0" borderId="114" xfId="0" applyFont="1" applyFill="1" applyBorder="1" applyAlignment="1">
      <alignment horizontal="center" vertical="center"/>
    </xf>
    <xf numFmtId="0" fontId="1" fillId="0" borderId="115" xfId="0" applyFont="1" applyFill="1" applyBorder="1" applyAlignment="1">
      <alignment horizontal="center" vertical="center"/>
    </xf>
    <xf numFmtId="49" fontId="1" fillId="0" borderId="115" xfId="2" applyNumberFormat="1" applyFont="1" applyBorder="1" applyAlignment="1">
      <alignment horizontal="center" vertical="center"/>
    </xf>
    <xf numFmtId="49" fontId="1" fillId="0" borderId="115" xfId="2" applyNumberFormat="1" applyFont="1" applyFill="1" applyBorder="1" applyAlignment="1">
      <alignment horizontal="center" vertical="center"/>
    </xf>
    <xf numFmtId="0" fontId="1" fillId="0" borderId="115" xfId="0" applyFont="1" applyFill="1" applyBorder="1" applyAlignment="1">
      <alignment horizontal="center" vertical="center" shrinkToFit="1"/>
    </xf>
    <xf numFmtId="164" fontId="4" fillId="0" borderId="115" xfId="0" applyNumberFormat="1" applyFont="1" applyBorder="1" applyAlignment="1">
      <alignment horizontal="center" vertical="center"/>
    </xf>
    <xf numFmtId="1" fontId="54" fillId="11" borderId="115" xfId="0" applyNumberFormat="1" applyFont="1" applyFill="1" applyBorder="1" applyAlignment="1">
      <alignment horizontal="center" vertical="center"/>
    </xf>
    <xf numFmtId="1" fontId="1" fillId="0" borderId="115" xfId="0" applyNumberFormat="1" applyFont="1" applyBorder="1" applyAlignment="1">
      <alignment horizontal="center" vertical="center"/>
    </xf>
    <xf numFmtId="0" fontId="1" fillId="0" borderId="116" xfId="0" applyFont="1" applyFill="1" applyBorder="1" applyAlignment="1">
      <alignment horizontal="center" vertical="center"/>
    </xf>
    <xf numFmtId="0" fontId="1" fillId="0" borderId="117" xfId="0" applyFont="1" applyFill="1" applyBorder="1" applyAlignment="1">
      <alignment horizontal="center" vertical="center"/>
    </xf>
    <xf numFmtId="0" fontId="1" fillId="0" borderId="86" xfId="0" applyFont="1" applyFill="1" applyBorder="1" applyAlignment="1">
      <alignment horizontal="center" vertical="center"/>
    </xf>
    <xf numFmtId="49" fontId="1" fillId="0" borderId="86" xfId="2" applyNumberFormat="1" applyFont="1" applyBorder="1" applyAlignment="1">
      <alignment horizontal="center" vertical="center"/>
    </xf>
    <xf numFmtId="49" fontId="1" fillId="0" borderId="86" xfId="2" applyNumberFormat="1" applyFont="1" applyFill="1" applyBorder="1" applyAlignment="1">
      <alignment horizontal="center" vertical="center"/>
    </xf>
    <xf numFmtId="0" fontId="1" fillId="0" borderId="86" xfId="0" applyFont="1" applyFill="1" applyBorder="1" applyAlignment="1">
      <alignment horizontal="center" vertical="center" shrinkToFit="1"/>
    </xf>
    <xf numFmtId="164" fontId="4" fillId="0" borderId="86" xfId="0" applyNumberFormat="1" applyFont="1" applyFill="1" applyBorder="1" applyAlignment="1">
      <alignment horizontal="center" vertical="center"/>
    </xf>
    <xf numFmtId="164" fontId="4" fillId="0" borderId="86" xfId="0" applyNumberFormat="1" applyFont="1" applyBorder="1" applyAlignment="1">
      <alignment horizontal="center" vertical="center"/>
    </xf>
    <xf numFmtId="1" fontId="54" fillId="11" borderId="86" xfId="0" applyNumberFormat="1" applyFont="1" applyFill="1" applyBorder="1" applyAlignment="1">
      <alignment horizontal="center" vertical="center"/>
    </xf>
    <xf numFmtId="1" fontId="1" fillId="0" borderId="86" xfId="0" applyNumberFormat="1" applyFont="1" applyBorder="1" applyAlignment="1">
      <alignment horizontal="center" vertical="center"/>
    </xf>
    <xf numFmtId="0" fontId="1" fillId="0" borderId="50" xfId="0" applyFont="1" applyFill="1" applyBorder="1" applyAlignment="1">
      <alignment horizontal="center" vertical="center"/>
    </xf>
    <xf numFmtId="0" fontId="1" fillId="0" borderId="118" xfId="0" applyFont="1" applyFill="1" applyBorder="1" applyAlignment="1">
      <alignment horizontal="center" vertical="center"/>
    </xf>
    <xf numFmtId="0" fontId="1" fillId="0" borderId="119" xfId="0" applyFont="1" applyFill="1" applyBorder="1" applyAlignment="1">
      <alignment horizontal="center" vertical="center"/>
    </xf>
    <xf numFmtId="49" fontId="1" fillId="0" borderId="119" xfId="2" applyNumberFormat="1" applyFont="1" applyBorder="1" applyAlignment="1">
      <alignment horizontal="center" vertical="center"/>
    </xf>
    <xf numFmtId="0" fontId="1" fillId="0" borderId="119" xfId="0" applyFont="1" applyFill="1" applyBorder="1" applyAlignment="1">
      <alignment horizontal="center" vertical="center" shrinkToFit="1"/>
    </xf>
    <xf numFmtId="1" fontId="54" fillId="11" borderId="119" xfId="0" applyNumberFormat="1" applyFont="1" applyFill="1" applyBorder="1" applyAlignment="1">
      <alignment horizontal="center" vertical="center"/>
    </xf>
    <xf numFmtId="1" fontId="1" fillId="0" borderId="119" xfId="0" applyNumberFormat="1" applyFont="1" applyBorder="1" applyAlignment="1">
      <alignment horizontal="center" vertical="center"/>
    </xf>
    <xf numFmtId="0" fontId="1" fillId="0" borderId="120" xfId="0" applyFont="1" applyFill="1" applyBorder="1" applyAlignment="1">
      <alignment horizontal="center" vertical="center"/>
    </xf>
    <xf numFmtId="1" fontId="1" fillId="0" borderId="121" xfId="0" applyNumberFormat="1" applyFont="1" applyFill="1" applyBorder="1" applyAlignment="1">
      <alignment horizontal="center" vertical="center"/>
    </xf>
    <xf numFmtId="1" fontId="1" fillId="12" borderId="122" xfId="0" applyNumberFormat="1" applyFont="1" applyFill="1" applyBorder="1" applyAlignment="1">
      <alignment horizontal="center" vertical="center"/>
    </xf>
    <xf numFmtId="1" fontId="1" fillId="12" borderId="61" xfId="0" applyNumberFormat="1" applyFont="1" applyFill="1" applyBorder="1" applyAlignment="1">
      <alignment horizontal="center" vertical="center"/>
    </xf>
    <xf numFmtId="0" fontId="1" fillId="19" borderId="119" xfId="0" quotePrefix="1" applyFont="1" applyFill="1" applyBorder="1" applyAlignment="1">
      <alignment horizontal="center" vertical="center" wrapText="1"/>
    </xf>
    <xf numFmtId="0" fontId="1" fillId="19" borderId="115" xfId="0" quotePrefix="1" applyFont="1" applyFill="1" applyBorder="1" applyAlignment="1">
      <alignment horizontal="center" vertical="center" wrapText="1"/>
    </xf>
    <xf numFmtId="0" fontId="1" fillId="19" borderId="86" xfId="0" quotePrefix="1" applyFont="1" applyFill="1" applyBorder="1" applyAlignment="1">
      <alignment horizontal="center" vertical="center" wrapText="1"/>
    </xf>
    <xf numFmtId="164" fontId="4" fillId="12" borderId="115" xfId="0" applyNumberFormat="1" applyFont="1" applyFill="1" applyBorder="1" applyAlignment="1">
      <alignment horizontal="center" vertical="center"/>
    </xf>
    <xf numFmtId="164" fontId="1" fillId="0" borderId="115" xfId="0" applyNumberFormat="1" applyFont="1" applyBorder="1" applyAlignment="1">
      <alignment horizontal="center" vertical="center"/>
    </xf>
    <xf numFmtId="164" fontId="1" fillId="12" borderId="115" xfId="0" applyNumberFormat="1" applyFont="1" applyFill="1" applyBorder="1" applyAlignment="1">
      <alignment horizontal="center" vertical="center"/>
    </xf>
    <xf numFmtId="0" fontId="1" fillId="0" borderId="123" xfId="0" applyFont="1" applyFill="1" applyBorder="1" applyAlignment="1">
      <alignment horizontal="center" vertical="center"/>
    </xf>
    <xf numFmtId="0" fontId="1" fillId="0" borderId="124" xfId="0" applyFont="1" applyFill="1" applyBorder="1" applyAlignment="1">
      <alignment horizontal="center" vertical="center"/>
    </xf>
    <xf numFmtId="0" fontId="1" fillId="19" borderId="124" xfId="0" quotePrefix="1" applyFont="1" applyFill="1" applyBorder="1" applyAlignment="1">
      <alignment horizontal="center" vertical="center" wrapText="1"/>
    </xf>
    <xf numFmtId="49" fontId="1" fillId="0" borderId="124" xfId="2" applyNumberFormat="1" applyFont="1" applyBorder="1" applyAlignment="1">
      <alignment horizontal="center" vertical="center"/>
    </xf>
    <xf numFmtId="49" fontId="1" fillId="0" borderId="124" xfId="2" applyNumberFormat="1" applyFont="1" applyFill="1" applyBorder="1" applyAlignment="1">
      <alignment horizontal="center" vertical="center"/>
    </xf>
    <xf numFmtId="0" fontId="1" fillId="0" borderId="124" xfId="0" applyFont="1" applyFill="1" applyBorder="1" applyAlignment="1">
      <alignment horizontal="center" vertical="center" shrinkToFit="1"/>
    </xf>
    <xf numFmtId="164" fontId="4" fillId="0" borderId="124" xfId="0" applyNumberFormat="1" applyFont="1" applyFill="1" applyBorder="1" applyAlignment="1">
      <alignment horizontal="center" vertical="center"/>
    </xf>
    <xf numFmtId="164" fontId="4" fillId="0" borderId="124" xfId="0" applyNumberFormat="1" applyFont="1" applyBorder="1" applyAlignment="1">
      <alignment horizontal="center" vertical="center"/>
    </xf>
    <xf numFmtId="1" fontId="54" fillId="11" borderId="124" xfId="0" applyNumberFormat="1" applyFont="1" applyFill="1" applyBorder="1" applyAlignment="1">
      <alignment horizontal="center" vertical="center"/>
    </xf>
    <xf numFmtId="1" fontId="1" fillId="0" borderId="124" xfId="0" applyNumberFormat="1" applyFont="1" applyBorder="1" applyAlignment="1">
      <alignment horizontal="center" vertical="center"/>
    </xf>
    <xf numFmtId="0" fontId="1" fillId="0" borderId="125" xfId="0" applyFont="1" applyFill="1" applyBorder="1" applyAlignment="1">
      <alignment horizontal="center" vertical="center"/>
    </xf>
    <xf numFmtId="164" fontId="1" fillId="0" borderId="119" xfId="0" applyNumberFormat="1" applyFont="1" applyFill="1" applyBorder="1" applyAlignment="1">
      <alignment horizontal="center" vertical="center"/>
    </xf>
    <xf numFmtId="164" fontId="1" fillId="0" borderId="119" xfId="0" applyNumberFormat="1" applyFont="1" applyBorder="1" applyAlignment="1">
      <alignment horizontal="center" vertical="center"/>
    </xf>
    <xf numFmtId="1" fontId="1" fillId="0" borderId="126" xfId="0" applyNumberFormat="1" applyFont="1" applyFill="1" applyBorder="1" applyAlignment="1">
      <alignment horizontal="center" vertical="center"/>
    </xf>
    <xf numFmtId="0" fontId="51" fillId="0" borderId="61" xfId="0" quotePrefix="1" applyFont="1" applyFill="1" applyBorder="1" applyAlignment="1">
      <alignment horizontal="centerContinuous" vertical="center" shrinkToFit="1"/>
    </xf>
    <xf numFmtId="0" fontId="51" fillId="0" borderId="61" xfId="0" applyFont="1" applyFill="1" applyBorder="1" applyAlignment="1">
      <alignment horizontal="centerContinuous" vertical="center"/>
    </xf>
    <xf numFmtId="49" fontId="1" fillId="15" borderId="119" xfId="2" applyNumberFormat="1" applyFont="1" applyFill="1" applyBorder="1" applyAlignment="1">
      <alignment horizontal="center" vertical="center"/>
    </xf>
    <xf numFmtId="49" fontId="1" fillId="15" borderId="115" xfId="2" applyNumberFormat="1" applyFont="1" applyFill="1" applyBorder="1" applyAlignment="1">
      <alignment horizontal="center" vertical="center"/>
    </xf>
    <xf numFmtId="0" fontId="67" fillId="0" borderId="127" xfId="0" applyFont="1" applyBorder="1" applyAlignment="1">
      <alignment horizontal="centerContinuous" vertical="center"/>
    </xf>
    <xf numFmtId="0" fontId="65" fillId="0" borderId="128" xfId="0" applyFont="1" applyBorder="1" applyAlignment="1">
      <alignment horizontal="centerContinuous" vertical="center"/>
    </xf>
    <xf numFmtId="0" fontId="66" fillId="0" borderId="129" xfId="0" applyFont="1" applyFill="1" applyBorder="1" applyAlignment="1">
      <alignment horizontal="centerContinuous" vertical="center"/>
    </xf>
    <xf numFmtId="0" fontId="3" fillId="0" borderId="92" xfId="0" applyFont="1" applyBorder="1" applyAlignment="1">
      <alignment vertical="center"/>
    </xf>
    <xf numFmtId="0" fontId="3" fillId="0" borderId="93" xfId="0" applyFont="1" applyBorder="1" applyAlignment="1">
      <alignment horizontal="right" vertical="center"/>
    </xf>
    <xf numFmtId="49" fontId="54" fillId="17" borderId="130" xfId="0" applyNumberFormat="1" applyFont="1" applyFill="1" applyBorder="1" applyAlignment="1">
      <alignment vertical="center"/>
    </xf>
    <xf numFmtId="0" fontId="53" fillId="17" borderId="131" xfId="0" applyFont="1" applyFill="1" applyBorder="1" applyAlignment="1">
      <alignment horizontal="right" vertical="center"/>
    </xf>
    <xf numFmtId="49" fontId="1" fillId="0" borderId="92" xfId="0" applyNumberFormat="1" applyFont="1" applyFill="1" applyBorder="1" applyAlignment="1">
      <alignment vertical="center"/>
    </xf>
    <xf numFmtId="0" fontId="3" fillId="0" borderId="93" xfId="0" applyFont="1" applyFill="1" applyBorder="1" applyAlignment="1">
      <alignment horizontal="right" vertical="center"/>
    </xf>
    <xf numFmtId="1" fontId="1" fillId="0" borderId="104" xfId="0" applyNumberFormat="1" applyFont="1" applyFill="1" applyBorder="1" applyAlignment="1">
      <alignment horizontal="centerContinuous" vertical="center"/>
    </xf>
    <xf numFmtId="0" fontId="54" fillId="17" borderId="92" xfId="0" applyNumberFormat="1" applyFont="1" applyFill="1" applyBorder="1" applyAlignment="1">
      <alignment vertical="center"/>
    </xf>
    <xf numFmtId="0" fontId="53" fillId="17" borderId="93" xfId="0" applyFont="1" applyFill="1" applyBorder="1" applyAlignment="1">
      <alignment horizontal="right" vertical="center"/>
    </xf>
    <xf numFmtId="0" fontId="1" fillId="0" borderId="92" xfId="0" applyNumberFormat="1" applyFont="1" applyFill="1" applyBorder="1" applyAlignment="1">
      <alignment vertical="center"/>
    </xf>
    <xf numFmtId="49" fontId="1" fillId="0" borderId="51" xfId="0" applyNumberFormat="1" applyFont="1" applyFill="1" applyBorder="1" applyAlignment="1">
      <alignment vertical="center"/>
    </xf>
    <xf numFmtId="0" fontId="3" fillId="0" borderId="84" xfId="0" applyFont="1" applyFill="1" applyBorder="1" applyAlignment="1">
      <alignment horizontal="right" vertical="center"/>
    </xf>
    <xf numFmtId="1" fontId="1" fillId="0" borderId="112" xfId="0" applyNumberFormat="1" applyFont="1" applyFill="1" applyBorder="1" applyAlignment="1">
      <alignment horizontal="centerContinuous" vertical="center"/>
    </xf>
    <xf numFmtId="1" fontId="54" fillId="17" borderId="132" xfId="0" applyNumberFormat="1" applyFont="1" applyFill="1" applyBorder="1" applyAlignment="1">
      <alignment horizontal="centerContinuous" vertical="center"/>
    </xf>
    <xf numFmtId="1" fontId="54" fillId="17" borderId="104" xfId="0" applyNumberFormat="1" applyFont="1" applyFill="1" applyBorder="1" applyAlignment="1">
      <alignment horizontal="centerContinuous" vertical="center"/>
    </xf>
    <xf numFmtId="1" fontId="1" fillId="20" borderId="133" xfId="0" applyNumberFormat="1" applyFont="1" applyFill="1" applyBorder="1" applyAlignment="1">
      <alignment horizontal="centerContinuous" vertical="center"/>
    </xf>
    <xf numFmtId="0" fontId="6" fillId="12" borderId="8" xfId="0" applyFont="1" applyFill="1" applyBorder="1" applyAlignment="1">
      <alignment horizontal="center" vertical="center" shrinkToFit="1"/>
    </xf>
    <xf numFmtId="0" fontId="6" fillId="12" borderId="57" xfId="0" applyFont="1" applyFill="1" applyBorder="1" applyAlignment="1">
      <alignment horizontal="center" vertical="center"/>
    </xf>
    <xf numFmtId="1" fontId="6" fillId="12" borderId="57" xfId="0" applyNumberFormat="1" applyFont="1" applyFill="1" applyBorder="1" applyAlignment="1">
      <alignment horizontal="center" vertical="center"/>
    </xf>
    <xf numFmtId="1" fontId="1" fillId="12" borderId="126" xfId="0" applyNumberFormat="1" applyFont="1" applyFill="1" applyBorder="1" applyAlignment="1">
      <alignment horizontal="center" vertical="center"/>
    </xf>
    <xf numFmtId="0" fontId="1" fillId="19" borderId="125" xfId="0" applyFont="1" applyFill="1" applyBorder="1" applyAlignment="1">
      <alignment horizontal="center" vertical="center"/>
    </xf>
    <xf numFmtId="0" fontId="6" fillId="5" borderId="28" xfId="0" quotePrefix="1" applyNumberFormat="1" applyFont="1" applyFill="1" applyBorder="1" applyAlignment="1">
      <alignment horizontal="center" vertical="center"/>
    </xf>
    <xf numFmtId="0" fontId="6" fillId="14" borderId="28" xfId="0" quotePrefix="1" applyNumberFormat="1" applyFont="1" applyFill="1" applyBorder="1" applyAlignment="1">
      <alignment horizontal="center" vertical="center"/>
    </xf>
    <xf numFmtId="0" fontId="6" fillId="6" borderId="28" xfId="0" quotePrefix="1" applyNumberFormat="1" applyFont="1" applyFill="1" applyBorder="1" applyAlignment="1">
      <alignment horizontal="center" vertical="center"/>
    </xf>
    <xf numFmtId="0" fontId="8" fillId="19" borderId="13" xfId="0" applyFont="1" applyFill="1" applyBorder="1" applyAlignment="1">
      <alignment horizontal="center" vertical="center"/>
    </xf>
    <xf numFmtId="1" fontId="6" fillId="19" borderId="26" xfId="0" applyNumberFormat="1" applyFont="1" applyFill="1" applyBorder="1" applyAlignment="1">
      <alignment horizontal="center" vertical="center" wrapText="1"/>
    </xf>
    <xf numFmtId="1" fontId="6" fillId="19" borderId="60" xfId="0" applyNumberFormat="1" applyFont="1" applyFill="1" applyBorder="1" applyAlignment="1">
      <alignment horizontal="centerContinuous" vertical="center"/>
    </xf>
    <xf numFmtId="0" fontId="68" fillId="19" borderId="113" xfId="0" applyNumberFormat="1" applyFont="1" applyFill="1" applyBorder="1" applyAlignment="1">
      <alignment horizontal="centerContinuous" vertical="center"/>
    </xf>
    <xf numFmtId="0" fontId="1" fillId="0" borderId="79" xfId="0" quotePrefix="1" applyFont="1" applyBorder="1" applyAlignment="1">
      <alignment horizontal="center" vertical="center"/>
    </xf>
    <xf numFmtId="9" fontId="1" fillId="0" borderId="79" xfId="0" applyNumberFormat="1" applyFont="1" applyBorder="1" applyAlignment="1">
      <alignment horizontal="center" vertical="center"/>
    </xf>
    <xf numFmtId="0" fontId="20" fillId="13" borderId="134" xfId="0" applyFont="1" applyFill="1" applyBorder="1" applyAlignment="1">
      <alignment horizontal="center" vertical="center"/>
    </xf>
    <xf numFmtId="0" fontId="20" fillId="13" borderId="135" xfId="0" applyFont="1" applyFill="1" applyBorder="1" applyAlignment="1">
      <alignment horizontal="center" vertical="center"/>
    </xf>
    <xf numFmtId="49" fontId="20" fillId="13" borderId="135" xfId="0" applyNumberFormat="1" applyFont="1" applyFill="1" applyBorder="1" applyAlignment="1">
      <alignment horizontal="center" vertical="center"/>
    </xf>
    <xf numFmtId="0" fontId="20" fillId="13" borderId="136" xfId="0" applyFont="1" applyFill="1" applyBorder="1" applyAlignment="1">
      <alignment horizontal="center" vertical="center"/>
    </xf>
    <xf numFmtId="0" fontId="53" fillId="11" borderId="136" xfId="0" applyFont="1" applyFill="1" applyBorder="1" applyAlignment="1">
      <alignment horizontal="center" vertical="center"/>
    </xf>
    <xf numFmtId="0" fontId="20" fillId="13" borderId="137" xfId="0" applyFont="1" applyFill="1" applyBorder="1" applyAlignment="1">
      <alignment horizontal="center" vertical="center"/>
    </xf>
    <xf numFmtId="0" fontId="1" fillId="0" borderId="138" xfId="0" applyFont="1" applyFill="1" applyBorder="1" applyAlignment="1">
      <alignment horizontal="center" vertical="center"/>
    </xf>
    <xf numFmtId="0" fontId="1" fillId="0" borderId="108" xfId="0" applyFont="1" applyFill="1" applyBorder="1" applyAlignment="1">
      <alignment horizontal="center" vertical="center"/>
    </xf>
    <xf numFmtId="49" fontId="1" fillId="0" borderId="108" xfId="0" applyNumberFormat="1" applyFont="1" applyFill="1" applyBorder="1" applyAlignment="1">
      <alignment horizontal="center" vertical="center"/>
    </xf>
    <xf numFmtId="164" fontId="1" fillId="0" borderId="108" xfId="0" applyNumberFormat="1" applyFont="1" applyFill="1" applyBorder="1" applyAlignment="1">
      <alignment horizontal="center" vertical="center"/>
    </xf>
    <xf numFmtId="164" fontId="4" fillId="0" borderId="108" xfId="0" applyNumberFormat="1" applyFont="1" applyFill="1" applyBorder="1" applyAlignment="1">
      <alignment horizontal="center" vertical="center"/>
    </xf>
    <xf numFmtId="164" fontId="4" fillId="0" borderId="108" xfId="0" applyNumberFormat="1" applyFont="1" applyBorder="1" applyAlignment="1">
      <alignment horizontal="center" vertical="center"/>
    </xf>
    <xf numFmtId="1" fontId="54" fillId="11" borderId="108" xfId="0" applyNumberFormat="1" applyFont="1" applyFill="1" applyBorder="1" applyAlignment="1">
      <alignment horizontal="center" vertical="center"/>
    </xf>
    <xf numFmtId="1" fontId="1" fillId="0" borderId="108" xfId="0" applyNumberFormat="1" applyFont="1" applyBorder="1" applyAlignment="1">
      <alignment horizontal="center" vertical="center"/>
    </xf>
    <xf numFmtId="0" fontId="4" fillId="0" borderId="109" xfId="0" applyFont="1" applyFill="1" applyBorder="1" applyAlignment="1">
      <alignment horizontal="center" vertical="center"/>
    </xf>
    <xf numFmtId="0" fontId="1" fillId="0" borderId="71" xfId="0" applyFont="1" applyBorder="1" applyAlignment="1">
      <alignment horizontal="center" vertical="center"/>
    </xf>
    <xf numFmtId="49" fontId="68" fillId="0" borderId="52" xfId="0" applyNumberFormat="1" applyFont="1" applyBorder="1" applyAlignment="1">
      <alignment horizontal="center" vertical="center"/>
    </xf>
    <xf numFmtId="49" fontId="1" fillId="0" borderId="52" xfId="0" applyNumberFormat="1" applyFont="1" applyBorder="1" applyAlignment="1">
      <alignment horizontal="center" vertical="center"/>
    </xf>
    <xf numFmtId="0" fontId="4" fillId="0" borderId="52" xfId="0" applyFont="1" applyBorder="1" applyAlignment="1">
      <alignment horizontal="center" vertical="center"/>
    </xf>
    <xf numFmtId="49" fontId="4" fillId="0" borderId="52" xfId="0" applyNumberFormat="1" applyFont="1" applyBorder="1" applyAlignment="1">
      <alignment horizontal="center" vertical="center"/>
    </xf>
    <xf numFmtId="164" fontId="4" fillId="0" borderId="52" xfId="0" applyNumberFormat="1" applyFont="1" applyBorder="1" applyAlignment="1">
      <alignment horizontal="center" vertical="center"/>
    </xf>
    <xf numFmtId="0" fontId="1" fillId="0" borderId="86" xfId="0" quotePrefix="1" applyFont="1" applyFill="1" applyBorder="1" applyAlignment="1">
      <alignment horizontal="center" vertical="center" wrapText="1"/>
    </xf>
    <xf numFmtId="0" fontId="1" fillId="0" borderId="86" xfId="0" applyNumberFormat="1" applyFont="1" applyFill="1" applyBorder="1" applyAlignment="1">
      <alignment horizontal="center" vertical="center"/>
    </xf>
    <xf numFmtId="49" fontId="1" fillId="0" borderId="86" xfId="0" applyNumberFormat="1" applyFont="1" applyFill="1" applyBorder="1" applyAlignment="1">
      <alignment horizontal="center" vertical="center"/>
    </xf>
    <xf numFmtId="164" fontId="1" fillId="0" borderId="86" xfId="0" applyNumberFormat="1" applyFont="1" applyFill="1" applyBorder="1" applyAlignment="1">
      <alignment horizontal="center" vertical="center"/>
    </xf>
    <xf numFmtId="1" fontId="1" fillId="0" borderId="86" xfId="0" applyNumberFormat="1" applyFont="1" applyFill="1" applyBorder="1" applyAlignment="1">
      <alignment horizontal="center" vertical="center"/>
    </xf>
    <xf numFmtId="0" fontId="1" fillId="0" borderId="50" xfId="0" quotePrefix="1" applyFont="1" applyFill="1" applyBorder="1" applyAlignment="1">
      <alignment horizontal="center" vertical="center"/>
    </xf>
    <xf numFmtId="49" fontId="1" fillId="0" borderId="115" xfId="0" applyNumberFormat="1" applyFont="1" applyFill="1" applyBorder="1" applyAlignment="1">
      <alignment horizontal="center" vertical="center"/>
    </xf>
    <xf numFmtId="0" fontId="4" fillId="0" borderId="116" xfId="0" applyFont="1" applyFill="1" applyBorder="1" applyAlignment="1">
      <alignment horizontal="center" vertical="center"/>
    </xf>
    <xf numFmtId="0" fontId="1" fillId="12" borderId="115" xfId="0" applyFont="1" applyFill="1" applyBorder="1" applyAlignment="1">
      <alignment horizontal="center" vertical="center"/>
    </xf>
    <xf numFmtId="0" fontId="1" fillId="0" borderId="54" xfId="0" applyFont="1" applyBorder="1" applyAlignment="1">
      <alignment horizontal="center" vertical="center"/>
    </xf>
    <xf numFmtId="0" fontId="1" fillId="0" borderId="94" xfId="0" applyFont="1" applyBorder="1" applyAlignment="1">
      <alignment horizontal="center" vertical="center" shrinkToFit="1"/>
    </xf>
    <xf numFmtId="0" fontId="4" fillId="0" borderId="94" xfId="0" applyFont="1" applyBorder="1" applyAlignment="1">
      <alignment horizontal="center" vertical="center" shrinkToFit="1"/>
    </xf>
    <xf numFmtId="0" fontId="1" fillId="0" borderId="97" xfId="0" applyFont="1" applyBorder="1" applyAlignment="1">
      <alignment horizontal="center" vertical="center" shrinkToFit="1"/>
    </xf>
    <xf numFmtId="0" fontId="4" fillId="0" borderId="89" xfId="0" applyFont="1" applyBorder="1" applyAlignment="1">
      <alignment horizontal="center" vertical="center" shrinkToFit="1"/>
    </xf>
    <xf numFmtId="0" fontId="4" fillId="0" borderId="97" xfId="0" applyFont="1" applyBorder="1" applyAlignment="1">
      <alignment horizontal="center" vertical="center" shrinkToFit="1"/>
    </xf>
    <xf numFmtId="1" fontId="6" fillId="19" borderId="29" xfId="0" applyNumberFormat="1" applyFont="1" applyFill="1" applyBorder="1" applyAlignment="1">
      <alignment horizontal="center" vertical="center"/>
    </xf>
    <xf numFmtId="1" fontId="6" fillId="19" borderId="30" xfId="0" applyNumberFormat="1" applyFont="1" applyFill="1" applyBorder="1" applyAlignment="1">
      <alignment horizontal="center" vertical="center"/>
    </xf>
    <xf numFmtId="1" fontId="6" fillId="0" borderId="27" xfId="0" applyNumberFormat="1" applyFont="1" applyFill="1" applyBorder="1" applyAlignment="1">
      <alignment horizontal="center" vertical="center"/>
    </xf>
    <xf numFmtId="0" fontId="69" fillId="13" borderId="3" xfId="0" quotePrefix="1" applyFont="1" applyFill="1" applyBorder="1" applyAlignment="1">
      <alignment horizontal="center" vertical="center"/>
    </xf>
  </cellXfs>
  <cellStyles count="9">
    <cellStyle name="Excel Built-in Normal" xfId="4"/>
    <cellStyle name="Hyperlink" xfId="1" builtinId="8"/>
    <cellStyle name="Normal" xfId="0" builtinId="0"/>
    <cellStyle name="Normal 2" xfId="5"/>
    <cellStyle name="Normal 2 2" xfId="6"/>
    <cellStyle name="Normal 4" xfId="3"/>
    <cellStyle name="Percent" xfId="2" builtinId="5"/>
    <cellStyle name="Percent 2" xfId="7"/>
    <cellStyle name="Percent 2 2" xfId="8"/>
  </cellStyles>
  <dxfs count="27">
    <dxf>
      <font>
        <b/>
        <i val="0"/>
        <condense val="0"/>
        <extend val="0"/>
      </font>
      <fill>
        <patternFill>
          <bgColor indexed="51"/>
        </patternFill>
      </fill>
    </dxf>
    <dxf>
      <font>
        <b/>
        <i val="0"/>
        <condense val="0"/>
        <extend val="0"/>
      </font>
      <fill>
        <patternFill>
          <bgColor indexed="11"/>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0000FF"/>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60960</xdr:colOff>
      <xdr:row>1</xdr:row>
      <xdr:rowOff>91440</xdr:rowOff>
    </xdr:from>
    <xdr:to>
      <xdr:col>6</xdr:col>
      <xdr:colOff>1051560</xdr:colOff>
      <xdr:row>11</xdr:row>
      <xdr:rowOff>144780</xdr:rowOff>
    </xdr:to>
    <xdr:sp macro="" textlink="">
      <xdr:nvSpPr>
        <xdr:cNvPr id="2" name="TextBox 1"/>
        <xdr:cNvSpPr txBox="1"/>
      </xdr:nvSpPr>
      <xdr:spPr>
        <a:xfrm>
          <a:off x="4046220" y="464820"/>
          <a:ext cx="2087880" cy="2209800"/>
        </a:xfrm>
        <a:prstGeom prst="rect">
          <a:avLst/>
        </a:prstGeom>
        <a:solidFill>
          <a:srgbClr val="00B050">
            <a:alpha val="61000"/>
          </a:srgbClr>
        </a:solidFill>
        <a:ln w="44450" cmpd="dbl">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0"/>
          <a:r>
            <a:rPr lang="en-US" sz="1200" b="0">
              <a:latin typeface="Times New Roman" panose="02020603050405020304" pitchFamily="18" charset="0"/>
              <a:cs typeface="Times New Roman" panose="02020603050405020304" pitchFamily="18" charset="0"/>
            </a:rPr>
            <a:t>Inspired Greatness</a:t>
          </a:r>
          <a:r>
            <a:rPr lang="en-US" sz="1200" b="0" baseline="0">
              <a:latin typeface="Times New Roman" panose="02020603050405020304" pitchFamily="18" charset="0"/>
              <a:cs typeface="Times New Roman" panose="02020603050405020304" pitchFamily="18" charset="0"/>
            </a:rPr>
            <a:t> </a:t>
          </a:r>
          <a:r>
            <a:rPr lang="en-US" sz="1200" b="0">
              <a:latin typeface="Times New Roman" panose="02020603050405020304" pitchFamily="18" charset="0"/>
              <a:cs typeface="Times New Roman" panose="02020603050405020304" pitchFamily="18" charset="0"/>
            </a:rPr>
            <a:t>(+2 HD)</a:t>
          </a:r>
        </a:p>
        <a:p>
          <a:pPr algn="ctr" rtl="0"/>
          <a:endParaRPr lang="en-US" sz="1200" b="0" i="0" baseline="0">
            <a:solidFill>
              <a:schemeClr val="dk1"/>
            </a:solidFill>
            <a:effectLst/>
            <a:latin typeface="Times New Roman" panose="02020603050405020304" pitchFamily="18" charset="0"/>
            <a:ea typeface="+mn-ea"/>
            <a:cs typeface="Times New Roman" panose="02020603050405020304" pitchFamily="18" charset="0"/>
          </a:endParaRPr>
        </a:p>
        <a:p>
          <a:pPr algn="ctr" rtl="0"/>
          <a:r>
            <a:rPr lang="en-US" sz="1200" b="0" i="0" baseline="0">
              <a:solidFill>
                <a:schemeClr val="dk1"/>
              </a:solidFill>
              <a:effectLst/>
              <a:latin typeface="Times New Roman" panose="02020603050405020304" pitchFamily="18" charset="0"/>
              <a:ea typeface="+mn-ea"/>
              <a:cs typeface="Times New Roman" panose="02020603050405020304" pitchFamily="18" charset="0"/>
            </a:rPr>
            <a:t>Resistances to</a:t>
          </a:r>
          <a:endParaRPr lang="en-US" sz="1200" b="0">
            <a:effectLst/>
            <a:latin typeface="Times New Roman" panose="02020603050405020304" pitchFamily="18" charset="0"/>
            <a:cs typeface="Times New Roman" panose="02020603050405020304" pitchFamily="18" charset="0"/>
          </a:endParaRPr>
        </a:p>
        <a:p>
          <a:pPr algn="ctr" rtl="0"/>
          <a:r>
            <a:rPr lang="en-US" sz="1200" b="0" i="0" baseline="0">
              <a:solidFill>
                <a:schemeClr val="dk1"/>
              </a:solidFill>
              <a:effectLst/>
              <a:latin typeface="Times New Roman" panose="02020603050405020304" pitchFamily="18" charset="0"/>
              <a:ea typeface="+mn-ea"/>
              <a:cs typeface="Times New Roman" panose="02020603050405020304" pitchFamily="18" charset="0"/>
            </a:rPr>
            <a:t>Acid, Cold, Electricity, Fire, and Negative Energy (20)</a:t>
          </a:r>
        </a:p>
        <a:p>
          <a:pPr algn="ctr" rtl="0"/>
          <a:endParaRPr lang="en-US" sz="1200" b="0" i="0" baseline="0">
            <a:solidFill>
              <a:schemeClr val="dk1"/>
            </a:solidFill>
            <a:effectLst/>
            <a:latin typeface="Times New Roman" panose="02020603050405020304" pitchFamily="18" charset="0"/>
            <a:ea typeface="+mn-ea"/>
            <a:cs typeface="Times New Roman" panose="02020603050405020304" pitchFamily="18" charset="0"/>
          </a:endParaRPr>
        </a:p>
        <a:p>
          <a:pPr algn="ctr" rtl="0"/>
          <a:r>
            <a:rPr lang="en-US" sz="1200" b="0" i="0" baseline="0">
              <a:solidFill>
                <a:schemeClr val="dk1"/>
              </a:solidFill>
              <a:effectLst/>
              <a:latin typeface="Times New Roman" panose="02020603050405020304" pitchFamily="18" charset="0"/>
              <a:ea typeface="+mn-ea"/>
              <a:cs typeface="Times New Roman" panose="02020603050405020304" pitchFamily="18" charset="0"/>
            </a:rPr>
            <a:t>Protected from Evil +2</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7" name="Rectangle 1"/>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19483" name="Rectangle 1"/>
        <xdr:cNvSpPr>
          <a:spLocks noChangeArrowheads="1"/>
        </xdr:cNvSpPr>
      </xdr:nvSpPr>
      <xdr:spPr bwMode="auto">
        <a:xfrm>
          <a:off x="5724525" y="0"/>
          <a:ext cx="204787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0</xdr:colOff>
      <xdr:row>0</xdr:row>
      <xdr:rowOff>0</xdr:rowOff>
    </xdr:from>
    <xdr:to>
      <xdr:col>16</xdr:col>
      <xdr:colOff>0</xdr:colOff>
      <xdr:row>0</xdr:row>
      <xdr:rowOff>0</xdr:rowOff>
    </xdr:to>
    <xdr:sp macro="" textlink="">
      <xdr:nvSpPr>
        <xdr:cNvPr id="18457" name="Rectangle 1"/>
        <xdr:cNvSpPr>
          <a:spLocks noChangeArrowheads="1"/>
        </xdr:cNvSpPr>
      </xdr:nvSpPr>
      <xdr:spPr bwMode="auto">
        <a:xfrm>
          <a:off x="60674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1</xdr:col>
      <xdr:colOff>123825</xdr:colOff>
      <xdr:row>1</xdr:row>
      <xdr:rowOff>123825</xdr:rowOff>
    </xdr:from>
    <xdr:to>
      <xdr:col>2</xdr:col>
      <xdr:colOff>161925</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9</xdr:row>
      <xdr:rowOff>9525</xdr:rowOff>
    </xdr:from>
    <xdr:to>
      <xdr:col>4</xdr:col>
      <xdr:colOff>723900</xdr:colOff>
      <xdr:row>12</xdr:row>
      <xdr:rowOff>0</xdr:rowOff>
    </xdr:to>
    <xdr:sp macro="" textlink="">
      <xdr:nvSpPr>
        <xdr:cNvPr id="2" name="Text Box 1"/>
        <xdr:cNvSpPr txBox="1">
          <a:spLocks noChangeArrowheads="1"/>
        </xdr:cNvSpPr>
      </xdr:nvSpPr>
      <xdr:spPr bwMode="auto">
        <a:xfrm>
          <a:off x="0" y="2114550"/>
          <a:ext cx="4295775" cy="63817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Times New Roman"/>
              <a:cs typeface="Times New Roman"/>
            </a:rPr>
            <a:t>Skills:</a:t>
          </a:r>
          <a:r>
            <a:rPr lang="en-US" sz="1200" b="0" i="0" u="none" strike="noStrike" baseline="0">
              <a:solidFill>
                <a:srgbClr val="000000"/>
              </a:solidFill>
              <a:latin typeface="Times New Roman"/>
              <a:cs typeface="Times New Roman"/>
            </a:rPr>
            <a:t>  Listen 5, Spot 4.</a:t>
          </a:r>
        </a:p>
        <a:p>
          <a:pPr algn="just" rtl="0">
            <a:defRPr sz="1000"/>
          </a:pPr>
          <a:r>
            <a:rPr lang="en-US" sz="1200" b="1" i="0" u="none" strike="noStrike" baseline="0">
              <a:solidFill>
                <a:srgbClr val="000000"/>
              </a:solidFill>
              <a:latin typeface="Times New Roman"/>
              <a:cs typeface="Times New Roman"/>
            </a:rPr>
            <a:t>Attack:  </a:t>
          </a:r>
          <a:r>
            <a:rPr lang="en-US" sz="1200" b="0" i="0" u="none" strike="noStrike" baseline="0">
              <a:solidFill>
                <a:srgbClr val="000000"/>
              </a:solidFill>
              <a:latin typeface="Times New Roman"/>
              <a:cs typeface="Times New Roman"/>
            </a:rPr>
            <a:t>2 hooves +8/+8 (1d6+4) and bite +3 (1d4+2); grapple +13</a:t>
          </a:r>
        </a:p>
      </xdr:txBody>
    </xdr:sp>
    <xdr:clientData/>
  </xdr:twoCellAnchor>
  <xdr:twoCellAnchor>
    <xdr:from>
      <xdr:col>5</xdr:col>
      <xdr:colOff>9525</xdr:colOff>
      <xdr:row>5</xdr:row>
      <xdr:rowOff>9525</xdr:rowOff>
    </xdr:from>
    <xdr:to>
      <xdr:col>6</xdr:col>
      <xdr:colOff>1333500</xdr:colOff>
      <xdr:row>11</xdr:row>
      <xdr:rowOff>209550</xdr:rowOff>
    </xdr:to>
    <xdr:sp macro="" textlink="">
      <xdr:nvSpPr>
        <xdr:cNvPr id="3" name="Text Box 2"/>
        <xdr:cNvSpPr txBox="1">
          <a:spLocks noChangeArrowheads="1"/>
        </xdr:cNvSpPr>
      </xdr:nvSpPr>
      <xdr:spPr bwMode="auto">
        <a:xfrm>
          <a:off x="4314825" y="1257300"/>
          <a:ext cx="2457450" cy="1485900"/>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Times New Roman" pitchFamily="18" charset="0"/>
              <a:cs typeface="Times New Roman" pitchFamily="18" charset="0"/>
            </a:rPr>
            <a:t>Equipment:  </a:t>
          </a:r>
          <a:r>
            <a:rPr lang="en-US" sz="1200" b="0" i="0" u="none" strike="noStrike" baseline="0">
              <a:solidFill>
                <a:srgbClr val="000000"/>
              </a:solidFill>
              <a:latin typeface="Times New Roman" pitchFamily="18" charset="0"/>
              <a:cs typeface="Times New Roman" pitchFamily="18" charset="0"/>
            </a:rPr>
            <a:t>Chainmail barding</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bhappi@yahoo.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3"/>
  <sheetViews>
    <sheetView showGridLines="0" tabSelected="1" workbookViewId="0"/>
  </sheetViews>
  <sheetFormatPr defaultColWidth="13" defaultRowHeight="15.6"/>
  <cols>
    <col min="1" max="1" width="14.3984375" style="210" bestFit="1" customWidth="1"/>
    <col min="2" max="2" width="10" style="90" customWidth="1"/>
    <col min="3" max="3" width="5.09765625" style="90" customWidth="1"/>
    <col min="4" max="4" width="13.69921875" style="210" bestFit="1" customWidth="1"/>
    <col min="5" max="5" width="9.09765625" style="90" bestFit="1" customWidth="1"/>
    <col min="6" max="6" width="14.3984375" style="210" customWidth="1"/>
    <col min="7" max="7" width="14.3984375" style="90" customWidth="1"/>
    <col min="8" max="16384" width="13" style="22"/>
  </cols>
  <sheetData>
    <row r="1" spans="1:7" ht="29.4" thickTop="1" thickBot="1">
      <c r="A1" s="216" t="s">
        <v>207</v>
      </c>
      <c r="B1" s="217" t="s">
        <v>210</v>
      </c>
      <c r="C1" s="218"/>
      <c r="D1" s="219"/>
      <c r="E1" s="220"/>
      <c r="F1" s="219"/>
      <c r="G1" s="221" t="s">
        <v>349</v>
      </c>
    </row>
    <row r="2" spans="1:7" ht="17.399999999999999" thickTop="1">
      <c r="A2" s="222" t="s">
        <v>0</v>
      </c>
      <c r="B2" s="223" t="s">
        <v>91</v>
      </c>
      <c r="C2" s="223"/>
      <c r="D2" s="224" t="s">
        <v>1</v>
      </c>
      <c r="E2" s="225" t="s">
        <v>180</v>
      </c>
      <c r="F2" s="226"/>
      <c r="G2" s="227"/>
    </row>
    <row r="3" spans="1:7" ht="16.8">
      <c r="A3" s="222" t="s">
        <v>67</v>
      </c>
      <c r="B3" s="223" t="s">
        <v>208</v>
      </c>
      <c r="C3" s="223"/>
      <c r="D3" s="224" t="s">
        <v>68</v>
      </c>
      <c r="E3" s="225">
        <v>5</v>
      </c>
      <c r="F3" s="224"/>
      <c r="G3" s="227"/>
    </row>
    <row r="4" spans="1:7" ht="16.8">
      <c r="A4" s="222" t="s">
        <v>67</v>
      </c>
      <c r="B4" s="223" t="s">
        <v>211</v>
      </c>
      <c r="C4" s="223"/>
      <c r="D4" s="224" t="s">
        <v>68</v>
      </c>
      <c r="E4" s="225">
        <v>5</v>
      </c>
      <c r="F4" s="224"/>
      <c r="G4" s="227"/>
    </row>
    <row r="5" spans="1:7" ht="17.399999999999999" thickBot="1">
      <c r="A5" s="222" t="s">
        <v>69</v>
      </c>
      <c r="B5" s="223" t="s">
        <v>209</v>
      </c>
      <c r="C5" s="223"/>
      <c r="D5" s="224" t="s">
        <v>238</v>
      </c>
      <c r="E5" s="225" t="s">
        <v>239</v>
      </c>
      <c r="F5" s="224"/>
      <c r="G5" s="227"/>
    </row>
    <row r="6" spans="1:7" ht="17.399999999999999" thickTop="1">
      <c r="A6" s="228" t="s">
        <v>99</v>
      </c>
      <c r="B6" s="508">
        <f>E3+E4+2</f>
        <v>12</v>
      </c>
      <c r="C6" s="509"/>
      <c r="D6" s="267" t="s">
        <v>201</v>
      </c>
      <c r="E6" s="229" t="s">
        <v>197</v>
      </c>
      <c r="F6" s="230"/>
      <c r="G6" s="227"/>
    </row>
    <row r="7" spans="1:7" ht="16.8">
      <c r="A7" s="231" t="s">
        <v>2</v>
      </c>
      <c r="B7" s="506">
        <f>16+4</f>
        <v>20</v>
      </c>
      <c r="C7" s="232" t="str">
        <f t="shared" ref="C7:C12" si="0">IF(B7&gt;9.9,CONCATENATE("+",ROUNDDOWN((B7-10)/2,0)),ROUNDUP((B7-10)/2,0))</f>
        <v>+5</v>
      </c>
      <c r="D7" s="233" t="s">
        <v>77</v>
      </c>
      <c r="E7" s="266" t="s">
        <v>213</v>
      </c>
      <c r="F7" s="230"/>
      <c r="G7" s="227"/>
    </row>
    <row r="8" spans="1:7" ht="16.8">
      <c r="A8" s="234" t="s">
        <v>3</v>
      </c>
      <c r="B8" s="239">
        <f>10+2</f>
        <v>12</v>
      </c>
      <c r="C8" s="235" t="str">
        <f t="shared" si="0"/>
        <v>+1</v>
      </c>
      <c r="D8" s="236" t="s">
        <v>78</v>
      </c>
      <c r="E8" s="237">
        <f>SUM(Martial!G3:G24)+SUM(Equipment!C3:C15)</f>
        <v>115.5</v>
      </c>
      <c r="F8" s="230"/>
      <c r="G8" s="227"/>
    </row>
    <row r="9" spans="1:7" ht="16.8">
      <c r="A9" s="238" t="s">
        <v>15</v>
      </c>
      <c r="B9" s="551">
        <f>14-2</f>
        <v>12</v>
      </c>
      <c r="C9" s="240" t="str">
        <f t="shared" si="0"/>
        <v>+1</v>
      </c>
      <c r="D9" s="241" t="s">
        <v>17</v>
      </c>
      <c r="E9" s="265">
        <f>ROUNDUP(((E3*10)*0.75)+((E4*10)*0.75)+((E3+E4)*C9),0)+(E3+E4)</f>
        <v>95</v>
      </c>
      <c r="F9" s="230"/>
      <c r="G9" s="227"/>
    </row>
    <row r="10" spans="1:7" ht="16.8">
      <c r="A10" s="242" t="s">
        <v>16</v>
      </c>
      <c r="B10" s="239">
        <v>10</v>
      </c>
      <c r="C10" s="235" t="str">
        <f t="shared" si="0"/>
        <v>+0</v>
      </c>
      <c r="D10" s="244" t="s">
        <v>98</v>
      </c>
      <c r="E10" s="548">
        <f>10+C8+2</f>
        <v>13</v>
      </c>
      <c r="F10" s="222"/>
      <c r="G10" s="227"/>
    </row>
    <row r="11" spans="1:7" ht="16.8">
      <c r="A11" s="243" t="s">
        <v>18</v>
      </c>
      <c r="B11" s="239">
        <f>14</f>
        <v>14</v>
      </c>
      <c r="C11" s="235" t="str">
        <f t="shared" si="0"/>
        <v>+2</v>
      </c>
      <c r="D11" s="244" t="s">
        <v>212</v>
      </c>
      <c r="E11" s="548">
        <f>E12-C8</f>
        <v>24</v>
      </c>
      <c r="F11" s="230"/>
      <c r="G11" s="227"/>
    </row>
    <row r="12" spans="1:7" ht="17.399999999999999" thickBot="1">
      <c r="A12" s="245" t="s">
        <v>14</v>
      </c>
      <c r="B12" s="306">
        <f>14+2</f>
        <v>16</v>
      </c>
      <c r="C12" s="246" t="str">
        <f t="shared" si="0"/>
        <v>+3</v>
      </c>
      <c r="D12" s="247" t="s">
        <v>66</v>
      </c>
      <c r="E12" s="549">
        <f>E10+SUM(Martial!B19:B20)</f>
        <v>25</v>
      </c>
      <c r="F12" s="250"/>
      <c r="G12" s="251"/>
    </row>
    <row r="13" spans="1:7" ht="16.2" thickTop="1"/>
  </sheetData>
  <phoneticPr fontId="0" type="noConversion"/>
  <conditionalFormatting sqref="E8">
    <cfRule type="cellIs" dxfId="26" priority="4" stopIfTrue="1" operator="greaterThan">
      <formula>763</formula>
    </cfRule>
    <cfRule type="cellIs" dxfId="25" priority="5" stopIfTrue="1" operator="between">
      <formula>43</formula>
      <formula>86</formula>
    </cfRule>
  </conditionalFormatting>
  <hyperlinks>
    <hyperlink ref="G1" r:id="rId1" display="Played by Jed"/>
  </hyperlinks>
  <printOptions gridLinesSet="0"/>
  <pageMargins left="0.25" right="0.25"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7"/>
  <sheetViews>
    <sheetView showGridLines="0" workbookViewId="0">
      <pane ySplit="2" topLeftCell="A3" activePane="bottomLeft" state="frozen"/>
      <selection pane="bottomLeft" activeCell="A3" sqref="A3"/>
    </sheetView>
  </sheetViews>
  <sheetFormatPr defaultColWidth="13" defaultRowHeight="15.6"/>
  <cols>
    <col min="1" max="1" width="21.3984375" style="2" bestFit="1" customWidth="1"/>
    <col min="2" max="2" width="5.8984375" style="2" bestFit="1" customWidth="1"/>
    <col min="3" max="3" width="7.59765625" style="3" hidden="1" customWidth="1"/>
    <col min="4" max="4" width="5.8984375" style="3" hidden="1" customWidth="1"/>
    <col min="5" max="5" width="9.09765625" style="3" bestFit="1" customWidth="1"/>
    <col min="6" max="6" width="6.69921875" style="3" bestFit="1" customWidth="1"/>
    <col min="7" max="7" width="6" style="9" bestFit="1" customWidth="1"/>
    <col min="8" max="8" width="5.19921875" style="9" bestFit="1" customWidth="1"/>
    <col min="9" max="9" width="6.8984375" style="9" bestFit="1" customWidth="1"/>
    <col min="10" max="10" width="35.09765625" style="2" bestFit="1" customWidth="1"/>
    <col min="11" max="16384" width="13" style="1"/>
  </cols>
  <sheetData>
    <row r="1" spans="1:10" ht="23.4" thickBot="1">
      <c r="A1" s="108" t="s">
        <v>13</v>
      </c>
      <c r="B1" s="109"/>
      <c r="C1" s="109"/>
      <c r="D1" s="109"/>
      <c r="E1" s="109"/>
      <c r="F1" s="109"/>
      <c r="G1" s="110"/>
      <c r="H1" s="110"/>
      <c r="I1" s="110"/>
      <c r="J1" s="109"/>
    </row>
    <row r="2" spans="1:10" s="19" customFormat="1" ht="34.200000000000003" thickBot="1">
      <c r="A2" s="16" t="s">
        <v>313</v>
      </c>
      <c r="B2" s="17" t="s">
        <v>31</v>
      </c>
      <c r="C2" s="17" t="s">
        <v>38</v>
      </c>
      <c r="D2" s="17" t="s">
        <v>30</v>
      </c>
      <c r="E2" s="17" t="s">
        <v>64</v>
      </c>
      <c r="F2" s="17" t="s">
        <v>39</v>
      </c>
      <c r="G2" s="18" t="s">
        <v>70</v>
      </c>
      <c r="H2" s="13" t="s">
        <v>189</v>
      </c>
      <c r="I2" s="14" t="s">
        <v>88</v>
      </c>
      <c r="J2" s="15" t="s">
        <v>86</v>
      </c>
    </row>
    <row r="3" spans="1:10" s="4" customFormat="1" ht="16.8">
      <c r="A3" s="111" t="s">
        <v>72</v>
      </c>
      <c r="B3" s="112">
        <v>8</v>
      </c>
      <c r="C3" s="112" t="s">
        <v>33</v>
      </c>
      <c r="D3" s="113" t="str">
        <f>IF(C3="Str",'Personal File'!$C$7,IF(C3="Dex",'Personal File'!$C$8,IF(C3="Con",'Personal File'!$C$9,IF(C3="Int",'Personal File'!$C$10,IF(C3="Wis",'Personal File'!$C$11,IF(C3="Cha",'Personal File'!$C$12))))))</f>
        <v>+1</v>
      </c>
      <c r="E3" s="113" t="str">
        <f t="shared" ref="E3" si="0">CONCATENATE(C3," (",D3,")")</f>
        <v>Con (+1)</v>
      </c>
      <c r="F3" s="507">
        <f>'Personal File'!C$12+2+1</f>
        <v>6</v>
      </c>
      <c r="G3" s="115">
        <f t="shared" ref="G3:G43" si="1">B3+D3+F3</f>
        <v>15</v>
      </c>
      <c r="H3" s="116">
        <f t="shared" ref="H3:H5" ca="1" si="2">RANDBETWEEN(1,20)</f>
        <v>4</v>
      </c>
      <c r="I3" s="114">
        <f t="shared" ref="I3" ca="1" si="3">SUM(G3:H3)</f>
        <v>19</v>
      </c>
      <c r="J3" s="358" t="s">
        <v>298</v>
      </c>
    </row>
    <row r="4" spans="1:10" s="4" customFormat="1" ht="16.8">
      <c r="A4" s="117" t="s">
        <v>73</v>
      </c>
      <c r="B4" s="112">
        <v>2</v>
      </c>
      <c r="C4" s="112" t="s">
        <v>36</v>
      </c>
      <c r="D4" s="118" t="str">
        <f>IF(C4="Str",'Personal File'!$C$7,IF(C4="Dex",'Personal File'!$C$8,IF(C4="Con",'Personal File'!$C$9,IF(C4="Int",'Personal File'!$C$10,IF(C4="Wis",'Personal File'!$C$11,IF(C4="Cha",'Personal File'!$C$12))))))</f>
        <v>+1</v>
      </c>
      <c r="E4" s="119" t="str">
        <f t="shared" ref="E4:E5" si="4">CONCATENATE(C4," (",D4,")")</f>
        <v>Dex (+1)</v>
      </c>
      <c r="F4" s="115">
        <f>'Personal File'!C$12+2</f>
        <v>5</v>
      </c>
      <c r="G4" s="115">
        <f t="shared" si="1"/>
        <v>8</v>
      </c>
      <c r="H4" s="116">
        <f t="shared" ca="1" si="2"/>
        <v>4</v>
      </c>
      <c r="I4" s="120">
        <f t="shared" ref="I4:I43" ca="1" si="5">SUM(G4:H4)</f>
        <v>12</v>
      </c>
      <c r="J4" s="121"/>
    </row>
    <row r="5" spans="1:10" s="4" customFormat="1" ht="16.8">
      <c r="A5" s="122" t="s">
        <v>74</v>
      </c>
      <c r="B5" s="123">
        <v>5</v>
      </c>
      <c r="C5" s="123" t="s">
        <v>35</v>
      </c>
      <c r="D5" s="124" t="str">
        <f>IF(C5="Str",'Personal File'!$C$7,IF(C5="Dex",'Personal File'!$C$8,IF(C5="Con",'Personal File'!$C$9,IF(C5="Int",'Personal File'!$C$10,IF(C5="Wis",'Personal File'!$C$11,IF(C5="Cha",'Personal File'!$C$12))))))</f>
        <v>+2</v>
      </c>
      <c r="E5" s="125" t="str">
        <f t="shared" si="4"/>
        <v>Wis (+2)</v>
      </c>
      <c r="F5" s="127">
        <f>'Personal File'!C$12+2</f>
        <v>5</v>
      </c>
      <c r="G5" s="127">
        <f t="shared" si="1"/>
        <v>12</v>
      </c>
      <c r="H5" s="128">
        <f t="shared" ca="1" si="2"/>
        <v>20</v>
      </c>
      <c r="I5" s="126">
        <f t="shared" ca="1" si="5"/>
        <v>32</v>
      </c>
      <c r="J5" s="404" t="s">
        <v>298</v>
      </c>
    </row>
    <row r="6" spans="1:10" s="4" customFormat="1" ht="16.8">
      <c r="A6" s="129" t="s">
        <v>40</v>
      </c>
      <c r="B6" s="130">
        <v>0</v>
      </c>
      <c r="C6" s="131" t="s">
        <v>34</v>
      </c>
      <c r="D6" s="132" t="str">
        <f>IF(C6="Str",'Personal File'!$C$7,IF(C6="Dex",'Personal File'!$C$8,IF(C6="Con",'Personal File'!$C$9,IF(C6="Int",'Personal File'!$C$10,IF(C6="Wis",'Personal File'!$C$11,IF(C6="Cha",'Personal File'!$C$12))))))</f>
        <v>+0</v>
      </c>
      <c r="E6" s="132" t="str">
        <f t="shared" ref="E6" si="6">CONCATENATE(C6," (",D6,")")</f>
        <v>Int (+0)</v>
      </c>
      <c r="F6" s="133" t="s">
        <v>65</v>
      </c>
      <c r="G6" s="134">
        <f t="shared" si="1"/>
        <v>0</v>
      </c>
      <c r="H6" s="116">
        <f ca="1">RANDBETWEEN(1,20)</f>
        <v>16</v>
      </c>
      <c r="I6" s="120">
        <f t="shared" ca="1" si="5"/>
        <v>16</v>
      </c>
      <c r="J6" s="196"/>
    </row>
    <row r="7" spans="1:10" s="8" customFormat="1" ht="16.8">
      <c r="A7" s="135" t="s">
        <v>41</v>
      </c>
      <c r="B7" s="130">
        <v>0</v>
      </c>
      <c r="C7" s="136" t="s">
        <v>36</v>
      </c>
      <c r="D7" s="118" t="str">
        <f>IF(C7="Str",'Personal File'!$C$7,IF(C7="Dex",'Personal File'!$C$8,IF(C7="Con",'Personal File'!$C$9,IF(C7="Int",'Personal File'!$C$10,IF(C7="Wis",'Personal File'!$C$11,IF(C7="Cha",'Personal File'!$C$12))))))</f>
        <v>+1</v>
      </c>
      <c r="E7" s="118" t="str">
        <f t="shared" ref="E7:E43" si="7">CONCATENATE(C7," (",D7,")")</f>
        <v>Dex (+1)</v>
      </c>
      <c r="F7" s="550">
        <f>SUM(Martial!$D$19:$D$20)</f>
        <v>-5</v>
      </c>
      <c r="G7" s="134">
        <f t="shared" si="1"/>
        <v>-4</v>
      </c>
      <c r="H7" s="116">
        <f ca="1">RANDBETWEEN(1,20)</f>
        <v>16</v>
      </c>
      <c r="I7" s="120">
        <f t="shared" ca="1" si="5"/>
        <v>12</v>
      </c>
      <c r="J7" s="196"/>
    </row>
    <row r="8" spans="1:10" s="6" customFormat="1" ht="16.8">
      <c r="A8" s="137" t="s">
        <v>42</v>
      </c>
      <c r="B8" s="130">
        <v>0</v>
      </c>
      <c r="C8" s="138" t="s">
        <v>32</v>
      </c>
      <c r="D8" s="139" t="str">
        <f>IF(C8="Str",'Personal File'!$C$7,IF(C8="Dex",'Personal File'!$C$8,IF(C8="Con",'Personal File'!$C$9,IF(C8="Int",'Personal File'!$C$10,IF(C8="Wis",'Personal File'!$C$11,IF(C8="Cha",'Personal File'!$C$12))))))</f>
        <v>+3</v>
      </c>
      <c r="E8" s="140" t="str">
        <f t="shared" si="7"/>
        <v>Cha (+3)</v>
      </c>
      <c r="F8" s="134" t="s">
        <v>65</v>
      </c>
      <c r="G8" s="134">
        <f t="shared" si="1"/>
        <v>3</v>
      </c>
      <c r="H8" s="116">
        <f t="shared" ref="H8:H43" ca="1" si="8">RANDBETWEEN(1,20)</f>
        <v>12</v>
      </c>
      <c r="I8" s="120">
        <f t="shared" ca="1" si="5"/>
        <v>15</v>
      </c>
      <c r="J8" s="196"/>
    </row>
    <row r="9" spans="1:10" s="5" customFormat="1" ht="16.8">
      <c r="A9" s="141" t="s">
        <v>43</v>
      </c>
      <c r="B9" s="130">
        <v>0</v>
      </c>
      <c r="C9" s="142" t="s">
        <v>37</v>
      </c>
      <c r="D9" s="143" t="str">
        <f>IF(C9="Str",'Personal File'!$C$7,IF(C9="Dex",'Personal File'!$C$8,IF(C9="Con",'Personal File'!$C$9,IF(C9="Int",'Personal File'!$C$10,IF(C9="Wis",'Personal File'!$C$11,IF(C9="Cha",'Personal File'!$C$12))))))</f>
        <v>+5</v>
      </c>
      <c r="E9" s="143" t="str">
        <f t="shared" si="7"/>
        <v>Str (+5)</v>
      </c>
      <c r="F9" s="550">
        <f>SUM(Martial!$D$19:$D$20)</f>
        <v>-5</v>
      </c>
      <c r="G9" s="134">
        <f t="shared" si="1"/>
        <v>0</v>
      </c>
      <c r="H9" s="116">
        <f t="shared" ca="1" si="8"/>
        <v>17</v>
      </c>
      <c r="I9" s="120">
        <f t="shared" ca="1" si="5"/>
        <v>17</v>
      </c>
      <c r="J9" s="196"/>
    </row>
    <row r="10" spans="1:10" s="5" customFormat="1" ht="16.8">
      <c r="A10" s="280" t="s">
        <v>19</v>
      </c>
      <c r="B10" s="130">
        <v>0</v>
      </c>
      <c r="C10" s="281" t="s">
        <v>33</v>
      </c>
      <c r="D10" s="113" t="str">
        <f>IF(C10="Str",'Personal File'!$C$7,IF(C10="Dex",'Personal File'!$C$8,IF(C10="Con",'Personal File'!$C$9,IF(C10="Int",'Personal File'!$C$10,IF(C10="Wis",'Personal File'!$C$11,IF(C10="Cha",'Personal File'!$C$12))))))</f>
        <v>+1</v>
      </c>
      <c r="E10" s="113" t="str">
        <f t="shared" si="7"/>
        <v>Con (+1)</v>
      </c>
      <c r="F10" s="134" t="s">
        <v>65</v>
      </c>
      <c r="G10" s="134">
        <f t="shared" si="1"/>
        <v>1</v>
      </c>
      <c r="H10" s="116">
        <f t="shared" ca="1" si="8"/>
        <v>16</v>
      </c>
      <c r="I10" s="120">
        <f t="shared" ca="1" si="5"/>
        <v>17</v>
      </c>
      <c r="J10" s="196"/>
    </row>
    <row r="11" spans="1:10" s="4" customFormat="1" ht="16.8">
      <c r="A11" s="129" t="s">
        <v>92</v>
      </c>
      <c r="B11" s="130">
        <v>0</v>
      </c>
      <c r="C11" s="131" t="s">
        <v>34</v>
      </c>
      <c r="D11" s="132" t="str">
        <f>IF(C11="Str",'Personal File'!$C$7,IF(C11="Dex",'Personal File'!$C$8,IF(C11="Con",'Personal File'!$C$9,IF(C11="Int",'Personal File'!$C$10,IF(C11="Wis",'Personal File'!$C$11,IF(C11="Cha",'Personal File'!$C$12))))))</f>
        <v>+0</v>
      </c>
      <c r="E11" s="132" t="str">
        <f t="shared" si="7"/>
        <v>Int (+0)</v>
      </c>
      <c r="F11" s="134" t="s">
        <v>65</v>
      </c>
      <c r="G11" s="134">
        <f t="shared" si="1"/>
        <v>0</v>
      </c>
      <c r="H11" s="116">
        <f t="shared" ca="1" si="8"/>
        <v>2</v>
      </c>
      <c r="I11" s="120">
        <f t="shared" ca="1" si="5"/>
        <v>2</v>
      </c>
      <c r="J11" s="196"/>
    </row>
    <row r="12" spans="1:10" s="7" customFormat="1" ht="16.8">
      <c r="A12" s="147" t="s">
        <v>44</v>
      </c>
      <c r="B12" s="148">
        <v>0</v>
      </c>
      <c r="C12" s="149" t="s">
        <v>34</v>
      </c>
      <c r="D12" s="150" t="str">
        <f>IF(C12="Str",'Personal File'!$C$7,IF(C12="Dex",'Personal File'!$C$8,IF(C12="Con",'Personal File'!$C$9,IF(C12="Int",'Personal File'!$C$10,IF(C12="Wis",'Personal File'!$C$11,IF(C12="Cha",'Personal File'!$C$12))))))</f>
        <v>+0</v>
      </c>
      <c r="E12" s="150" t="str">
        <f t="shared" si="7"/>
        <v>Int (+0)</v>
      </c>
      <c r="F12" s="151" t="s">
        <v>65</v>
      </c>
      <c r="G12" s="151">
        <f t="shared" si="1"/>
        <v>0</v>
      </c>
      <c r="H12" s="116">
        <f t="shared" ca="1" si="8"/>
        <v>9</v>
      </c>
      <c r="I12" s="151">
        <f t="shared" ca="1" si="5"/>
        <v>9</v>
      </c>
      <c r="J12" s="503"/>
    </row>
    <row r="13" spans="1:10" s="8" customFormat="1" ht="16.8">
      <c r="A13" s="153" t="s">
        <v>45</v>
      </c>
      <c r="B13" s="144">
        <v>8</v>
      </c>
      <c r="C13" s="154" t="s">
        <v>32</v>
      </c>
      <c r="D13" s="155" t="str">
        <f>IF(C13="Str",'Personal File'!$C$7,IF(C13="Dex",'Personal File'!$C$8,IF(C13="Con",'Personal File'!$C$9,IF(C13="Int",'Personal File'!$C$10,IF(C13="Wis",'Personal File'!$C$11,IF(C13="Cha",'Personal File'!$C$12))))))</f>
        <v>+3</v>
      </c>
      <c r="E13" s="156" t="str">
        <f t="shared" si="7"/>
        <v>Cha (+3)</v>
      </c>
      <c r="F13" s="145" t="s">
        <v>179</v>
      </c>
      <c r="G13" s="145">
        <f t="shared" si="1"/>
        <v>13</v>
      </c>
      <c r="H13" s="116">
        <f t="shared" ca="1" si="8"/>
        <v>6</v>
      </c>
      <c r="I13" s="145">
        <f t="shared" ca="1" si="5"/>
        <v>19</v>
      </c>
      <c r="J13" s="504"/>
    </row>
    <row r="14" spans="1:10" s="8" customFormat="1" ht="16.8">
      <c r="A14" s="147" t="s">
        <v>46</v>
      </c>
      <c r="B14" s="148">
        <v>0</v>
      </c>
      <c r="C14" s="149" t="s">
        <v>34</v>
      </c>
      <c r="D14" s="150" t="str">
        <f>IF(C14="Str",'Personal File'!$C$7,IF(C14="Dex",'Personal File'!$C$8,IF(C14="Con",'Personal File'!$C$9,IF(C14="Int",'Personal File'!$C$10,IF(C14="Wis",'Personal File'!$C$11,IF(C14="Cha",'Personal File'!$C$12))))))</f>
        <v>+0</v>
      </c>
      <c r="E14" s="150" t="str">
        <f t="shared" si="7"/>
        <v>Int (+0)</v>
      </c>
      <c r="F14" s="151" t="s">
        <v>65</v>
      </c>
      <c r="G14" s="151">
        <f t="shared" si="1"/>
        <v>0</v>
      </c>
      <c r="H14" s="116">
        <f t="shared" ca="1" si="8"/>
        <v>19</v>
      </c>
      <c r="I14" s="151">
        <f t="shared" ca="1" si="5"/>
        <v>19</v>
      </c>
      <c r="J14" s="503"/>
    </row>
    <row r="15" spans="1:10" s="8" customFormat="1" ht="16.8">
      <c r="A15" s="137" t="s">
        <v>47</v>
      </c>
      <c r="B15" s="130">
        <v>0</v>
      </c>
      <c r="C15" s="138" t="s">
        <v>32</v>
      </c>
      <c r="D15" s="139" t="str">
        <f>IF(C15="Str",'Personal File'!$C$7,IF(C15="Dex",'Personal File'!$C$8,IF(C15="Con",'Personal File'!$C$9,IF(C15="Int",'Personal File'!$C$10,IF(C15="Wis",'Personal File'!$C$11,IF(C15="Cha",'Personal File'!$C$12))))))</f>
        <v>+3</v>
      </c>
      <c r="E15" s="140" t="str">
        <f t="shared" si="7"/>
        <v>Cha (+3)</v>
      </c>
      <c r="F15" s="134" t="s">
        <v>65</v>
      </c>
      <c r="G15" s="134">
        <f t="shared" si="1"/>
        <v>3</v>
      </c>
      <c r="H15" s="116">
        <f t="shared" ca="1" si="8"/>
        <v>1</v>
      </c>
      <c r="I15" s="134">
        <f t="shared" ca="1" si="5"/>
        <v>4</v>
      </c>
      <c r="J15" s="287"/>
    </row>
    <row r="16" spans="1:10" s="8" customFormat="1" ht="16.8">
      <c r="A16" s="135" t="s">
        <v>48</v>
      </c>
      <c r="B16" s="130">
        <v>0</v>
      </c>
      <c r="C16" s="136" t="s">
        <v>36</v>
      </c>
      <c r="D16" s="118" t="str">
        <f>IF(C16="Str",'Personal File'!$C$7,IF(C16="Dex",'Personal File'!$C$8,IF(C16="Con",'Personal File'!$C$9,IF(C16="Int",'Personal File'!$C$10,IF(C16="Wis",'Personal File'!$C$11,IF(C16="Cha",'Personal File'!$C$12))))))</f>
        <v>+1</v>
      </c>
      <c r="E16" s="119" t="str">
        <f t="shared" si="7"/>
        <v>Dex (+1)</v>
      </c>
      <c r="F16" s="550">
        <f>SUM(Martial!$D$19:$D$20)</f>
        <v>-5</v>
      </c>
      <c r="G16" s="134">
        <f t="shared" si="1"/>
        <v>-4</v>
      </c>
      <c r="H16" s="116">
        <f t="shared" ca="1" si="8"/>
        <v>20</v>
      </c>
      <c r="I16" s="134">
        <f t="shared" ca="1" si="5"/>
        <v>16</v>
      </c>
      <c r="J16" s="196"/>
    </row>
    <row r="17" spans="1:10" s="8" customFormat="1" ht="16.8">
      <c r="A17" s="158" t="s">
        <v>49</v>
      </c>
      <c r="B17" s="159">
        <v>0</v>
      </c>
      <c r="C17" s="160" t="s">
        <v>34</v>
      </c>
      <c r="D17" s="161" t="str">
        <f>IF(C17="Str",'Personal File'!$C$7,IF(C17="Dex",'Personal File'!$C$8,IF(C17="Con",'Personal File'!$C$9,IF(C17="Int",'Personal File'!$C$10,IF(C17="Wis",'Personal File'!$C$11,IF(C17="Cha",'Personal File'!$C$12))))))</f>
        <v>+0</v>
      </c>
      <c r="E17" s="161" t="str">
        <f t="shared" si="7"/>
        <v>Int (+0)</v>
      </c>
      <c r="F17" s="162" t="s">
        <v>65</v>
      </c>
      <c r="G17" s="162">
        <f t="shared" si="1"/>
        <v>0</v>
      </c>
      <c r="H17" s="116">
        <f t="shared" ca="1" si="8"/>
        <v>18</v>
      </c>
      <c r="I17" s="162">
        <f t="shared" ca="1" si="5"/>
        <v>18</v>
      </c>
      <c r="J17" s="505"/>
    </row>
    <row r="18" spans="1:10" s="8" customFormat="1" ht="16.8">
      <c r="A18" s="137" t="s">
        <v>50</v>
      </c>
      <c r="B18" s="130">
        <v>0</v>
      </c>
      <c r="C18" s="138" t="s">
        <v>32</v>
      </c>
      <c r="D18" s="139" t="str">
        <f>IF(C18="Str",'Personal File'!$C$7,IF(C18="Dex",'Personal File'!$C$8,IF(C18="Con",'Personal File'!$C$9,IF(C18="Int",'Personal File'!$C$10,IF(C18="Wis",'Personal File'!$C$11,IF(C18="Cha",'Personal File'!$C$12))))))</f>
        <v>+3</v>
      </c>
      <c r="E18" s="140" t="str">
        <f t="shared" si="7"/>
        <v>Cha (+3)</v>
      </c>
      <c r="F18" s="134" t="s">
        <v>65</v>
      </c>
      <c r="G18" s="134">
        <f t="shared" si="1"/>
        <v>3</v>
      </c>
      <c r="H18" s="116">
        <f t="shared" ca="1" si="8"/>
        <v>8</v>
      </c>
      <c r="I18" s="134">
        <f t="shared" ca="1" si="5"/>
        <v>11</v>
      </c>
      <c r="J18" s="196"/>
    </row>
    <row r="19" spans="1:10" s="8" customFormat="1" ht="16.8">
      <c r="A19" s="137" t="s">
        <v>21</v>
      </c>
      <c r="B19" s="130">
        <v>0</v>
      </c>
      <c r="C19" s="138" t="s">
        <v>32</v>
      </c>
      <c r="D19" s="139" t="str">
        <f>IF(C19="Str",'Personal File'!$C$7,IF(C19="Dex",'Personal File'!$C$8,IF(C19="Con",'Personal File'!$C$9,IF(C19="Int",'Personal File'!$C$10,IF(C19="Wis",'Personal File'!$C$11,IF(C19="Cha",'Personal File'!$C$12))))))</f>
        <v>+3</v>
      </c>
      <c r="E19" s="139" t="str">
        <f t="shared" si="7"/>
        <v>Cha (+3)</v>
      </c>
      <c r="F19" s="134" t="s">
        <v>65</v>
      </c>
      <c r="G19" s="134">
        <f t="shared" si="1"/>
        <v>3</v>
      </c>
      <c r="H19" s="116">
        <f t="shared" ca="1" si="8"/>
        <v>1</v>
      </c>
      <c r="I19" s="134">
        <f t="shared" ca="1" si="5"/>
        <v>4</v>
      </c>
      <c r="J19" s="196"/>
    </row>
    <row r="20" spans="1:10" s="8" customFormat="1" ht="16.8">
      <c r="A20" s="163" t="s">
        <v>51</v>
      </c>
      <c r="B20" s="130">
        <v>8</v>
      </c>
      <c r="C20" s="164" t="s">
        <v>35</v>
      </c>
      <c r="D20" s="165" t="str">
        <f>IF(C20="Str",'Personal File'!$C$7,IF(C20="Dex",'Personal File'!$C$8,IF(C20="Con",'Personal File'!$C$9,IF(C20="Int",'Personal File'!$C$10,IF(C20="Wis",'Personal File'!$C$11,IF(C20="Cha",'Personal File'!$C$12))))))</f>
        <v>+2</v>
      </c>
      <c r="E20" s="165" t="str">
        <f t="shared" si="7"/>
        <v>Wis (+2)</v>
      </c>
      <c r="F20" s="134" t="s">
        <v>65</v>
      </c>
      <c r="G20" s="134">
        <f t="shared" si="1"/>
        <v>10</v>
      </c>
      <c r="H20" s="116">
        <f t="shared" ca="1" si="8"/>
        <v>2</v>
      </c>
      <c r="I20" s="134">
        <f t="shared" ca="1" si="5"/>
        <v>12</v>
      </c>
      <c r="J20" s="196"/>
    </row>
    <row r="21" spans="1:10" s="8" customFormat="1" ht="16.8">
      <c r="A21" s="135" t="s">
        <v>52</v>
      </c>
      <c r="B21" s="130">
        <v>0</v>
      </c>
      <c r="C21" s="136" t="s">
        <v>36</v>
      </c>
      <c r="D21" s="118" t="str">
        <f>IF(C21="Str",'Personal File'!$C$7,IF(C21="Dex",'Personal File'!$C$8,IF(C21="Con",'Personal File'!$C$9,IF(C21="Int",'Personal File'!$C$10,IF(C21="Wis",'Personal File'!$C$11,IF(C21="Cha",'Personal File'!$C$12))))))</f>
        <v>+1</v>
      </c>
      <c r="E21" s="118" t="str">
        <f t="shared" si="7"/>
        <v>Dex (+1)</v>
      </c>
      <c r="F21" s="550">
        <f>SUM(Martial!$D$19:$D$20)</f>
        <v>-5</v>
      </c>
      <c r="G21" s="134">
        <f t="shared" si="1"/>
        <v>-4</v>
      </c>
      <c r="H21" s="116">
        <f t="shared" ca="1" si="8"/>
        <v>13</v>
      </c>
      <c r="I21" s="134">
        <f t="shared" ca="1" si="5"/>
        <v>9</v>
      </c>
      <c r="J21" s="505"/>
    </row>
    <row r="22" spans="1:10" s="8" customFormat="1" ht="16.8">
      <c r="A22" s="166" t="s">
        <v>53</v>
      </c>
      <c r="B22" s="159">
        <v>0</v>
      </c>
      <c r="C22" s="167" t="s">
        <v>32</v>
      </c>
      <c r="D22" s="168" t="str">
        <f>IF(C22="Str",'Personal File'!$C$7,IF(C22="Dex",'Personal File'!$C$8,IF(C22="Con",'Personal File'!$C$9,IF(C22="Int",'Personal File'!$C$10,IF(C22="Wis",'Personal File'!$C$11,IF(C22="Cha",'Personal File'!$C$12))))))</f>
        <v>+3</v>
      </c>
      <c r="E22" s="169" t="str">
        <f t="shared" si="7"/>
        <v>Cha (+3)</v>
      </c>
      <c r="F22" s="162" t="s">
        <v>65</v>
      </c>
      <c r="G22" s="162">
        <f t="shared" si="1"/>
        <v>3</v>
      </c>
      <c r="H22" s="116">
        <f t="shared" ca="1" si="8"/>
        <v>11</v>
      </c>
      <c r="I22" s="162">
        <f t="shared" ca="1" si="5"/>
        <v>14</v>
      </c>
      <c r="J22" s="505"/>
    </row>
    <row r="23" spans="1:10" s="8" customFormat="1" ht="16.8">
      <c r="A23" s="141" t="s">
        <v>54</v>
      </c>
      <c r="B23" s="130">
        <v>0</v>
      </c>
      <c r="C23" s="142" t="s">
        <v>37</v>
      </c>
      <c r="D23" s="143" t="str">
        <f>IF(C23="Str",'Personal File'!$C$7,IF(C23="Dex",'Personal File'!$C$8,IF(C23="Con",'Personal File'!$C$9,IF(C23="Int",'Personal File'!$C$10,IF(C23="Wis",'Personal File'!$C$11,IF(C23="Cha",'Personal File'!$C$12))))))</f>
        <v>+5</v>
      </c>
      <c r="E23" s="143" t="str">
        <f t="shared" si="7"/>
        <v>Str (+5)</v>
      </c>
      <c r="F23" s="550">
        <f>SUM(Martial!$D$19:$D$20)</f>
        <v>-5</v>
      </c>
      <c r="G23" s="134">
        <f t="shared" si="1"/>
        <v>0</v>
      </c>
      <c r="H23" s="116">
        <f t="shared" ca="1" si="8"/>
        <v>13</v>
      </c>
      <c r="I23" s="134">
        <f t="shared" ca="1" si="5"/>
        <v>13</v>
      </c>
      <c r="J23" s="196"/>
    </row>
    <row r="24" spans="1:10" s="8" customFormat="1" ht="16.8">
      <c r="A24" s="170" t="s">
        <v>316</v>
      </c>
      <c r="B24" s="144">
        <v>3</v>
      </c>
      <c r="C24" s="171" t="s">
        <v>34</v>
      </c>
      <c r="D24" s="172" t="str">
        <f>IF(C24="Str",'Personal File'!$C$7,IF(C24="Dex",'Personal File'!$C$8,IF(C24="Con",'Personal File'!$C$9,IF(C24="Int",'Personal File'!$C$10,IF(C24="Wis",'Personal File'!$C$11,IF(C24="Cha",'Personal File'!$C$12))))))</f>
        <v>+0</v>
      </c>
      <c r="E24" s="172" t="str">
        <f>CONCATENATE(C24," (",D24,")")</f>
        <v>Int (+0)</v>
      </c>
      <c r="F24" s="145" t="s">
        <v>65</v>
      </c>
      <c r="G24" s="145">
        <f t="shared" si="1"/>
        <v>3</v>
      </c>
      <c r="H24" s="116">
        <f t="shared" ca="1" si="8"/>
        <v>1</v>
      </c>
      <c r="I24" s="145">
        <f t="shared" ca="1" si="5"/>
        <v>4</v>
      </c>
      <c r="J24" s="146" t="s">
        <v>330</v>
      </c>
    </row>
    <row r="25" spans="1:10" s="8" customFormat="1" ht="16.8">
      <c r="A25" s="170" t="s">
        <v>220</v>
      </c>
      <c r="B25" s="144">
        <v>1</v>
      </c>
      <c r="C25" s="171" t="s">
        <v>34</v>
      </c>
      <c r="D25" s="172" t="str">
        <f>IF(C25="Str",'Personal File'!$C$7,IF(C25="Dex",'Personal File'!$C$8,IF(C25="Con",'Personal File'!$C$9,IF(C25="Int",'Personal File'!$C$10,IF(C25="Wis",'Personal File'!$C$11,IF(C25="Cha",'Personal File'!$C$12))))))</f>
        <v>+0</v>
      </c>
      <c r="E25" s="172" t="str">
        <f>CONCATENATE(C25," (",D25,")")</f>
        <v>Int (+0)</v>
      </c>
      <c r="F25" s="145" t="s">
        <v>65</v>
      </c>
      <c r="G25" s="145">
        <f t="shared" ref="G25" si="9">B25+D25+F25</f>
        <v>1</v>
      </c>
      <c r="H25" s="116">
        <f t="shared" ca="1" si="8"/>
        <v>7</v>
      </c>
      <c r="I25" s="145">
        <f t="shared" ref="I25" ca="1" si="10">SUM(G25:H25)</f>
        <v>8</v>
      </c>
      <c r="J25" s="146"/>
    </row>
    <row r="26" spans="1:10" s="8" customFormat="1" ht="16.8">
      <c r="A26" s="170" t="s">
        <v>94</v>
      </c>
      <c r="B26" s="144">
        <v>8</v>
      </c>
      <c r="C26" s="171" t="s">
        <v>34</v>
      </c>
      <c r="D26" s="172" t="str">
        <f>IF(C26="Str",'Personal File'!$C$7,IF(C26="Dex",'Personal File'!$C$8,IF(C26="Con",'Personal File'!$C$9,IF(C26="Int",'Personal File'!$C$10,IF(C26="Wis",'Personal File'!$C$11,IF(C26="Cha",'Personal File'!$C$12))))))</f>
        <v>+0</v>
      </c>
      <c r="E26" s="172" t="str">
        <f>CONCATENATE(C26," (",D26,")")</f>
        <v>Int (+0)</v>
      </c>
      <c r="F26" s="145" t="s">
        <v>65</v>
      </c>
      <c r="G26" s="145">
        <f t="shared" ref="G26" si="11">B26+D26+F26</f>
        <v>8</v>
      </c>
      <c r="H26" s="116">
        <f t="shared" ca="1" si="8"/>
        <v>3</v>
      </c>
      <c r="I26" s="145">
        <f t="shared" ref="I26" ca="1" si="12">SUM(G26:H26)</f>
        <v>11</v>
      </c>
      <c r="J26" s="146"/>
    </row>
    <row r="27" spans="1:10" s="8" customFormat="1" ht="16.8">
      <c r="A27" s="163" t="s">
        <v>55</v>
      </c>
      <c r="B27" s="130">
        <v>0</v>
      </c>
      <c r="C27" s="164" t="s">
        <v>35</v>
      </c>
      <c r="D27" s="165" t="str">
        <f>IF(C27="Str",'Personal File'!$C$7,IF(C27="Dex",'Personal File'!$C$8,IF(C27="Con",'Personal File'!$C$9,IF(C27="Int",'Personal File'!$C$10,IF(C27="Wis",'Personal File'!$C$11,IF(C27="Cha",'Personal File'!$C$12))))))</f>
        <v>+2</v>
      </c>
      <c r="E27" s="173" t="str">
        <f t="shared" si="7"/>
        <v>Wis (+2)</v>
      </c>
      <c r="F27" s="134" t="s">
        <v>65</v>
      </c>
      <c r="G27" s="134">
        <f t="shared" si="1"/>
        <v>2</v>
      </c>
      <c r="H27" s="116">
        <f t="shared" ca="1" si="8"/>
        <v>10</v>
      </c>
      <c r="I27" s="134">
        <f t="shared" ca="1" si="5"/>
        <v>12</v>
      </c>
      <c r="J27" s="121"/>
    </row>
    <row r="28" spans="1:10" s="8" customFormat="1" ht="16.8">
      <c r="A28" s="135" t="s">
        <v>22</v>
      </c>
      <c r="B28" s="130">
        <v>0</v>
      </c>
      <c r="C28" s="136" t="s">
        <v>36</v>
      </c>
      <c r="D28" s="118" t="str">
        <f>IF(C28="Str",'Personal File'!$C$7,IF(C28="Dex",'Personal File'!$C$8,IF(C28="Con",'Personal File'!$C$9,IF(C28="Int",'Personal File'!$C$10,IF(C28="Wis",'Personal File'!$C$11,IF(C28="Cha",'Personal File'!$C$12))))))</f>
        <v>+1</v>
      </c>
      <c r="E28" s="118" t="str">
        <f t="shared" si="7"/>
        <v>Dex (+1)</v>
      </c>
      <c r="F28" s="550">
        <f>SUM(Martial!$D$19:$D$20)</f>
        <v>-5</v>
      </c>
      <c r="G28" s="134">
        <f t="shared" si="1"/>
        <v>-4</v>
      </c>
      <c r="H28" s="116">
        <f t="shared" ca="1" si="8"/>
        <v>12</v>
      </c>
      <c r="I28" s="134">
        <f t="shared" ca="1" si="5"/>
        <v>8</v>
      </c>
      <c r="J28" s="121"/>
    </row>
    <row r="29" spans="1:10" s="8" customFormat="1" ht="16.8">
      <c r="A29" s="174" t="s">
        <v>56</v>
      </c>
      <c r="B29" s="148">
        <v>0</v>
      </c>
      <c r="C29" s="175" t="s">
        <v>36</v>
      </c>
      <c r="D29" s="176" t="str">
        <f>IF(C29="Str",'Personal File'!$C$7,IF(C29="Dex",'Personal File'!$C$8,IF(C29="Con",'Personal File'!$C$9,IF(C29="Int",'Personal File'!$C$10,IF(C29="Wis",'Personal File'!$C$11,IF(C29="Cha",'Personal File'!$C$12))))))</f>
        <v>+1</v>
      </c>
      <c r="E29" s="176" t="str">
        <f t="shared" si="7"/>
        <v>Dex (+1)</v>
      </c>
      <c r="F29" s="151" t="s">
        <v>65</v>
      </c>
      <c r="G29" s="151">
        <f t="shared" si="1"/>
        <v>1</v>
      </c>
      <c r="H29" s="116">
        <f t="shared" ca="1" si="8"/>
        <v>14</v>
      </c>
      <c r="I29" s="151">
        <f t="shared" ca="1" si="5"/>
        <v>15</v>
      </c>
      <c r="J29" s="152"/>
    </row>
    <row r="30" spans="1:10" ht="16.8">
      <c r="A30" s="137" t="s">
        <v>95</v>
      </c>
      <c r="B30" s="130">
        <v>0</v>
      </c>
      <c r="C30" s="138" t="s">
        <v>32</v>
      </c>
      <c r="D30" s="139" t="str">
        <f>IF(C30="Str",'Personal File'!$C$7,IF(C30="Dex",'Personal File'!$C$8,IF(C30="Con",'Personal File'!$C$9,IF(C30="Int",'Personal File'!$C$10,IF(C30="Wis",'Personal File'!$C$11,IF(C30="Cha",'Personal File'!$C$12))))))</f>
        <v>+3</v>
      </c>
      <c r="E30" s="139" t="str">
        <f t="shared" si="7"/>
        <v>Cha (+3)</v>
      </c>
      <c r="F30" s="134" t="s">
        <v>65</v>
      </c>
      <c r="G30" s="134">
        <f t="shared" si="1"/>
        <v>3</v>
      </c>
      <c r="H30" s="116">
        <f t="shared" ca="1" si="8"/>
        <v>5</v>
      </c>
      <c r="I30" s="134">
        <f t="shared" ca="1" si="5"/>
        <v>8</v>
      </c>
      <c r="J30" s="121"/>
    </row>
    <row r="31" spans="1:10" ht="16.8">
      <c r="A31" s="177" t="s">
        <v>57</v>
      </c>
      <c r="B31" s="148">
        <v>0</v>
      </c>
      <c r="C31" s="178" t="s">
        <v>35</v>
      </c>
      <c r="D31" s="179" t="str">
        <f>IF(C31="Str",'Personal File'!$C$7,IF(C31="Dex",'Personal File'!$C$8,IF(C31="Con",'Personal File'!$C$9,IF(C31="Int",'Personal File'!$C$10,IF(C31="Wis",'Personal File'!$C$11,IF(C31="Cha",'Personal File'!$C$12))))))</f>
        <v>+2</v>
      </c>
      <c r="E31" s="179" t="str">
        <f t="shared" si="7"/>
        <v>Wis (+2)</v>
      </c>
      <c r="F31" s="151" t="s">
        <v>65</v>
      </c>
      <c r="G31" s="151">
        <f t="shared" si="1"/>
        <v>2</v>
      </c>
      <c r="H31" s="116">
        <f t="shared" ca="1" si="8"/>
        <v>7</v>
      </c>
      <c r="I31" s="151">
        <f t="shared" ca="1" si="5"/>
        <v>9</v>
      </c>
      <c r="J31" s="152"/>
    </row>
    <row r="32" spans="1:10" ht="16.8">
      <c r="A32" s="180" t="s">
        <v>23</v>
      </c>
      <c r="B32" s="181">
        <v>2</v>
      </c>
      <c r="C32" s="182" t="s">
        <v>36</v>
      </c>
      <c r="D32" s="183" t="str">
        <f>IF(C32="Str",'Personal File'!$C$7,IF(C32="Dex",'Personal File'!$C$8,IF(C32="Con",'Personal File'!$C$9,IF(C32="Int",'Personal File'!$C$10,IF(C32="Wis",'Personal File'!$C$11,IF(C32="Cha",'Personal File'!$C$12))))))</f>
        <v>+1</v>
      </c>
      <c r="E32" s="184" t="str">
        <f t="shared" si="7"/>
        <v>Dex (+1)</v>
      </c>
      <c r="F32" s="185" t="s">
        <v>65</v>
      </c>
      <c r="G32" s="185">
        <f t="shared" si="1"/>
        <v>3</v>
      </c>
      <c r="H32" s="116">
        <f t="shared" ca="1" si="8"/>
        <v>2</v>
      </c>
      <c r="I32" s="185">
        <f t="shared" ca="1" si="5"/>
        <v>5</v>
      </c>
      <c r="J32" s="186"/>
    </row>
    <row r="33" spans="1:10" ht="16.8">
      <c r="A33" s="129" t="s">
        <v>24</v>
      </c>
      <c r="B33" s="130">
        <v>0</v>
      </c>
      <c r="C33" s="131" t="s">
        <v>34</v>
      </c>
      <c r="D33" s="132" t="str">
        <f>IF(C33="Str",'Personal File'!$C$7,IF(C33="Dex",'Personal File'!$C$8,IF(C33="Con",'Personal File'!$C$9,IF(C33="Int",'Personal File'!$C$10,IF(C33="Wis",'Personal File'!$C$11,IF(C33="Cha",'Personal File'!$C$12))))))</f>
        <v>+0</v>
      </c>
      <c r="E33" s="132" t="str">
        <f t="shared" si="7"/>
        <v>Int (+0)</v>
      </c>
      <c r="F33" s="134" t="s">
        <v>65</v>
      </c>
      <c r="G33" s="134">
        <f t="shared" si="1"/>
        <v>0</v>
      </c>
      <c r="H33" s="116">
        <f t="shared" ca="1" si="8"/>
        <v>12</v>
      </c>
      <c r="I33" s="134">
        <f t="shared" ca="1" si="5"/>
        <v>12</v>
      </c>
      <c r="J33" s="121"/>
    </row>
    <row r="34" spans="1:10" ht="16.8">
      <c r="A34" s="187" t="s">
        <v>58</v>
      </c>
      <c r="B34" s="181">
        <v>5</v>
      </c>
      <c r="C34" s="188" t="s">
        <v>35</v>
      </c>
      <c r="D34" s="189" t="str">
        <f>IF(C34="Str",'Personal File'!$C$7,IF(C34="Dex",'Personal File'!$C$8,IF(C34="Con",'Personal File'!$C$9,IF(C34="Int",'Personal File'!$C$10,IF(C34="Wis",'Personal File'!$C$11,IF(C34="Cha",'Personal File'!$C$12))))))</f>
        <v>+2</v>
      </c>
      <c r="E34" s="189" t="str">
        <f t="shared" si="7"/>
        <v>Wis (+2)</v>
      </c>
      <c r="F34" s="185" t="s">
        <v>65</v>
      </c>
      <c r="G34" s="185">
        <f t="shared" si="1"/>
        <v>7</v>
      </c>
      <c r="H34" s="116">
        <f t="shared" ca="1" si="8"/>
        <v>5</v>
      </c>
      <c r="I34" s="185">
        <f t="shared" ca="1" si="5"/>
        <v>12</v>
      </c>
      <c r="J34" s="186"/>
    </row>
    <row r="35" spans="1:10" ht="16.8">
      <c r="A35" s="174" t="s">
        <v>96</v>
      </c>
      <c r="B35" s="148">
        <v>0</v>
      </c>
      <c r="C35" s="175" t="s">
        <v>36</v>
      </c>
      <c r="D35" s="176" t="str">
        <f>IF(C35="Str",'Personal File'!$C$7,IF(C35="Dex",'Personal File'!$C$8,IF(C35="Con",'Personal File'!$C$9,IF(C35="Int",'Personal File'!$C$10,IF(C35="Wis",'Personal File'!$C$11,IF(C35="Cha",'Personal File'!$C$12))))))</f>
        <v>+1</v>
      </c>
      <c r="E35" s="176" t="str">
        <f t="shared" si="7"/>
        <v>Dex (+1)</v>
      </c>
      <c r="F35" s="194">
        <f>SUM(Martial!$D$19:$D$20)</f>
        <v>-5</v>
      </c>
      <c r="G35" s="151">
        <f t="shared" si="1"/>
        <v>-4</v>
      </c>
      <c r="H35" s="116">
        <f t="shared" ca="1" si="8"/>
        <v>20</v>
      </c>
      <c r="I35" s="151">
        <f t="shared" ca="1" si="5"/>
        <v>16</v>
      </c>
      <c r="J35" s="152"/>
    </row>
    <row r="36" spans="1:10" ht="16.8">
      <c r="A36" s="190" t="s">
        <v>93</v>
      </c>
      <c r="B36" s="191">
        <v>0</v>
      </c>
      <c r="C36" s="192" t="s">
        <v>34</v>
      </c>
      <c r="D36" s="193" t="str">
        <f>IF(C36="Str",'Personal File'!$C$7,IF(C36="Dex",'Personal File'!$C$8,IF(C36="Con",'Personal File'!$C$9,IF(C36="Int",'Personal File'!$C$10,IF(C36="Wis",'Personal File'!$C$11,IF(C36="Cha",'Personal File'!$C$12))))))</f>
        <v>+0</v>
      </c>
      <c r="E36" s="193" t="str">
        <f t="shared" si="7"/>
        <v>Int (+0)</v>
      </c>
      <c r="F36" s="194" t="s">
        <v>65</v>
      </c>
      <c r="G36" s="194">
        <f t="shared" si="1"/>
        <v>0</v>
      </c>
      <c r="H36" s="116">
        <f t="shared" ca="1" si="8"/>
        <v>5</v>
      </c>
      <c r="I36" s="194">
        <f t="shared" ca="1" si="5"/>
        <v>5</v>
      </c>
      <c r="J36" s="195"/>
    </row>
    <row r="37" spans="1:10" ht="16.8">
      <c r="A37" s="190" t="s">
        <v>59</v>
      </c>
      <c r="B37" s="191">
        <v>0</v>
      </c>
      <c r="C37" s="192" t="s">
        <v>34</v>
      </c>
      <c r="D37" s="193" t="str">
        <f>IF(C37="Str",'Personal File'!$C$7,IF(C37="Dex",'Personal File'!$C$8,IF(C37="Con",'Personal File'!$C$9,IF(C37="Int",'Personal File'!$C$10,IF(C37="Wis",'Personal File'!$C$11,IF(C37="Cha",'Personal File'!$C$12))))))</f>
        <v>+0</v>
      </c>
      <c r="E37" s="193" t="str">
        <f t="shared" si="7"/>
        <v>Int (+0)</v>
      </c>
      <c r="F37" s="194" t="s">
        <v>65</v>
      </c>
      <c r="G37" s="194">
        <f t="shared" si="1"/>
        <v>0</v>
      </c>
      <c r="H37" s="116">
        <f t="shared" ca="1" si="8"/>
        <v>13</v>
      </c>
      <c r="I37" s="194">
        <f t="shared" ca="1" si="5"/>
        <v>13</v>
      </c>
      <c r="J37" s="195"/>
    </row>
    <row r="38" spans="1:10" ht="16.8">
      <c r="A38" s="163" t="s">
        <v>60</v>
      </c>
      <c r="B38" s="130">
        <v>0</v>
      </c>
      <c r="C38" s="164" t="s">
        <v>35</v>
      </c>
      <c r="D38" s="165" t="str">
        <f>IF(C38="Str",'Personal File'!$C$7,IF(C38="Dex",'Personal File'!$C$8,IF(C38="Con",'Personal File'!$C$9,IF(C38="Int",'Personal File'!$C$10,IF(C38="Wis",'Personal File'!$C$11,IF(C38="Cha",'Personal File'!$C$12))))))</f>
        <v>+2</v>
      </c>
      <c r="E38" s="165" t="str">
        <f t="shared" si="7"/>
        <v>Wis (+2)</v>
      </c>
      <c r="F38" s="134" t="s">
        <v>65</v>
      </c>
      <c r="G38" s="134">
        <f t="shared" si="1"/>
        <v>2</v>
      </c>
      <c r="H38" s="116">
        <f t="shared" ca="1" si="8"/>
        <v>1</v>
      </c>
      <c r="I38" s="134">
        <f t="shared" ca="1" si="5"/>
        <v>3</v>
      </c>
      <c r="J38" s="121"/>
    </row>
    <row r="39" spans="1:10" ht="16.8">
      <c r="A39" s="163" t="s">
        <v>97</v>
      </c>
      <c r="B39" s="130">
        <v>0</v>
      </c>
      <c r="C39" s="164" t="s">
        <v>35</v>
      </c>
      <c r="D39" s="165" t="str">
        <f>IF(C39="Str",'Personal File'!$C$7,IF(C39="Dex",'Personal File'!$C$8,IF(C39="Con",'Personal File'!$C$9,IF(C39="Int",'Personal File'!$C$10,IF(C39="Wis",'Personal File'!$C$11,IF(C39="Cha",'Personal File'!$C$12))))))</f>
        <v>+2</v>
      </c>
      <c r="E39" s="165" t="str">
        <f t="shared" si="7"/>
        <v>Wis (+2)</v>
      </c>
      <c r="F39" s="134" t="s">
        <v>65</v>
      </c>
      <c r="G39" s="134">
        <f t="shared" si="1"/>
        <v>2</v>
      </c>
      <c r="H39" s="116">
        <f t="shared" ca="1" si="8"/>
        <v>17</v>
      </c>
      <c r="I39" s="134">
        <f t="shared" ca="1" si="5"/>
        <v>19</v>
      </c>
      <c r="J39" s="196"/>
    </row>
    <row r="40" spans="1:10" ht="16.8">
      <c r="A40" s="277" t="s">
        <v>25</v>
      </c>
      <c r="B40" s="144">
        <v>1</v>
      </c>
      <c r="C40" s="278" t="s">
        <v>37</v>
      </c>
      <c r="D40" s="279" t="str">
        <f>IF(C40="Str",'Personal File'!$C$7,IF(C40="Dex",'Personal File'!$C$8,IF(C40="Con",'Personal File'!$C$9,IF(C40="Int",'Personal File'!$C$10,IF(C40="Wis",'Personal File'!$C$11,IF(C40="Cha",'Personal File'!$C$12))))))</f>
        <v>+5</v>
      </c>
      <c r="E40" s="279" t="str">
        <f t="shared" si="7"/>
        <v>Str (+5)</v>
      </c>
      <c r="F40" s="145" t="s">
        <v>65</v>
      </c>
      <c r="G40" s="145">
        <f t="shared" si="1"/>
        <v>6</v>
      </c>
      <c r="H40" s="116">
        <f t="shared" ca="1" si="8"/>
        <v>5</v>
      </c>
      <c r="I40" s="145">
        <f t="shared" ca="1" si="5"/>
        <v>11</v>
      </c>
      <c r="J40" s="146"/>
    </row>
    <row r="41" spans="1:10" ht="16.8">
      <c r="A41" s="197" t="s">
        <v>61</v>
      </c>
      <c r="B41" s="191">
        <v>0</v>
      </c>
      <c r="C41" s="198" t="s">
        <v>36</v>
      </c>
      <c r="D41" s="199" t="str">
        <f>IF(C41="Str",'Personal File'!$C$7,IF(C41="Dex",'Personal File'!$C$8,IF(C41="Con",'Personal File'!$C$9,IF(C41="Int",'Personal File'!$C$10,IF(C41="Wis",'Personal File'!$C$11,IF(C41="Cha",'Personal File'!$C$12))))))</f>
        <v>+1</v>
      </c>
      <c r="E41" s="199" t="str">
        <f t="shared" si="7"/>
        <v>Dex (+1)</v>
      </c>
      <c r="F41" s="194">
        <f>SUM(Martial!$D$19:$D$20)</f>
        <v>-5</v>
      </c>
      <c r="G41" s="194">
        <f t="shared" si="1"/>
        <v>-4</v>
      </c>
      <c r="H41" s="116">
        <f t="shared" ca="1" si="8"/>
        <v>2</v>
      </c>
      <c r="I41" s="194">
        <f t="shared" ca="1" si="5"/>
        <v>-2</v>
      </c>
      <c r="J41" s="195"/>
    </row>
    <row r="42" spans="1:10" ht="16.8">
      <c r="A42" s="200" t="s">
        <v>62</v>
      </c>
      <c r="B42" s="148">
        <v>0</v>
      </c>
      <c r="C42" s="201" t="s">
        <v>32</v>
      </c>
      <c r="D42" s="202" t="str">
        <f>IF(C42="Str",'Personal File'!$C$7,IF(C42="Dex",'Personal File'!$C$8,IF(C42="Con",'Personal File'!$C$9,IF(C42="Int",'Personal File'!$C$10,IF(C42="Wis",'Personal File'!$C$11,IF(C42="Cha",'Personal File'!$C$12))))))</f>
        <v>+3</v>
      </c>
      <c r="E42" s="202" t="str">
        <f t="shared" si="7"/>
        <v>Cha (+3)</v>
      </c>
      <c r="F42" s="151" t="s">
        <v>65</v>
      </c>
      <c r="G42" s="151">
        <f t="shared" si="1"/>
        <v>3</v>
      </c>
      <c r="H42" s="116">
        <f t="shared" ca="1" si="8"/>
        <v>20</v>
      </c>
      <c r="I42" s="151">
        <f t="shared" ca="1" si="5"/>
        <v>23</v>
      </c>
      <c r="J42" s="152"/>
    </row>
    <row r="43" spans="1:10" ht="17.399999999999999" thickBot="1">
      <c r="A43" s="203" t="s">
        <v>63</v>
      </c>
      <c r="B43" s="204">
        <v>0</v>
      </c>
      <c r="C43" s="205" t="s">
        <v>36</v>
      </c>
      <c r="D43" s="206" t="str">
        <f>IF(C43="Str",'Personal File'!$C$7,IF(C43="Dex",'Personal File'!$C$8,IF(C43="Con",'Personal File'!$C$9,IF(C43="Int",'Personal File'!$C$10,IF(C43="Wis",'Personal File'!$C$11,IF(C43="Cha",'Personal File'!$C$12))))))</f>
        <v>+1</v>
      </c>
      <c r="E43" s="206" t="str">
        <f t="shared" si="7"/>
        <v>Dex (+1)</v>
      </c>
      <c r="F43" s="207" t="s">
        <v>65</v>
      </c>
      <c r="G43" s="207">
        <f t="shared" si="1"/>
        <v>1</v>
      </c>
      <c r="H43" s="208">
        <f t="shared" ca="1" si="8"/>
        <v>10</v>
      </c>
      <c r="I43" s="207">
        <f t="shared" ca="1" si="5"/>
        <v>11</v>
      </c>
      <c r="J43" s="209"/>
    </row>
    <row r="44" spans="1:10" ht="16.2" thickTop="1">
      <c r="A44" s="268"/>
      <c r="B44" s="269">
        <f>SUM(B6:B43,B24)</f>
        <v>39</v>
      </c>
      <c r="C44" s="270"/>
      <c r="D44" s="270"/>
      <c r="E44" s="271">
        <f>SUM(E45:E55)</f>
        <v>39</v>
      </c>
      <c r="F44" s="272" t="s">
        <v>70</v>
      </c>
      <c r="G44" s="270"/>
      <c r="H44" s="270"/>
      <c r="I44" s="270"/>
      <c r="J44" s="268"/>
    </row>
    <row r="45" spans="1:10">
      <c r="A45" s="268"/>
      <c r="B45" s="269"/>
      <c r="C45" s="270"/>
      <c r="D45" s="270"/>
      <c r="E45" s="274">
        <f>4*(2+'Personal File'!$C$10)</f>
        <v>8</v>
      </c>
      <c r="F45" s="273" t="s">
        <v>190</v>
      </c>
      <c r="G45" s="270"/>
      <c r="H45" s="270"/>
      <c r="I45" s="270"/>
      <c r="J45" s="268"/>
    </row>
    <row r="46" spans="1:10">
      <c r="A46" s="268"/>
      <c r="B46" s="269"/>
      <c r="C46" s="270"/>
      <c r="D46" s="270"/>
      <c r="E46" s="274">
        <f>2+'Personal File'!$C$10</f>
        <v>2</v>
      </c>
      <c r="F46" s="273" t="s">
        <v>202</v>
      </c>
      <c r="G46" s="270"/>
      <c r="H46" s="270"/>
      <c r="I46" s="270"/>
      <c r="J46" s="268"/>
    </row>
    <row r="47" spans="1:10">
      <c r="A47" s="268"/>
      <c r="B47" s="269"/>
      <c r="C47" s="270"/>
      <c r="D47" s="270"/>
      <c r="E47" s="274">
        <f>2+'Personal File'!$C$10</f>
        <v>2</v>
      </c>
      <c r="F47" s="273" t="s">
        <v>214</v>
      </c>
      <c r="G47" s="270"/>
      <c r="H47" s="270"/>
      <c r="I47" s="270"/>
      <c r="J47" s="268"/>
    </row>
    <row r="48" spans="1:10">
      <c r="A48" s="268"/>
      <c r="B48" s="269"/>
      <c r="C48" s="270"/>
      <c r="D48" s="270"/>
      <c r="E48" s="274">
        <f>2+'Personal File'!$C$10</f>
        <v>2</v>
      </c>
      <c r="F48" s="273" t="s">
        <v>215</v>
      </c>
      <c r="G48" s="270"/>
      <c r="H48" s="270"/>
      <c r="I48" s="270"/>
      <c r="J48" s="268"/>
    </row>
    <row r="49" spans="1:10">
      <c r="A49" s="268"/>
      <c r="B49" s="269"/>
      <c r="C49" s="270"/>
      <c r="D49" s="270"/>
      <c r="E49" s="274">
        <f>2+'Personal File'!$C$10</f>
        <v>2</v>
      </c>
      <c r="F49" s="273" t="s">
        <v>216</v>
      </c>
      <c r="G49" s="270"/>
      <c r="H49" s="270"/>
      <c r="I49" s="270"/>
      <c r="J49" s="268"/>
    </row>
    <row r="50" spans="1:10">
      <c r="A50" s="268"/>
      <c r="B50" s="269"/>
      <c r="C50" s="270"/>
      <c r="D50" s="270"/>
      <c r="E50" s="274">
        <f>2+'Personal File'!$C$10</f>
        <v>2</v>
      </c>
      <c r="F50" s="273" t="s">
        <v>217</v>
      </c>
      <c r="G50" s="270"/>
      <c r="H50" s="270"/>
      <c r="I50" s="270"/>
      <c r="J50" s="268"/>
    </row>
    <row r="51" spans="1:10">
      <c r="A51" s="268"/>
      <c r="B51" s="269"/>
      <c r="C51" s="270"/>
      <c r="D51" s="270"/>
      <c r="E51" s="274">
        <f>2+'Personal File'!$C$10</f>
        <v>2</v>
      </c>
      <c r="F51" s="273" t="s">
        <v>218</v>
      </c>
      <c r="G51" s="270"/>
      <c r="H51" s="270"/>
      <c r="I51" s="270"/>
      <c r="J51" s="268"/>
    </row>
    <row r="52" spans="1:10">
      <c r="A52" s="268"/>
      <c r="B52" s="269"/>
      <c r="C52" s="270"/>
      <c r="D52" s="270"/>
      <c r="E52" s="274">
        <f>2+'Personal File'!$C$10</f>
        <v>2</v>
      </c>
      <c r="F52" s="273" t="s">
        <v>219</v>
      </c>
      <c r="G52" s="270"/>
      <c r="H52" s="270"/>
      <c r="I52" s="270"/>
      <c r="J52" s="268"/>
    </row>
    <row r="53" spans="1:10">
      <c r="A53" s="268"/>
      <c r="B53" s="269"/>
      <c r="C53" s="270"/>
      <c r="D53" s="270"/>
      <c r="E53" s="274">
        <f>2+'Personal File'!$C$10</f>
        <v>2</v>
      </c>
      <c r="F53" s="273" t="s">
        <v>317</v>
      </c>
      <c r="G53" s="270"/>
      <c r="H53" s="270"/>
      <c r="I53" s="270"/>
      <c r="J53" s="268"/>
    </row>
    <row r="54" spans="1:10">
      <c r="A54" s="268"/>
      <c r="B54" s="269"/>
      <c r="C54" s="270"/>
      <c r="D54" s="270"/>
      <c r="E54" s="274">
        <f>2+'Personal File'!$C$10</f>
        <v>2</v>
      </c>
      <c r="F54" s="273" t="s">
        <v>331</v>
      </c>
      <c r="G54" s="270"/>
      <c r="H54" s="270"/>
      <c r="I54" s="270"/>
      <c r="J54" s="268"/>
    </row>
    <row r="55" spans="1:10">
      <c r="A55" s="268"/>
      <c r="B55" s="268"/>
      <c r="C55" s="270"/>
      <c r="D55" s="270"/>
      <c r="E55" s="271">
        <f>3+'Personal File'!E3+'Personal File'!E4</f>
        <v>13</v>
      </c>
      <c r="F55" s="273" t="s">
        <v>91</v>
      </c>
      <c r="G55" s="270"/>
      <c r="H55" s="270"/>
      <c r="I55" s="270"/>
      <c r="J55" s="268"/>
    </row>
    <row r="56" spans="1:10">
      <c r="A56" s="275"/>
      <c r="B56" s="275"/>
      <c r="C56" s="276"/>
      <c r="D56" s="276"/>
      <c r="E56" s="276"/>
      <c r="F56" s="276"/>
      <c r="G56" s="276"/>
      <c r="H56" s="276"/>
      <c r="I56" s="276"/>
      <c r="J56" s="275"/>
    </row>
    <row r="57" spans="1:10">
      <c r="A57" s="275"/>
      <c r="B57" s="275"/>
      <c r="C57" s="276"/>
      <c r="D57" s="276"/>
      <c r="E57" s="276"/>
      <c r="F57" s="276"/>
      <c r="G57" s="276"/>
      <c r="H57" s="276"/>
      <c r="I57" s="276"/>
      <c r="J57" s="275"/>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2"/>
  <sheetViews>
    <sheetView showGridLines="0" workbookViewId="0">
      <pane ySplit="2" topLeftCell="A3" activePane="bottomLeft" state="frozen"/>
      <selection pane="bottomLeft" activeCell="A3" sqref="A3"/>
    </sheetView>
  </sheetViews>
  <sheetFormatPr defaultColWidth="13" defaultRowHeight="15.6"/>
  <cols>
    <col min="1" max="1" width="20.59765625" style="99" bestFit="1" customWidth="1"/>
    <col min="2" max="2" width="6.19921875" style="99" bestFit="1" customWidth="1"/>
    <col min="3" max="3" width="13.3984375" style="98" bestFit="1" customWidth="1"/>
    <col min="4" max="4" width="11.19921875" style="98" bestFit="1" customWidth="1"/>
    <col min="5" max="5" width="8.59765625" style="98" bestFit="1" customWidth="1"/>
    <col min="6" max="6" width="12.59765625" style="98" bestFit="1" customWidth="1"/>
    <col min="7" max="7" width="9.5" style="98" bestFit="1" customWidth="1"/>
    <col min="8" max="8" width="30.69921875" style="99" customWidth="1"/>
    <col min="9" max="16384" width="13" style="85"/>
  </cols>
  <sheetData>
    <row r="1" spans="1:8" ht="23.4" thickBot="1">
      <c r="A1" s="301" t="s">
        <v>203</v>
      </c>
      <c r="B1" s="211"/>
      <c r="C1" s="211"/>
      <c r="D1" s="211"/>
      <c r="E1" s="211"/>
      <c r="F1" s="211"/>
      <c r="G1" s="211"/>
      <c r="H1" s="211"/>
    </row>
    <row r="2" spans="1:8" s="19" customFormat="1" ht="31.2">
      <c r="A2" s="212" t="s">
        <v>79</v>
      </c>
      <c r="B2" s="213" t="s">
        <v>4</v>
      </c>
      <c r="C2" s="213" t="s">
        <v>105</v>
      </c>
      <c r="D2" s="214" t="s">
        <v>106</v>
      </c>
      <c r="E2" s="214" t="s">
        <v>107</v>
      </c>
      <c r="F2" s="213" t="s">
        <v>108</v>
      </c>
      <c r="G2" s="213" t="s">
        <v>109</v>
      </c>
      <c r="H2" s="215" t="s">
        <v>5</v>
      </c>
    </row>
    <row r="3" spans="1:8" ht="16.8">
      <c r="A3" s="282" t="s">
        <v>191</v>
      </c>
      <c r="B3" s="283">
        <v>1</v>
      </c>
      <c r="C3" s="284" t="s">
        <v>291</v>
      </c>
      <c r="D3" s="285" t="s">
        <v>133</v>
      </c>
      <c r="E3" s="285" t="s">
        <v>113</v>
      </c>
      <c r="F3" s="286" t="s">
        <v>135</v>
      </c>
      <c r="G3" s="286" t="s">
        <v>119</v>
      </c>
      <c r="H3" s="287" t="s">
        <v>136</v>
      </c>
    </row>
    <row r="4" spans="1:8" ht="16.8">
      <c r="A4" s="282" t="s">
        <v>289</v>
      </c>
      <c r="B4" s="283">
        <v>1</v>
      </c>
      <c r="C4" s="284" t="s">
        <v>290</v>
      </c>
      <c r="D4" s="285" t="s">
        <v>112</v>
      </c>
      <c r="E4" s="285" t="s">
        <v>113</v>
      </c>
      <c r="F4" s="286" t="s">
        <v>118</v>
      </c>
      <c r="G4" s="286" t="s">
        <v>119</v>
      </c>
      <c r="H4" s="287" t="s">
        <v>154</v>
      </c>
    </row>
    <row r="5" spans="1:8" ht="16.8">
      <c r="A5" s="282" t="s">
        <v>192</v>
      </c>
      <c r="B5" s="283">
        <v>1</v>
      </c>
      <c r="C5" s="284" t="s">
        <v>290</v>
      </c>
      <c r="D5" s="285" t="s">
        <v>137</v>
      </c>
      <c r="E5" s="285" t="s">
        <v>113</v>
      </c>
      <c r="F5" s="286" t="s">
        <v>118</v>
      </c>
      <c r="G5" s="286" t="s">
        <v>115</v>
      </c>
      <c r="H5" s="288" t="s">
        <v>138</v>
      </c>
    </row>
    <row r="6" spans="1:8" ht="16.8">
      <c r="A6" s="282" t="s">
        <v>193</v>
      </c>
      <c r="B6" s="283">
        <v>1</v>
      </c>
      <c r="C6" s="284" t="s">
        <v>290</v>
      </c>
      <c r="D6" s="285" t="s">
        <v>112</v>
      </c>
      <c r="E6" s="285" t="s">
        <v>113</v>
      </c>
      <c r="F6" s="286" t="s">
        <v>118</v>
      </c>
      <c r="G6" s="286" t="s">
        <v>119</v>
      </c>
      <c r="H6" s="288" t="s">
        <v>154</v>
      </c>
    </row>
    <row r="7" spans="1:8" ht="16.8">
      <c r="A7" s="282" t="s">
        <v>139</v>
      </c>
      <c r="B7" s="283">
        <v>1</v>
      </c>
      <c r="C7" s="284" t="s">
        <v>291</v>
      </c>
      <c r="D7" s="285" t="s">
        <v>140</v>
      </c>
      <c r="E7" s="285" t="s">
        <v>113</v>
      </c>
      <c r="F7" s="286" t="s">
        <v>114</v>
      </c>
      <c r="G7" s="286" t="s">
        <v>141</v>
      </c>
      <c r="H7" s="157" t="s">
        <v>142</v>
      </c>
    </row>
    <row r="8" spans="1:8" ht="16.8">
      <c r="A8" s="282" t="s">
        <v>110</v>
      </c>
      <c r="B8" s="283">
        <v>1</v>
      </c>
      <c r="C8" s="284" t="s">
        <v>111</v>
      </c>
      <c r="D8" s="285" t="s">
        <v>112</v>
      </c>
      <c r="E8" s="285" t="s">
        <v>113</v>
      </c>
      <c r="F8" s="286" t="s">
        <v>114</v>
      </c>
      <c r="G8" s="286" t="s">
        <v>115</v>
      </c>
      <c r="H8" s="157" t="s">
        <v>116</v>
      </c>
    </row>
    <row r="9" spans="1:8" ht="16.8">
      <c r="A9" s="282" t="s">
        <v>143</v>
      </c>
      <c r="B9" s="283">
        <v>1</v>
      </c>
      <c r="C9" s="284" t="s">
        <v>117</v>
      </c>
      <c r="D9" s="285" t="s">
        <v>112</v>
      </c>
      <c r="E9" s="285" t="s">
        <v>113</v>
      </c>
      <c r="F9" s="286" t="s">
        <v>118</v>
      </c>
      <c r="G9" s="286" t="s">
        <v>115</v>
      </c>
      <c r="H9" s="157" t="s">
        <v>144</v>
      </c>
    </row>
    <row r="10" spans="1:8" ht="16.8">
      <c r="A10" s="282" t="s">
        <v>120</v>
      </c>
      <c r="B10" s="283">
        <v>1</v>
      </c>
      <c r="C10" s="284" t="s">
        <v>121</v>
      </c>
      <c r="D10" s="285" t="s">
        <v>112</v>
      </c>
      <c r="E10" s="285" t="s">
        <v>113</v>
      </c>
      <c r="F10" s="286" t="s">
        <v>114</v>
      </c>
      <c r="G10" s="286" t="s">
        <v>115</v>
      </c>
      <c r="H10" s="157" t="s">
        <v>156</v>
      </c>
    </row>
    <row r="11" spans="1:8" ht="16.8">
      <c r="A11" s="282" t="s">
        <v>153</v>
      </c>
      <c r="B11" s="283">
        <v>1</v>
      </c>
      <c r="C11" s="284" t="s">
        <v>121</v>
      </c>
      <c r="D11" s="285" t="s">
        <v>130</v>
      </c>
      <c r="E11" s="289" t="s">
        <v>113</v>
      </c>
      <c r="F11" s="290" t="s">
        <v>299</v>
      </c>
      <c r="G11" s="286" t="s">
        <v>115</v>
      </c>
      <c r="H11" s="157" t="s">
        <v>155</v>
      </c>
    </row>
    <row r="12" spans="1:8" ht="16.8">
      <c r="A12" s="282" t="s">
        <v>145</v>
      </c>
      <c r="B12" s="283">
        <v>1</v>
      </c>
      <c r="C12" s="284" t="s">
        <v>123</v>
      </c>
      <c r="D12" s="285" t="s">
        <v>133</v>
      </c>
      <c r="E12" s="285" t="s">
        <v>113</v>
      </c>
      <c r="F12" s="286" t="s">
        <v>127</v>
      </c>
      <c r="G12" s="286" t="s">
        <v>122</v>
      </c>
      <c r="H12" s="287" t="s">
        <v>146</v>
      </c>
    </row>
    <row r="13" spans="1:8" ht="16.8">
      <c r="A13" s="282" t="s">
        <v>182</v>
      </c>
      <c r="B13" s="283">
        <v>1</v>
      </c>
      <c r="C13" s="284" t="s">
        <v>123</v>
      </c>
      <c r="D13" s="285" t="s">
        <v>112</v>
      </c>
      <c r="E13" s="285" t="s">
        <v>113</v>
      </c>
      <c r="F13" s="286" t="s">
        <v>127</v>
      </c>
      <c r="G13" s="286" t="s">
        <v>165</v>
      </c>
      <c r="H13" s="287" t="s">
        <v>183</v>
      </c>
    </row>
    <row r="14" spans="1:8" ht="16.8">
      <c r="A14" s="282" t="s">
        <v>147</v>
      </c>
      <c r="B14" s="283">
        <v>1</v>
      </c>
      <c r="C14" s="284" t="s">
        <v>129</v>
      </c>
      <c r="D14" s="285" t="s">
        <v>112</v>
      </c>
      <c r="E14" s="285" t="s">
        <v>113</v>
      </c>
      <c r="F14" s="286" t="s">
        <v>118</v>
      </c>
      <c r="G14" s="286" t="s">
        <v>148</v>
      </c>
      <c r="H14" s="157" t="s">
        <v>149</v>
      </c>
    </row>
    <row r="15" spans="1:8" ht="16.8">
      <c r="A15" s="282" t="s">
        <v>150</v>
      </c>
      <c r="B15" s="283">
        <v>1</v>
      </c>
      <c r="C15" s="284" t="s">
        <v>290</v>
      </c>
      <c r="D15" s="285" t="s">
        <v>151</v>
      </c>
      <c r="E15" s="285" t="s">
        <v>113</v>
      </c>
      <c r="F15" s="286" t="s">
        <v>118</v>
      </c>
      <c r="G15" s="286" t="s">
        <v>119</v>
      </c>
      <c r="H15" s="287" t="s">
        <v>152</v>
      </c>
    </row>
    <row r="16" spans="1:8" ht="16.8">
      <c r="A16" s="282" t="s">
        <v>194</v>
      </c>
      <c r="B16" s="283">
        <v>1</v>
      </c>
      <c r="C16" s="284" t="s">
        <v>129</v>
      </c>
      <c r="D16" s="285" t="s">
        <v>130</v>
      </c>
      <c r="E16" s="285" t="s">
        <v>113</v>
      </c>
      <c r="F16" s="286" t="s">
        <v>118</v>
      </c>
      <c r="G16" s="286" t="s">
        <v>119</v>
      </c>
      <c r="H16" s="157" t="s">
        <v>157</v>
      </c>
    </row>
    <row r="17" spans="1:8" ht="16.8">
      <c r="A17" s="282" t="s">
        <v>292</v>
      </c>
      <c r="B17" s="283">
        <v>1</v>
      </c>
      <c r="C17" s="284" t="s">
        <v>129</v>
      </c>
      <c r="D17" s="285" t="s">
        <v>130</v>
      </c>
      <c r="E17" s="285" t="s">
        <v>113</v>
      </c>
      <c r="F17" s="286" t="s">
        <v>118</v>
      </c>
      <c r="G17" s="286" t="s">
        <v>119</v>
      </c>
      <c r="H17" s="157" t="s">
        <v>157</v>
      </c>
    </row>
    <row r="18" spans="1:8" ht="16.8">
      <c r="A18" s="282" t="s">
        <v>125</v>
      </c>
      <c r="B18" s="283">
        <v>1</v>
      </c>
      <c r="C18" s="284" t="s">
        <v>117</v>
      </c>
      <c r="D18" s="285" t="s">
        <v>126</v>
      </c>
      <c r="E18" s="285" t="s">
        <v>113</v>
      </c>
      <c r="F18" s="286" t="s">
        <v>127</v>
      </c>
      <c r="G18" s="286" t="s">
        <v>124</v>
      </c>
      <c r="H18" s="157" t="s">
        <v>158</v>
      </c>
    </row>
    <row r="19" spans="1:8" ht="16.8">
      <c r="A19" s="282" t="s">
        <v>128</v>
      </c>
      <c r="B19" s="283">
        <v>1</v>
      </c>
      <c r="C19" s="284" t="s">
        <v>129</v>
      </c>
      <c r="D19" s="285" t="s">
        <v>130</v>
      </c>
      <c r="E19" s="285" t="s">
        <v>113</v>
      </c>
      <c r="F19" s="286" t="s">
        <v>118</v>
      </c>
      <c r="G19" s="286" t="s">
        <v>122</v>
      </c>
      <c r="H19" s="288" t="s">
        <v>131</v>
      </c>
    </row>
    <row r="20" spans="1:8" ht="16.8">
      <c r="A20" s="282" t="s">
        <v>177</v>
      </c>
      <c r="B20" s="283">
        <v>1</v>
      </c>
      <c r="C20" s="284" t="s">
        <v>111</v>
      </c>
      <c r="D20" s="285" t="s">
        <v>112</v>
      </c>
      <c r="E20" s="289" t="s">
        <v>113</v>
      </c>
      <c r="F20" s="290" t="s">
        <v>118</v>
      </c>
      <c r="G20" s="286" t="s">
        <v>115</v>
      </c>
      <c r="H20" s="157" t="s">
        <v>178</v>
      </c>
    </row>
    <row r="21" spans="1:8" ht="16.8">
      <c r="A21" s="282" t="s">
        <v>167</v>
      </c>
      <c r="B21" s="283">
        <v>1</v>
      </c>
      <c r="C21" s="284" t="s">
        <v>111</v>
      </c>
      <c r="D21" s="285" t="s">
        <v>112</v>
      </c>
      <c r="E21" s="289" t="s">
        <v>113</v>
      </c>
      <c r="F21" s="286" t="s">
        <v>300</v>
      </c>
      <c r="G21" s="286" t="s">
        <v>165</v>
      </c>
      <c r="H21" s="157" t="s">
        <v>168</v>
      </c>
    </row>
    <row r="22" spans="1:8" ht="16.8">
      <c r="A22" s="282" t="s">
        <v>306</v>
      </c>
      <c r="B22" s="283">
        <v>1</v>
      </c>
      <c r="C22" s="284" t="s">
        <v>290</v>
      </c>
      <c r="D22" s="285" t="s">
        <v>112</v>
      </c>
      <c r="E22" s="289" t="s">
        <v>307</v>
      </c>
      <c r="F22" s="286" t="s">
        <v>127</v>
      </c>
      <c r="G22" s="286" t="s">
        <v>141</v>
      </c>
      <c r="H22" s="157" t="s">
        <v>308</v>
      </c>
    </row>
    <row r="23" spans="1:8" ht="16.8">
      <c r="A23" s="291" t="s">
        <v>132</v>
      </c>
      <c r="B23" s="292">
        <v>1</v>
      </c>
      <c r="C23" s="293" t="s">
        <v>290</v>
      </c>
      <c r="D23" s="294" t="s">
        <v>133</v>
      </c>
      <c r="E23" s="294" t="s">
        <v>113</v>
      </c>
      <c r="F23" s="295" t="s">
        <v>118</v>
      </c>
      <c r="G23" s="295" t="s">
        <v>122</v>
      </c>
      <c r="H23" s="296" t="s">
        <v>134</v>
      </c>
    </row>
    <row r="24" spans="1:8" ht="16.8">
      <c r="A24" s="425" t="s">
        <v>160</v>
      </c>
      <c r="B24" s="283">
        <v>2</v>
      </c>
      <c r="C24" s="284" t="s">
        <v>111</v>
      </c>
      <c r="D24" s="285" t="s">
        <v>112</v>
      </c>
      <c r="E24" s="289" t="s">
        <v>113</v>
      </c>
      <c r="F24" s="286" t="s">
        <v>127</v>
      </c>
      <c r="G24" s="286" t="s">
        <v>124</v>
      </c>
      <c r="H24" s="157" t="s">
        <v>161</v>
      </c>
    </row>
    <row r="25" spans="1:8" ht="16.8">
      <c r="A25" s="425" t="s">
        <v>309</v>
      </c>
      <c r="B25" s="283">
        <v>2</v>
      </c>
      <c r="C25" s="284" t="s">
        <v>290</v>
      </c>
      <c r="D25" s="285" t="s">
        <v>130</v>
      </c>
      <c r="E25" s="424" t="s">
        <v>113</v>
      </c>
      <c r="F25" s="286" t="s">
        <v>118</v>
      </c>
      <c r="G25" s="286" t="s">
        <v>119</v>
      </c>
      <c r="H25" s="157" t="s">
        <v>318</v>
      </c>
    </row>
    <row r="26" spans="1:8" ht="16.8">
      <c r="A26" s="425" t="s">
        <v>174</v>
      </c>
      <c r="B26" s="283">
        <v>2</v>
      </c>
      <c r="C26" s="284" t="s">
        <v>129</v>
      </c>
      <c r="D26" s="285" t="s">
        <v>133</v>
      </c>
      <c r="E26" s="289" t="s">
        <v>175</v>
      </c>
      <c r="F26" s="286" t="s">
        <v>118</v>
      </c>
      <c r="G26" s="286" t="s">
        <v>124</v>
      </c>
      <c r="H26" s="157" t="s">
        <v>176</v>
      </c>
    </row>
    <row r="27" spans="1:8" ht="16.8">
      <c r="A27" s="425" t="s">
        <v>162</v>
      </c>
      <c r="B27" s="283">
        <v>2</v>
      </c>
      <c r="C27" s="284" t="s">
        <v>290</v>
      </c>
      <c r="D27" s="285" t="s">
        <v>112</v>
      </c>
      <c r="E27" s="289" t="s">
        <v>113</v>
      </c>
      <c r="F27" s="286" t="s">
        <v>127</v>
      </c>
      <c r="G27" s="286" t="s">
        <v>124</v>
      </c>
      <c r="H27" s="157" t="s">
        <v>163</v>
      </c>
    </row>
    <row r="28" spans="1:8" ht="16.8">
      <c r="A28" s="425" t="s">
        <v>164</v>
      </c>
      <c r="B28" s="283">
        <v>2</v>
      </c>
      <c r="C28" s="284" t="s">
        <v>290</v>
      </c>
      <c r="D28" s="285" t="s">
        <v>112</v>
      </c>
      <c r="E28" s="289" t="s">
        <v>113</v>
      </c>
      <c r="F28" s="286" t="s">
        <v>127</v>
      </c>
      <c r="G28" s="286" t="s">
        <v>165</v>
      </c>
      <c r="H28" s="157" t="s">
        <v>166</v>
      </c>
    </row>
    <row r="29" spans="1:8" ht="16.8">
      <c r="A29" s="425" t="s">
        <v>169</v>
      </c>
      <c r="B29" s="283">
        <v>2</v>
      </c>
      <c r="C29" s="284" t="s">
        <v>111</v>
      </c>
      <c r="D29" s="285" t="s">
        <v>112</v>
      </c>
      <c r="E29" s="289" t="s">
        <v>113</v>
      </c>
      <c r="F29" s="286" t="s">
        <v>127</v>
      </c>
      <c r="G29" s="286" t="s">
        <v>122</v>
      </c>
      <c r="H29" s="157" t="s">
        <v>170</v>
      </c>
    </row>
    <row r="30" spans="1:8" ht="16.8">
      <c r="A30" s="425" t="s">
        <v>171</v>
      </c>
      <c r="B30" s="283">
        <v>2</v>
      </c>
      <c r="C30" s="284" t="s">
        <v>291</v>
      </c>
      <c r="D30" s="285" t="s">
        <v>133</v>
      </c>
      <c r="E30" s="289" t="s">
        <v>113</v>
      </c>
      <c r="F30" s="286" t="s">
        <v>127</v>
      </c>
      <c r="G30" s="286" t="s">
        <v>172</v>
      </c>
      <c r="H30" s="157" t="s">
        <v>170</v>
      </c>
    </row>
    <row r="31" spans="1:8" ht="17.399999999999999" thickBot="1">
      <c r="A31" s="397" t="s">
        <v>173</v>
      </c>
      <c r="B31" s="398">
        <v>3</v>
      </c>
      <c r="C31" s="399" t="s">
        <v>290</v>
      </c>
      <c r="D31" s="400" t="s">
        <v>112</v>
      </c>
      <c r="E31" s="401" t="s">
        <v>113</v>
      </c>
      <c r="F31" s="402" t="s">
        <v>118</v>
      </c>
      <c r="G31" s="402" t="s">
        <v>119</v>
      </c>
      <c r="H31" s="403" t="s">
        <v>170</v>
      </c>
    </row>
    <row r="32" spans="1:8" ht="16.2" thickTop="1"/>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27"/>
  <sheetViews>
    <sheetView showGridLines="0" workbookViewId="0"/>
  </sheetViews>
  <sheetFormatPr defaultColWidth="13" defaultRowHeight="15.6"/>
  <cols>
    <col min="1" max="1" width="19.5" style="99" bestFit="1" customWidth="1"/>
    <col min="2" max="2" width="6.19921875" style="99" bestFit="1" customWidth="1"/>
    <col min="3" max="3" width="4.09765625" style="99" bestFit="1" customWidth="1"/>
    <col min="4" max="4" width="6.3984375" style="98" bestFit="1" customWidth="1"/>
    <col min="5" max="5" width="1.8984375" style="98" customWidth="1"/>
    <col min="6" max="6" width="18.59765625" style="98" bestFit="1" customWidth="1"/>
    <col min="7" max="7" width="3.5" style="98" bestFit="1" customWidth="1"/>
    <col min="8" max="8" width="3.3984375" style="98" bestFit="1" customWidth="1"/>
    <col min="9" max="9" width="3.8984375" style="98" bestFit="1" customWidth="1"/>
    <col min="10" max="10" width="3.59765625" style="98" bestFit="1" customWidth="1"/>
    <col min="11" max="14" width="3.5" style="98" bestFit="1" customWidth="1"/>
    <col min="15" max="15" width="1.8984375" style="98" customWidth="1"/>
    <col min="16" max="16" width="33.796875" style="98" bestFit="1" customWidth="1"/>
    <col min="17" max="16384" width="13" style="85"/>
  </cols>
  <sheetData>
    <row r="1" spans="1:17" ht="24" thickTop="1" thickBot="1">
      <c r="A1" s="82" t="s">
        <v>100</v>
      </c>
      <c r="B1" s="83"/>
      <c r="C1" s="83"/>
      <c r="D1" s="84"/>
      <c r="E1" s="85"/>
      <c r="F1" s="93"/>
      <c r="G1" s="386" t="s">
        <v>284</v>
      </c>
      <c r="H1" s="387"/>
      <c r="I1" s="388"/>
      <c r="J1" s="388"/>
      <c r="K1" s="388"/>
      <c r="L1" s="388"/>
      <c r="M1" s="388"/>
      <c r="N1" s="389"/>
      <c r="O1" s="85"/>
      <c r="P1" s="86" t="s">
        <v>102</v>
      </c>
    </row>
    <row r="2" spans="1:17" ht="18" thickTop="1" thickBot="1">
      <c r="A2" s="87" t="s">
        <v>79</v>
      </c>
      <c r="B2" s="88" t="s">
        <v>4</v>
      </c>
      <c r="C2" s="88" t="s">
        <v>103</v>
      </c>
      <c r="D2" s="89" t="s">
        <v>80</v>
      </c>
      <c r="E2" s="90"/>
      <c r="F2" s="93"/>
      <c r="G2" s="390" t="s">
        <v>275</v>
      </c>
      <c r="H2" s="391" t="s">
        <v>276</v>
      </c>
      <c r="I2" s="391" t="s">
        <v>277</v>
      </c>
      <c r="J2" s="391" t="s">
        <v>278</v>
      </c>
      <c r="K2" s="391" t="s">
        <v>279</v>
      </c>
      <c r="L2" s="391" t="s">
        <v>280</v>
      </c>
      <c r="M2" s="391" t="s">
        <v>281</v>
      </c>
      <c r="N2" s="392" t="s">
        <v>282</v>
      </c>
      <c r="O2" s="90"/>
      <c r="P2" s="91" t="s">
        <v>262</v>
      </c>
      <c r="Q2" s="93"/>
    </row>
    <row r="3" spans="1:17" ht="17.399999999999999" thickTop="1">
      <c r="A3" s="394" t="s">
        <v>289</v>
      </c>
      <c r="B3" s="395">
        <v>1</v>
      </c>
      <c r="C3" s="418">
        <f>SUM(10+B3+'Personal File'!$C$12)</f>
        <v>14</v>
      </c>
      <c r="D3" s="396" t="s">
        <v>81</v>
      </c>
      <c r="E3" s="90"/>
      <c r="F3" s="381" t="s">
        <v>285</v>
      </c>
      <c r="G3" s="382">
        <v>0</v>
      </c>
      <c r="H3" s="407">
        <v>0</v>
      </c>
      <c r="I3" s="407">
        <v>0</v>
      </c>
      <c r="J3" s="407">
        <v>0</v>
      </c>
      <c r="K3" s="407">
        <v>0</v>
      </c>
      <c r="L3" s="407">
        <v>0</v>
      </c>
      <c r="M3" s="407">
        <v>0</v>
      </c>
      <c r="N3" s="409">
        <v>0</v>
      </c>
      <c r="O3" s="90"/>
      <c r="P3" s="95" t="s">
        <v>301</v>
      </c>
    </row>
    <row r="4" spans="1:17" ht="16.8">
      <c r="A4" s="413" t="s">
        <v>337</v>
      </c>
      <c r="B4" s="414">
        <v>1</v>
      </c>
      <c r="C4" s="419">
        <f>SUM(10+B4+'Personal File'!$C$12)</f>
        <v>14</v>
      </c>
      <c r="D4" s="415" t="s">
        <v>351</v>
      </c>
      <c r="E4" s="90"/>
      <c r="F4" s="383" t="s">
        <v>287</v>
      </c>
      <c r="G4" s="384">
        <v>1</v>
      </c>
      <c r="H4" s="408">
        <v>0</v>
      </c>
      <c r="I4" s="408">
        <v>0</v>
      </c>
      <c r="J4" s="408">
        <v>0</v>
      </c>
      <c r="K4" s="408">
        <v>0</v>
      </c>
      <c r="L4" s="408">
        <v>0</v>
      </c>
      <c r="M4" s="408">
        <v>0</v>
      </c>
      <c r="N4" s="410">
        <v>0</v>
      </c>
      <c r="O4" s="90"/>
      <c r="P4" s="95" t="s">
        <v>302</v>
      </c>
    </row>
    <row r="5" spans="1:17" ht="16.8">
      <c r="A5" s="297" t="s">
        <v>306</v>
      </c>
      <c r="B5" s="123">
        <v>1</v>
      </c>
      <c r="C5" s="420">
        <f>SUM(10+B5+'Personal File'!$C$12)</f>
        <v>14</v>
      </c>
      <c r="D5" s="94" t="s">
        <v>351</v>
      </c>
      <c r="E5" s="90"/>
      <c r="F5" s="383" t="s">
        <v>286</v>
      </c>
      <c r="G5" s="384">
        <v>1</v>
      </c>
      <c r="H5" s="405">
        <v>1</v>
      </c>
      <c r="I5" s="405">
        <v>0</v>
      </c>
      <c r="J5" s="408">
        <v>0</v>
      </c>
      <c r="K5" s="408">
        <v>0</v>
      </c>
      <c r="L5" s="408">
        <v>0</v>
      </c>
      <c r="M5" s="408">
        <v>0</v>
      </c>
      <c r="N5" s="410">
        <v>0</v>
      </c>
      <c r="O5" s="90"/>
      <c r="P5" s="95" t="s">
        <v>310</v>
      </c>
    </row>
    <row r="6" spans="1:17" ht="17.399999999999999" thickBot="1">
      <c r="A6" s="394" t="s">
        <v>309</v>
      </c>
      <c r="B6" s="395">
        <v>2</v>
      </c>
      <c r="C6" s="418">
        <f>SUM(10+B6+'Personal File'!$C$12)</f>
        <v>15</v>
      </c>
      <c r="D6" s="396" t="s">
        <v>351</v>
      </c>
      <c r="E6" s="90"/>
      <c r="F6" s="383" t="s">
        <v>288</v>
      </c>
      <c r="G6" s="384">
        <v>1</v>
      </c>
      <c r="H6" s="405">
        <v>1</v>
      </c>
      <c r="I6" s="405">
        <v>0</v>
      </c>
      <c r="J6" s="408">
        <v>0</v>
      </c>
      <c r="K6" s="408">
        <v>0</v>
      </c>
      <c r="L6" s="408">
        <v>0</v>
      </c>
      <c r="M6" s="408">
        <v>0</v>
      </c>
      <c r="N6" s="410">
        <v>0</v>
      </c>
      <c r="O6" s="90"/>
      <c r="P6" s="475" t="s">
        <v>314</v>
      </c>
    </row>
    <row r="7" spans="1:17" ht="18" thickTop="1" thickBot="1">
      <c r="A7" s="297" t="s">
        <v>309</v>
      </c>
      <c r="B7" s="123">
        <v>2</v>
      </c>
      <c r="C7" s="420">
        <f>SUM(10+B7+'Personal File'!$C$12)</f>
        <v>15</v>
      </c>
      <c r="D7" s="94" t="s">
        <v>81</v>
      </c>
      <c r="E7" s="90"/>
      <c r="F7" s="385" t="s">
        <v>283</v>
      </c>
      <c r="G7" s="393">
        <f t="shared" ref="G7:N7" si="0">SUM(G3:G6)</f>
        <v>3</v>
      </c>
      <c r="H7" s="406">
        <f t="shared" si="0"/>
        <v>2</v>
      </c>
      <c r="I7" s="406">
        <f t="shared" ref="I7" si="1">SUM(I3:I6)</f>
        <v>0</v>
      </c>
      <c r="J7" s="411">
        <f t="shared" si="0"/>
        <v>0</v>
      </c>
      <c r="K7" s="411">
        <f t="shared" si="0"/>
        <v>0</v>
      </c>
      <c r="L7" s="411">
        <f t="shared" si="0"/>
        <v>0</v>
      </c>
      <c r="M7" s="411">
        <f t="shared" si="0"/>
        <v>0</v>
      </c>
      <c r="N7" s="412">
        <f t="shared" si="0"/>
        <v>0</v>
      </c>
      <c r="O7" s="90"/>
    </row>
    <row r="8" spans="1:17" ht="24" thickTop="1" thickBot="1">
      <c r="A8" s="498"/>
      <c r="B8" s="499">
        <v>3</v>
      </c>
      <c r="C8" s="500">
        <f>SUM(10+B8+'Personal File'!$C$12)</f>
        <v>16</v>
      </c>
      <c r="D8" s="97" t="s">
        <v>81</v>
      </c>
      <c r="E8" s="90"/>
      <c r="F8" s="90"/>
      <c r="G8" s="90"/>
      <c r="H8" s="90"/>
      <c r="I8" s="90"/>
      <c r="J8" s="90"/>
      <c r="K8" s="90"/>
      <c r="L8" s="90"/>
      <c r="M8" s="90"/>
      <c r="N8" s="90"/>
      <c r="O8" s="90"/>
      <c r="P8" s="86" t="s">
        <v>293</v>
      </c>
    </row>
    <row r="9" spans="1:17" ht="24" thickTop="1" thickBot="1">
      <c r="E9" s="90"/>
      <c r="F9" s="479" t="s">
        <v>322</v>
      </c>
      <c r="G9" s="480"/>
      <c r="H9" s="481"/>
      <c r="J9" s="90"/>
      <c r="K9" s="90"/>
      <c r="L9" s="90"/>
      <c r="N9" s="90"/>
      <c r="O9" s="90"/>
      <c r="P9" s="96" t="s">
        <v>221</v>
      </c>
    </row>
    <row r="10" spans="1:17" ht="19.2" thickTop="1" thickBot="1">
      <c r="A10" s="12" t="s">
        <v>104</v>
      </c>
      <c r="B10" s="10"/>
      <c r="C10" s="10"/>
      <c r="D10" s="11"/>
      <c r="E10" s="90"/>
      <c r="F10" s="482"/>
      <c r="G10" s="483" t="s">
        <v>323</v>
      </c>
      <c r="H10" s="494">
        <f>'Personal File'!E3+'Personal File'!E4</f>
        <v>10</v>
      </c>
      <c r="J10" s="90"/>
      <c r="K10" s="90"/>
      <c r="L10" s="90"/>
      <c r="M10" s="90"/>
      <c r="N10" s="90"/>
      <c r="O10" s="90"/>
      <c r="P10" s="96" t="s">
        <v>338</v>
      </c>
    </row>
    <row r="11" spans="1:17" ht="16.8">
      <c r="A11" s="102" t="s">
        <v>195</v>
      </c>
      <c r="B11" s="103"/>
      <c r="C11" s="103"/>
      <c r="D11" s="104"/>
      <c r="E11" s="90"/>
      <c r="F11" s="482"/>
      <c r="G11" s="483" t="s">
        <v>324</v>
      </c>
      <c r="H11" s="488">
        <f>3+'Personal File'!$C$12</f>
        <v>6</v>
      </c>
      <c r="J11" s="90"/>
      <c r="K11" s="90"/>
      <c r="L11" s="90"/>
      <c r="M11" s="90"/>
      <c r="N11" s="90"/>
      <c r="O11" s="90"/>
      <c r="P11" s="96" t="s">
        <v>222</v>
      </c>
      <c r="Q11" s="93"/>
    </row>
    <row r="12" spans="1:17" ht="17.399999999999999" thickBot="1">
      <c r="A12" s="105" t="s">
        <v>196</v>
      </c>
      <c r="B12" s="106"/>
      <c r="C12" s="106"/>
      <c r="D12" s="107"/>
      <c r="E12" s="90"/>
      <c r="F12" s="484"/>
      <c r="G12" s="485" t="s">
        <v>325</v>
      </c>
      <c r="H12" s="495">
        <f ca="1">RANDBETWEEN(1,20)</f>
        <v>20</v>
      </c>
      <c r="J12" s="90"/>
      <c r="K12" s="90"/>
      <c r="L12" s="90"/>
      <c r="M12" s="90"/>
      <c r="N12" s="90"/>
      <c r="O12" s="90"/>
      <c r="P12" s="96" t="s">
        <v>223</v>
      </c>
    </row>
    <row r="13" spans="1:17" ht="18" thickTop="1" thickBot="1">
      <c r="E13" s="90"/>
      <c r="F13" s="486"/>
      <c r="G13" s="487" t="s">
        <v>326</v>
      </c>
      <c r="H13" s="488">
        <f ca="1">H12+'Personal File'!$C$12+2</f>
        <v>25</v>
      </c>
      <c r="J13" s="90"/>
      <c r="K13" s="90"/>
      <c r="L13" s="90"/>
      <c r="M13" s="90"/>
      <c r="N13" s="90"/>
      <c r="O13" s="90"/>
      <c r="P13" s="96" t="s">
        <v>305</v>
      </c>
    </row>
    <row r="14" spans="1:17" ht="24" thickTop="1" thickBot="1">
      <c r="A14" s="100" t="s">
        <v>82</v>
      </c>
      <c r="E14" s="90"/>
      <c r="F14" s="489"/>
      <c r="G14" s="490" t="s">
        <v>327</v>
      </c>
      <c r="H14" s="496">
        <f ca="1">RANDBETWEEN(1,6)+RANDBETWEEN(1,6)</f>
        <v>5</v>
      </c>
      <c r="J14" s="90"/>
      <c r="K14" s="90"/>
      <c r="L14" s="90"/>
      <c r="M14" s="90"/>
      <c r="N14" s="90"/>
      <c r="O14" s="90"/>
      <c r="P14" s="92" t="s">
        <v>200</v>
      </c>
    </row>
    <row r="15" spans="1:17" ht="17.399999999999999" thickBot="1">
      <c r="A15" s="101" t="s">
        <v>261</v>
      </c>
      <c r="E15" s="90"/>
      <c r="F15" s="491"/>
      <c r="G15" s="487" t="s">
        <v>328</v>
      </c>
      <c r="H15" s="488">
        <f ca="1">H10+H14+'Personal File'!C12</f>
        <v>18</v>
      </c>
      <c r="J15" s="90"/>
      <c r="K15" s="90"/>
      <c r="L15" s="90"/>
      <c r="M15" s="90"/>
      <c r="N15" s="90"/>
      <c r="O15" s="90"/>
      <c r="P15" s="298" t="s">
        <v>101</v>
      </c>
    </row>
    <row r="16" spans="1:17" ht="18" thickTop="1" thickBot="1">
      <c r="E16" s="90"/>
      <c r="F16" s="492"/>
      <c r="G16" s="493" t="s">
        <v>329</v>
      </c>
      <c r="H16" s="497">
        <v>0</v>
      </c>
      <c r="J16" s="90"/>
      <c r="K16" s="90"/>
      <c r="L16" s="90"/>
      <c r="M16" s="90"/>
      <c r="N16" s="90"/>
      <c r="O16" s="90"/>
      <c r="P16" s="300" t="s">
        <v>340</v>
      </c>
    </row>
    <row r="17" spans="5:16" ht="17.399999999999999" thickTop="1">
      <c r="E17" s="90"/>
      <c r="F17" s="90"/>
      <c r="G17" s="90"/>
      <c r="H17" s="90"/>
      <c r="I17" s="90"/>
      <c r="J17" s="90"/>
      <c r="K17" s="90"/>
      <c r="L17" s="90"/>
      <c r="M17" s="90"/>
      <c r="N17" s="90"/>
      <c r="O17" s="90"/>
      <c r="P17" s="299" t="s">
        <v>224</v>
      </c>
    </row>
    <row r="18" spans="5:16" ht="16.8">
      <c r="E18" s="90"/>
      <c r="F18" s="90"/>
      <c r="G18" s="90"/>
      <c r="H18" s="90"/>
      <c r="I18" s="90"/>
      <c r="J18" s="90"/>
      <c r="K18" s="90"/>
      <c r="L18" s="90"/>
      <c r="M18" s="90"/>
      <c r="N18" s="90"/>
      <c r="O18" s="90"/>
      <c r="P18" s="298" t="s">
        <v>181</v>
      </c>
    </row>
    <row r="19" spans="5:16" ht="17.399999999999999" thickBot="1">
      <c r="P19" s="423" t="s">
        <v>225</v>
      </c>
    </row>
    <row r="20" spans="5:16" ht="16.8" thickTop="1" thickBot="1">
      <c r="E20" s="90"/>
      <c r="F20" s="90"/>
      <c r="G20" s="90"/>
      <c r="H20" s="90"/>
      <c r="I20" s="90"/>
      <c r="J20" s="90"/>
      <c r="K20" s="90"/>
      <c r="L20" s="90"/>
      <c r="M20" s="90"/>
      <c r="N20" s="90"/>
      <c r="O20" s="90"/>
      <c r="P20" s="85"/>
    </row>
    <row r="21" spans="5:16" ht="24" thickTop="1" thickBot="1">
      <c r="P21" s="86" t="s">
        <v>294</v>
      </c>
    </row>
    <row r="22" spans="5:16" ht="16.8">
      <c r="P22" s="416" t="s">
        <v>295</v>
      </c>
    </row>
    <row r="23" spans="5:16" ht="16.8">
      <c r="P23" s="416" t="s">
        <v>296</v>
      </c>
    </row>
    <row r="24" spans="5:16" ht="16.8">
      <c r="P24" s="417" t="s">
        <v>311</v>
      </c>
    </row>
    <row r="25" spans="5:16" ht="16.8">
      <c r="P25" s="417" t="s">
        <v>297</v>
      </c>
    </row>
    <row r="26" spans="5:16" ht="17.399999999999999" thickBot="1">
      <c r="P26" s="476" t="s">
        <v>315</v>
      </c>
    </row>
    <row r="27" spans="5:16" ht="16.2" thickTop="1"/>
  </sheetData>
  <phoneticPr fontId="0" type="noConversion"/>
  <conditionalFormatting sqref="D3:D5 D8:D9">
    <cfRule type="cellIs" dxfId="24" priority="3" stopIfTrue="1" operator="equal">
      <formula>"þ"</formula>
    </cfRule>
  </conditionalFormatting>
  <conditionalFormatting sqref="D7">
    <cfRule type="cellIs" dxfId="23" priority="2" stopIfTrue="1" operator="equal">
      <formula>"þ"</formula>
    </cfRule>
  </conditionalFormatting>
  <conditionalFormatting sqref="D6">
    <cfRule type="cellIs" dxfId="22" priority="1" stopIfTrue="1" operator="equal">
      <formula>"þ"</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30"/>
  <sheetViews>
    <sheetView showGridLines="0" zoomScaleNormal="100" workbookViewId="0"/>
  </sheetViews>
  <sheetFormatPr defaultColWidth="13" defaultRowHeight="15.6"/>
  <cols>
    <col min="1" max="1" width="30.8984375" style="35" bestFit="1" customWidth="1"/>
    <col min="2" max="2" width="8.59765625" style="35" customWidth="1"/>
    <col min="3" max="3" width="7.09765625" style="35" customWidth="1"/>
    <col min="4" max="4" width="8.19921875" style="35" customWidth="1"/>
    <col min="5" max="5" width="8.3984375" style="35" customWidth="1"/>
    <col min="6" max="6" width="8.3984375" style="35" bestFit="1" customWidth="1"/>
    <col min="7" max="7" width="7.8984375" style="35" bestFit="1" customWidth="1"/>
    <col min="8" max="10" width="5.59765625" style="35" customWidth="1"/>
    <col min="11" max="11" width="26.59765625" style="35" customWidth="1"/>
    <col min="12" max="12" width="2" style="22" customWidth="1"/>
    <col min="13" max="13" width="5.69921875" style="22" bestFit="1" customWidth="1"/>
    <col min="14" max="16384" width="13" style="22"/>
  </cols>
  <sheetData>
    <row r="1" spans="1:13" ht="23.4" thickBot="1">
      <c r="A1" s="21"/>
      <c r="B1" s="21"/>
      <c r="C1" s="21"/>
      <c r="D1" s="21"/>
      <c r="E1" s="21"/>
      <c r="F1" s="21"/>
      <c r="G1" s="21"/>
      <c r="H1" s="21"/>
      <c r="I1" s="21"/>
      <c r="J1" s="21"/>
      <c r="K1" s="21"/>
    </row>
    <row r="2" spans="1:13" ht="16.8" thickTop="1" thickBot="1">
      <c r="A2" s="23" t="s">
        <v>6</v>
      </c>
      <c r="B2" s="24" t="s">
        <v>7</v>
      </c>
      <c r="C2" s="24" t="s">
        <v>27</v>
      </c>
      <c r="D2" s="24" t="s">
        <v>28</v>
      </c>
      <c r="E2" s="25" t="s">
        <v>71</v>
      </c>
      <c r="F2" s="24" t="s">
        <v>26</v>
      </c>
      <c r="G2" s="24" t="s">
        <v>29</v>
      </c>
      <c r="H2" s="26" t="s">
        <v>159</v>
      </c>
      <c r="I2" s="27" t="s">
        <v>189</v>
      </c>
      <c r="J2" s="26" t="s">
        <v>88</v>
      </c>
      <c r="K2" s="28" t="s">
        <v>5</v>
      </c>
      <c r="M2" s="309" t="s">
        <v>233</v>
      </c>
    </row>
    <row r="3" spans="1:13">
      <c r="A3" s="445" t="s">
        <v>303</v>
      </c>
      <c r="B3" s="446" t="s">
        <v>350</v>
      </c>
      <c r="C3" s="455" t="str">
        <f>CONCATENATE("+",'Personal File'!$C$7*2," + 1")</f>
        <v>+10 + 1</v>
      </c>
      <c r="D3" s="447" t="s">
        <v>234</v>
      </c>
      <c r="E3" s="477" t="s">
        <v>321</v>
      </c>
      <c r="F3" s="448" t="s">
        <v>264</v>
      </c>
      <c r="G3" s="472">
        <v>16</v>
      </c>
      <c r="H3" s="473" t="str">
        <f>CONCATENATE("+",'Personal File'!$B$6+'Personal File'!$C$7+D3+1)</f>
        <v>+19</v>
      </c>
      <c r="I3" s="449">
        <f t="shared" ref="I3:I10" ca="1" si="0">RANDBETWEEN(1,20)</f>
        <v>1</v>
      </c>
      <c r="J3" s="450">
        <f t="shared" ref="J3:J10" ca="1" si="1">I3+RIGHT(H3,2)</f>
        <v>20</v>
      </c>
      <c r="K3" s="451" t="s">
        <v>263</v>
      </c>
      <c r="M3" s="452">
        <v>2050</v>
      </c>
    </row>
    <row r="4" spans="1:13">
      <c r="A4" s="426" t="s">
        <v>319</v>
      </c>
      <c r="B4" s="427" t="s">
        <v>350</v>
      </c>
      <c r="C4" s="456" t="str">
        <f>CONCATENATE("+",'Personal File'!$C$7*2," + 1")</f>
        <v>+10 + 1</v>
      </c>
      <c r="D4" s="428" t="s">
        <v>234</v>
      </c>
      <c r="E4" s="478" t="s">
        <v>321</v>
      </c>
      <c r="F4" s="430" t="s">
        <v>264</v>
      </c>
      <c r="G4" s="460"/>
      <c r="H4" s="459" t="str">
        <f>CONCATENATE("+",'Personal File'!$B$6+'Personal File'!$C$7+D4+1-5)</f>
        <v>+14</v>
      </c>
      <c r="I4" s="432">
        <f t="shared" ca="1" si="0"/>
        <v>10</v>
      </c>
      <c r="J4" s="433">
        <f t="shared" ca="1" si="1"/>
        <v>24</v>
      </c>
      <c r="K4" s="434"/>
      <c r="M4" s="453"/>
    </row>
    <row r="5" spans="1:13">
      <c r="A5" s="461" t="s">
        <v>253</v>
      </c>
      <c r="B5" s="462" t="s">
        <v>199</v>
      </c>
      <c r="C5" s="457" t="str">
        <f>CONCATENATE("+",'Personal File'!$C$7*2," - 1")</f>
        <v>+10 - 1</v>
      </c>
      <c r="D5" s="464" t="s">
        <v>234</v>
      </c>
      <c r="E5" s="465" t="s">
        <v>205</v>
      </c>
      <c r="F5" s="466" t="s">
        <v>206</v>
      </c>
      <c r="G5" s="467">
        <v>10</v>
      </c>
      <c r="H5" s="468" t="str">
        <f>CONCATENATE("+",'Personal File'!$B$6+'Personal File'!$C$7+D5)</f>
        <v>+18</v>
      </c>
      <c r="I5" s="469">
        <f t="shared" ca="1" si="0"/>
        <v>8</v>
      </c>
      <c r="J5" s="470">
        <f t="shared" ca="1" si="1"/>
        <v>26</v>
      </c>
      <c r="K5" s="471" t="s">
        <v>266</v>
      </c>
      <c r="M5" s="474">
        <v>405</v>
      </c>
    </row>
    <row r="6" spans="1:13">
      <c r="A6" s="426" t="s">
        <v>319</v>
      </c>
      <c r="B6" s="427" t="s">
        <v>199</v>
      </c>
      <c r="C6" s="456" t="str">
        <f>CONCATENATE("+",'Personal File'!$C$7*2," - 1")</f>
        <v>+10 - 1</v>
      </c>
      <c r="D6" s="428" t="s">
        <v>234</v>
      </c>
      <c r="E6" s="429" t="s">
        <v>205</v>
      </c>
      <c r="F6" s="430" t="s">
        <v>206</v>
      </c>
      <c r="G6" s="458"/>
      <c r="H6" s="431" t="str">
        <f>CONCATENATE("+",'Personal File'!$B$6+'Personal File'!$C$7+D6-5)</f>
        <v>+13</v>
      </c>
      <c r="I6" s="432">
        <f t="shared" ca="1" si="0"/>
        <v>20</v>
      </c>
      <c r="J6" s="433">
        <f t="shared" ca="1" si="1"/>
        <v>33</v>
      </c>
      <c r="K6" s="434"/>
      <c r="M6" s="453"/>
    </row>
    <row r="7" spans="1:13">
      <c r="A7" s="435" t="s">
        <v>227</v>
      </c>
      <c r="B7" s="436" t="s">
        <v>258</v>
      </c>
      <c r="C7" s="463" t="str">
        <f>CONCATENATE("+",'Personal File'!$C$7*2)</f>
        <v>+10</v>
      </c>
      <c r="D7" s="437">
        <v>0</v>
      </c>
      <c r="E7" s="438" t="s">
        <v>259</v>
      </c>
      <c r="F7" s="439" t="s">
        <v>260</v>
      </c>
      <c r="G7" s="440" t="s">
        <v>237</v>
      </c>
      <c r="H7" s="441" t="str">
        <f>CONCATENATE("+",'Personal File'!$B$6+'Personal File'!$C$7+D7)</f>
        <v>+17</v>
      </c>
      <c r="I7" s="442">
        <f t="shared" ca="1" si="0"/>
        <v>1</v>
      </c>
      <c r="J7" s="443">
        <f t="shared" ca="1" si="1"/>
        <v>18</v>
      </c>
      <c r="K7" s="444"/>
      <c r="M7" s="322">
        <v>0</v>
      </c>
    </row>
    <row r="8" spans="1:13">
      <c r="A8" s="426" t="s">
        <v>319</v>
      </c>
      <c r="B8" s="427" t="s">
        <v>258</v>
      </c>
      <c r="C8" s="456" t="str">
        <f>CONCATENATE("+",'Personal File'!$C$7*2)</f>
        <v>+10</v>
      </c>
      <c r="D8" s="428" t="s">
        <v>65</v>
      </c>
      <c r="E8" s="429" t="s">
        <v>259</v>
      </c>
      <c r="F8" s="430" t="s">
        <v>260</v>
      </c>
      <c r="G8" s="458"/>
      <c r="H8" s="431" t="str">
        <f>CONCATENATE("+",'Personal File'!$B$6+'Personal File'!$C$7+D8-5)</f>
        <v>+12</v>
      </c>
      <c r="I8" s="432">
        <f t="shared" ca="1" si="0"/>
        <v>5</v>
      </c>
      <c r="J8" s="433">
        <f t="shared" ca="1" si="1"/>
        <v>17</v>
      </c>
      <c r="K8" s="434"/>
      <c r="M8" s="453"/>
    </row>
    <row r="9" spans="1:13">
      <c r="A9" s="461" t="s">
        <v>335</v>
      </c>
      <c r="B9" s="462" t="s">
        <v>255</v>
      </c>
      <c r="C9" s="463" t="str">
        <f>'Personal File'!$C$7</f>
        <v>+5</v>
      </c>
      <c r="D9" s="428" t="s">
        <v>65</v>
      </c>
      <c r="E9" s="429" t="s">
        <v>256</v>
      </c>
      <c r="F9" s="430" t="s">
        <v>206</v>
      </c>
      <c r="G9" s="440">
        <v>20</v>
      </c>
      <c r="H9" s="431" t="str">
        <f>CONCATENATE("+",'Personal File'!$B$6+'Personal File'!$C$7+D9)</f>
        <v>+17</v>
      </c>
      <c r="I9" s="432">
        <f t="shared" ca="1" si="0"/>
        <v>19</v>
      </c>
      <c r="J9" s="433">
        <f t="shared" ref="J9" ca="1" si="2">I9+RIGHT(H9,2)</f>
        <v>36</v>
      </c>
      <c r="K9" s="502" t="s">
        <v>336</v>
      </c>
      <c r="M9" s="501"/>
    </row>
    <row r="10" spans="1:13" ht="16.2" thickBot="1">
      <c r="A10" s="304" t="s">
        <v>312</v>
      </c>
      <c r="B10" s="29" t="s">
        <v>271</v>
      </c>
      <c r="C10" s="30" t="s">
        <v>271</v>
      </c>
      <c r="D10" s="29">
        <v>0</v>
      </c>
      <c r="E10" s="31" t="s">
        <v>271</v>
      </c>
      <c r="F10" s="29" t="s">
        <v>271</v>
      </c>
      <c r="G10" s="32">
        <v>0</v>
      </c>
      <c r="H10" s="33" t="str">
        <f>CONCATENATE("+",'Personal File'!$B$6+'Personal File'!$C$7+D10)</f>
        <v>+17</v>
      </c>
      <c r="I10" s="421">
        <f t="shared" ca="1" si="0"/>
        <v>13</v>
      </c>
      <c r="J10" s="422">
        <f t="shared" ca="1" si="1"/>
        <v>30</v>
      </c>
      <c r="K10" s="34"/>
      <c r="M10" s="454"/>
    </row>
    <row r="11" spans="1:13" ht="16.8" thickTop="1" thickBot="1"/>
    <row r="12" spans="1:13" ht="16.8" thickTop="1" thickBot="1">
      <c r="A12" s="512" t="s">
        <v>9</v>
      </c>
      <c r="B12" s="513" t="s">
        <v>10</v>
      </c>
      <c r="C12" s="513" t="s">
        <v>27</v>
      </c>
      <c r="D12" s="513" t="s">
        <v>28</v>
      </c>
      <c r="E12" s="514" t="s">
        <v>71</v>
      </c>
      <c r="F12" s="513" t="s">
        <v>11</v>
      </c>
      <c r="G12" s="513" t="s">
        <v>29</v>
      </c>
      <c r="H12" s="515" t="s">
        <v>159</v>
      </c>
      <c r="I12" s="516" t="s">
        <v>189</v>
      </c>
      <c r="J12" s="515" t="s">
        <v>88</v>
      </c>
      <c r="K12" s="517" t="s">
        <v>5</v>
      </c>
      <c r="M12" s="309" t="s">
        <v>233</v>
      </c>
    </row>
    <row r="13" spans="1:13" ht="16.2" thickTop="1">
      <c r="A13" s="518" t="s">
        <v>320</v>
      </c>
      <c r="B13" s="519" t="s">
        <v>255</v>
      </c>
      <c r="C13" s="520" t="s">
        <v>65</v>
      </c>
      <c r="D13" s="520" t="s">
        <v>65</v>
      </c>
      <c r="E13" s="519" t="s">
        <v>256</v>
      </c>
      <c r="F13" s="521" t="s">
        <v>257</v>
      </c>
      <c r="G13" s="522">
        <f>2*RIGHT(A13,1)</f>
        <v>6</v>
      </c>
      <c r="H13" s="523" t="str">
        <f>CONCATENATE("+",'Personal File'!$B$6+'Personal File'!$C$8+D13)</f>
        <v>+13</v>
      </c>
      <c r="I13" s="524">
        <f ca="1">RANDBETWEEN(1,20)</f>
        <v>6</v>
      </c>
      <c r="J13" s="525">
        <f t="shared" ref="J13:J16" ca="1" si="3">I13+RIGHT(H13,2)</f>
        <v>19</v>
      </c>
      <c r="K13" s="526"/>
      <c r="M13" s="316" t="str">
        <f>RIGHT(A13,1)</f>
        <v>3</v>
      </c>
    </row>
    <row r="14" spans="1:13">
      <c r="A14" s="435" t="s">
        <v>345</v>
      </c>
      <c r="B14" s="436" t="s">
        <v>258</v>
      </c>
      <c r="C14" s="533" t="s">
        <v>343</v>
      </c>
      <c r="D14" s="534">
        <v>2</v>
      </c>
      <c r="E14" s="438" t="s">
        <v>259</v>
      </c>
      <c r="F14" s="535" t="s">
        <v>346</v>
      </c>
      <c r="G14" s="536">
        <v>3</v>
      </c>
      <c r="H14" s="536" t="str">
        <f>CONCATENATE("+",'Personal File'!$B$6+'Personal File'!$C$8+D14)</f>
        <v>+15</v>
      </c>
      <c r="I14" s="442">
        <f t="shared" ref="I14" ca="1" si="4">RANDBETWEEN(1,20)</f>
        <v>11</v>
      </c>
      <c r="J14" s="537">
        <f t="shared" ref="J14" ca="1" si="5">(I14+H14)</f>
        <v>26</v>
      </c>
      <c r="K14" s="538"/>
      <c r="M14" s="474"/>
    </row>
    <row r="15" spans="1:13">
      <c r="A15" s="426" t="s">
        <v>342</v>
      </c>
      <c r="B15" s="427" t="s">
        <v>258</v>
      </c>
      <c r="C15" s="539" t="s">
        <v>343</v>
      </c>
      <c r="D15" s="539">
        <v>2</v>
      </c>
      <c r="E15" s="541"/>
      <c r="F15" s="460"/>
      <c r="G15" s="458"/>
      <c r="H15" s="431" t="str">
        <f>CONCATENATE("+",'Personal File'!$B$6+'Personal File'!$C$8+D15-5)</f>
        <v>+10</v>
      </c>
      <c r="I15" s="432">
        <v>12</v>
      </c>
      <c r="J15" s="433">
        <v>19</v>
      </c>
      <c r="K15" s="540"/>
      <c r="M15" s="474"/>
    </row>
    <row r="16" spans="1:13" ht="16.2" thickBot="1">
      <c r="A16" s="527" t="s">
        <v>334</v>
      </c>
      <c r="B16" s="31" t="s">
        <v>255</v>
      </c>
      <c r="C16" s="528" t="s">
        <v>255</v>
      </c>
      <c r="D16" s="529" t="s">
        <v>234</v>
      </c>
      <c r="E16" s="530" t="s">
        <v>256</v>
      </c>
      <c r="F16" s="531" t="s">
        <v>257</v>
      </c>
      <c r="G16" s="532">
        <v>2</v>
      </c>
      <c r="H16" s="532" t="str">
        <f>CONCATENATE("+",'Personal File'!$B$6+'Personal File'!$C$8+D16)</f>
        <v>+14</v>
      </c>
      <c r="I16" s="421">
        <f ca="1">RANDBETWEEN(1,20)</f>
        <v>16</v>
      </c>
      <c r="J16" s="422">
        <f t="shared" ca="1" si="3"/>
        <v>30</v>
      </c>
      <c r="K16" s="542" t="s">
        <v>344</v>
      </c>
      <c r="M16" s="329" t="s">
        <v>333</v>
      </c>
    </row>
    <row r="17" spans="1:13" ht="16.8" thickTop="1" thickBot="1">
      <c r="D17" s="39"/>
      <c r="E17" s="39"/>
      <c r="G17" s="40"/>
      <c r="H17" s="40"/>
      <c r="I17" s="40"/>
      <c r="J17" s="40"/>
    </row>
    <row r="18" spans="1:13" ht="16.8" thickTop="1" thickBot="1">
      <c r="A18" s="23" t="s">
        <v>75</v>
      </c>
      <c r="B18" s="24" t="s">
        <v>20</v>
      </c>
      <c r="C18" s="24" t="s">
        <v>36</v>
      </c>
      <c r="D18" s="24" t="s">
        <v>88</v>
      </c>
      <c r="E18" s="24" t="s">
        <v>89</v>
      </c>
      <c r="F18" s="24" t="s">
        <v>90</v>
      </c>
      <c r="G18" s="24" t="s">
        <v>29</v>
      </c>
      <c r="H18" s="41" t="s">
        <v>5</v>
      </c>
      <c r="I18" s="42"/>
      <c r="J18" s="42"/>
      <c r="K18" s="43"/>
      <c r="M18" s="309" t="s">
        <v>233</v>
      </c>
    </row>
    <row r="19" spans="1:13">
      <c r="A19" s="302" t="s">
        <v>341</v>
      </c>
      <c r="B19" s="44">
        <v>9</v>
      </c>
      <c r="C19" s="510">
        <v>8</v>
      </c>
      <c r="D19" s="44">
        <v>-5</v>
      </c>
      <c r="E19" s="511">
        <v>0.35</v>
      </c>
      <c r="F19" s="44" t="s">
        <v>269</v>
      </c>
      <c r="G19" s="36">
        <v>50</v>
      </c>
      <c r="H19" s="45"/>
      <c r="I19" s="46"/>
      <c r="J19" s="46"/>
      <c r="K19" s="47"/>
      <c r="M19" s="316">
        <v>2500</v>
      </c>
    </row>
    <row r="20" spans="1:13" ht="16.2" thickBot="1">
      <c r="A20" s="303" t="s">
        <v>270</v>
      </c>
      <c r="B20" s="37">
        <v>3</v>
      </c>
      <c r="C20" s="37">
        <v>0</v>
      </c>
      <c r="D20" s="37">
        <v>0</v>
      </c>
      <c r="E20" s="48">
        <v>0.15</v>
      </c>
      <c r="F20" s="380" t="s">
        <v>271</v>
      </c>
      <c r="G20" s="38">
        <v>5</v>
      </c>
      <c r="H20" s="49"/>
      <c r="I20" s="50"/>
      <c r="J20" s="50"/>
      <c r="K20" s="51"/>
      <c r="M20" s="329">
        <v>9257</v>
      </c>
    </row>
    <row r="21" spans="1:13" ht="16.8" thickTop="1" thickBot="1"/>
    <row r="22" spans="1:13" ht="16.8" thickTop="1" thickBot="1">
      <c r="A22" s="52" t="s">
        <v>12</v>
      </c>
      <c r="B22" s="40">
        <f>SUM(G3:G24)</f>
        <v>112</v>
      </c>
      <c r="D22" s="53" t="s">
        <v>76</v>
      </c>
      <c r="E22" s="54"/>
      <c r="F22" s="41" t="s">
        <v>8</v>
      </c>
      <c r="G22" s="24" t="s">
        <v>29</v>
      </c>
      <c r="H22" s="26" t="s">
        <v>159</v>
      </c>
      <c r="I22" s="26"/>
      <c r="J22" s="42"/>
      <c r="K22" s="55" t="s">
        <v>5</v>
      </c>
      <c r="M22" s="309" t="s">
        <v>233</v>
      </c>
    </row>
    <row r="23" spans="1:13">
      <c r="A23" s="52"/>
      <c r="B23" s="40"/>
      <c r="D23" s="56"/>
      <c r="E23" s="57"/>
      <c r="F23" s="58"/>
      <c r="G23" s="59"/>
      <c r="H23" s="60"/>
      <c r="I23" s="60"/>
      <c r="J23" s="46"/>
      <c r="K23" s="61"/>
      <c r="M23" s="316"/>
    </row>
    <row r="24" spans="1:13" ht="16.2" thickBot="1">
      <c r="D24" s="62"/>
      <c r="E24" s="63"/>
      <c r="F24" s="64"/>
      <c r="G24" s="65"/>
      <c r="H24" s="66"/>
      <c r="I24" s="66"/>
      <c r="J24" s="67"/>
      <c r="K24" s="68"/>
      <c r="M24" s="329"/>
    </row>
    <row r="25" spans="1:13" ht="16.8" thickTop="1" thickBot="1"/>
    <row r="26" spans="1:13" ht="16.8" thickTop="1" thickBot="1">
      <c r="D26" s="53" t="s">
        <v>231</v>
      </c>
      <c r="E26" s="42"/>
      <c r="F26" s="42"/>
      <c r="G26" s="42"/>
      <c r="H26" s="307" t="s">
        <v>8</v>
      </c>
      <c r="I26" s="307" t="s">
        <v>4</v>
      </c>
      <c r="J26" s="307" t="s">
        <v>232</v>
      </c>
      <c r="K26" s="43" t="s">
        <v>86</v>
      </c>
      <c r="L26" s="308"/>
      <c r="M26" s="309" t="s">
        <v>233</v>
      </c>
    </row>
    <row r="27" spans="1:13">
      <c r="D27" s="310" t="s">
        <v>339</v>
      </c>
      <c r="E27" s="311"/>
      <c r="F27" s="311"/>
      <c r="G27" s="312"/>
      <c r="H27" s="313">
        <v>0</v>
      </c>
      <c r="I27" s="314">
        <v>2</v>
      </c>
      <c r="J27" s="314">
        <v>4</v>
      </c>
      <c r="K27" s="315"/>
      <c r="L27" s="308"/>
      <c r="M27" s="316"/>
    </row>
    <row r="28" spans="1:13">
      <c r="D28" s="317"/>
      <c r="E28" s="318"/>
      <c r="F28" s="318"/>
      <c r="G28" s="319"/>
      <c r="H28" s="320"/>
      <c r="I28" s="20"/>
      <c r="J28" s="20"/>
      <c r="K28" s="321"/>
      <c r="L28" s="308"/>
      <c r="M28" s="322"/>
    </row>
    <row r="29" spans="1:13" ht="16.2" thickBot="1">
      <c r="D29" s="323"/>
      <c r="E29" s="324"/>
      <c r="F29" s="324"/>
      <c r="G29" s="325"/>
      <c r="H29" s="326"/>
      <c r="I29" s="327"/>
      <c r="J29" s="327"/>
      <c r="K29" s="328"/>
      <c r="L29" s="308"/>
      <c r="M29" s="329"/>
    </row>
    <row r="30" spans="1:13" ht="16.2" thickTop="1"/>
  </sheetData>
  <phoneticPr fontId="0" type="noConversion"/>
  <conditionalFormatting sqref="I13 I15">
    <cfRule type="cellIs" dxfId="21" priority="19" operator="equal">
      <formula>20</formula>
    </cfRule>
    <cfRule type="cellIs" dxfId="20" priority="20" operator="equal">
      <formula>1</formula>
    </cfRule>
  </conditionalFormatting>
  <conditionalFormatting sqref="I16">
    <cfRule type="cellIs" dxfId="19" priority="17" operator="equal">
      <formula>20</formula>
    </cfRule>
    <cfRule type="cellIs" dxfId="18" priority="18" operator="equal">
      <formula>1</formula>
    </cfRule>
  </conditionalFormatting>
  <conditionalFormatting sqref="I7:I8">
    <cfRule type="cellIs" dxfId="17" priority="15" operator="equal">
      <formula>20</formula>
    </cfRule>
    <cfRule type="cellIs" dxfId="16" priority="16" operator="equal">
      <formula>1</formula>
    </cfRule>
  </conditionalFormatting>
  <conditionalFormatting sqref="I10">
    <cfRule type="cellIs" dxfId="15" priority="13" operator="equal">
      <formula>20</formula>
    </cfRule>
    <cfRule type="cellIs" dxfId="14" priority="14" operator="equal">
      <formula>1</formula>
    </cfRule>
  </conditionalFormatting>
  <conditionalFormatting sqref="I7:I8">
    <cfRule type="cellIs" dxfId="13" priority="11" operator="equal">
      <formula>20</formula>
    </cfRule>
    <cfRule type="cellIs" dxfId="12" priority="12" operator="equal">
      <formula>1</formula>
    </cfRule>
  </conditionalFormatting>
  <conditionalFormatting sqref="I5:I6">
    <cfRule type="cellIs" dxfId="11" priority="9" operator="equal">
      <formula>20</formula>
    </cfRule>
    <cfRule type="cellIs" dxfId="10" priority="10" operator="equal">
      <formula>1</formula>
    </cfRule>
  </conditionalFormatting>
  <conditionalFormatting sqref="I3:I4">
    <cfRule type="cellIs" dxfId="9" priority="7" operator="equal">
      <formula>20</formula>
    </cfRule>
    <cfRule type="cellIs" dxfId="8" priority="8" operator="equal">
      <formula>1</formula>
    </cfRule>
  </conditionalFormatting>
  <conditionalFormatting sqref="I9">
    <cfRule type="cellIs" dxfId="7" priority="5" operator="equal">
      <formula>20</formula>
    </cfRule>
    <cfRule type="cellIs" dxfId="6" priority="6" operator="equal">
      <formula>1</formula>
    </cfRule>
  </conditionalFormatting>
  <conditionalFormatting sqref="I9">
    <cfRule type="cellIs" dxfId="5" priority="3" operator="equal">
      <formula>20</formula>
    </cfRule>
    <cfRule type="cellIs" dxfId="4" priority="4" operator="equal">
      <formula>1</formula>
    </cfRule>
  </conditionalFormatting>
  <conditionalFormatting sqref="I14">
    <cfRule type="cellIs" dxfId="3" priority="1" operator="equal">
      <formula>20</formula>
    </cfRule>
    <cfRule type="cellIs" dxfId="2"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5"/>
  <sheetViews>
    <sheetView showGridLines="0" workbookViewId="0"/>
  </sheetViews>
  <sheetFormatPr defaultColWidth="13" defaultRowHeight="15.6"/>
  <cols>
    <col min="1" max="1" width="27" style="35" bestFit="1" customWidth="1"/>
    <col min="2" max="2" width="4.69921875" style="35" bestFit="1" customWidth="1"/>
    <col min="3" max="3" width="5.59765625" style="40" bestFit="1" customWidth="1"/>
    <col min="4" max="5" width="26.59765625" style="22" customWidth="1"/>
    <col min="6" max="6" width="2.69921875" style="22" customWidth="1"/>
    <col min="7" max="7" width="8.3984375" style="22" bestFit="1" customWidth="1"/>
    <col min="8" max="16384" width="13" style="22"/>
  </cols>
  <sheetData>
    <row r="1" spans="1:7" ht="23.4" thickBot="1">
      <c r="A1" s="21" t="s">
        <v>83</v>
      </c>
      <c r="B1" s="21"/>
      <c r="C1" s="69"/>
      <c r="D1" s="21"/>
      <c r="E1" s="21"/>
    </row>
    <row r="2" spans="1:7" s="35" customFormat="1" ht="16.8" thickTop="1" thickBot="1">
      <c r="A2" s="70" t="s">
        <v>84</v>
      </c>
      <c r="B2" s="70" t="s">
        <v>8</v>
      </c>
      <c r="C2" s="71" t="s">
        <v>29</v>
      </c>
      <c r="D2" s="72" t="s">
        <v>85</v>
      </c>
      <c r="E2" s="73" t="s">
        <v>86</v>
      </c>
      <c r="G2" s="330" t="s">
        <v>233</v>
      </c>
    </row>
    <row r="3" spans="1:7">
      <c r="A3" s="261" t="s">
        <v>226</v>
      </c>
      <c r="B3" s="546">
        <v>1</v>
      </c>
      <c r="C3" s="75">
        <v>0</v>
      </c>
      <c r="D3" s="76"/>
      <c r="E3" s="77"/>
      <c r="G3" s="331">
        <v>25</v>
      </c>
    </row>
    <row r="4" spans="1:7">
      <c r="A4" s="78" t="s">
        <v>188</v>
      </c>
      <c r="B4" s="544">
        <v>1</v>
      </c>
      <c r="C4" s="79" t="s">
        <v>198</v>
      </c>
      <c r="D4" s="76"/>
      <c r="E4" s="77"/>
      <c r="G4" s="331" t="s">
        <v>267</v>
      </c>
    </row>
    <row r="5" spans="1:7">
      <c r="A5" s="74" t="s">
        <v>186</v>
      </c>
      <c r="B5" s="543">
        <v>1</v>
      </c>
      <c r="C5" s="75">
        <v>0.5</v>
      </c>
      <c r="D5" s="80"/>
      <c r="E5" s="81"/>
      <c r="G5" s="378">
        <v>0.5</v>
      </c>
    </row>
    <row r="6" spans="1:7">
      <c r="A6" s="74" t="s">
        <v>230</v>
      </c>
      <c r="B6" s="543">
        <v>1</v>
      </c>
      <c r="C6" s="305">
        <v>0</v>
      </c>
      <c r="D6" s="379" t="s">
        <v>268</v>
      </c>
      <c r="E6" s="81"/>
      <c r="G6" s="331">
        <v>500</v>
      </c>
    </row>
    <row r="7" spans="1:7">
      <c r="A7" s="74" t="s">
        <v>348</v>
      </c>
      <c r="B7" s="543">
        <v>4</v>
      </c>
      <c r="C7" s="305">
        <v>0</v>
      </c>
      <c r="D7" s="80"/>
      <c r="E7" s="81"/>
      <c r="G7" s="331">
        <f>1000*B7</f>
        <v>4000</v>
      </c>
    </row>
    <row r="8" spans="1:7">
      <c r="A8" s="74" t="s">
        <v>332</v>
      </c>
      <c r="B8" s="543">
        <v>1</v>
      </c>
      <c r="C8" s="305">
        <v>1</v>
      </c>
      <c r="D8" s="80"/>
      <c r="E8" s="81"/>
      <c r="G8" s="331">
        <f>1000*RIGHT(A8,1)</f>
        <v>2000</v>
      </c>
    </row>
    <row r="9" spans="1:7">
      <c r="A9" s="74" t="s">
        <v>228</v>
      </c>
      <c r="B9" s="543">
        <v>1</v>
      </c>
      <c r="C9" s="305">
        <v>2</v>
      </c>
      <c r="D9" s="80"/>
      <c r="E9" s="81"/>
      <c r="G9" s="331">
        <v>4000</v>
      </c>
    </row>
    <row r="10" spans="1:7">
      <c r="A10" s="74" t="s">
        <v>347</v>
      </c>
      <c r="B10" s="543">
        <v>1</v>
      </c>
      <c r="C10" s="305">
        <v>0</v>
      </c>
      <c r="D10" s="80"/>
      <c r="E10" s="81"/>
      <c r="G10" s="331">
        <v>10000</v>
      </c>
    </row>
    <row r="11" spans="1:7" ht="16.2" thickBot="1">
      <c r="A11" s="374" t="s">
        <v>229</v>
      </c>
      <c r="B11" s="545">
        <v>1</v>
      </c>
      <c r="C11" s="252">
        <v>0</v>
      </c>
      <c r="D11" s="253"/>
      <c r="E11" s="254"/>
      <c r="G11" s="332">
        <v>4000</v>
      </c>
    </row>
    <row r="12" spans="1:7" ht="24" thickTop="1" thickBot="1">
      <c r="A12" s="21" t="s">
        <v>87</v>
      </c>
      <c r="B12" s="21"/>
      <c r="C12" s="255"/>
      <c r="D12" s="21"/>
      <c r="E12" s="256"/>
    </row>
    <row r="13" spans="1:7" ht="16.8" thickTop="1" thickBot="1">
      <c r="A13" s="70" t="s">
        <v>84</v>
      </c>
      <c r="B13" s="70" t="s">
        <v>8</v>
      </c>
      <c r="C13" s="71" t="s">
        <v>29</v>
      </c>
      <c r="D13" s="72" t="s">
        <v>85</v>
      </c>
      <c r="E13" s="73" t="s">
        <v>86</v>
      </c>
      <c r="G13" s="330" t="s">
        <v>233</v>
      </c>
    </row>
    <row r="14" spans="1:7">
      <c r="A14" s="78" t="s">
        <v>187</v>
      </c>
      <c r="B14" s="544"/>
      <c r="C14" s="75">
        <v>0</v>
      </c>
      <c r="D14" s="257"/>
      <c r="E14" s="77"/>
      <c r="G14" s="331">
        <v>0</v>
      </c>
    </row>
    <row r="15" spans="1:7" ht="16.2" thickBot="1">
      <c r="A15" s="374" t="s">
        <v>254</v>
      </c>
      <c r="B15" s="545"/>
      <c r="C15" s="252">
        <v>0</v>
      </c>
      <c r="D15" s="375" t="s">
        <v>272</v>
      </c>
      <c r="E15" s="254"/>
      <c r="G15" s="332">
        <v>50</v>
      </c>
    </row>
    <row r="16" spans="1:7" ht="24" thickTop="1" thickBot="1">
      <c r="A16" s="210"/>
      <c r="B16" s="210"/>
      <c r="D16" s="260" t="s">
        <v>235</v>
      </c>
      <c r="E16" s="256"/>
    </row>
    <row r="17" spans="1:7" ht="16.8" thickTop="1" thickBot="1">
      <c r="A17" s="70" t="s">
        <v>84</v>
      </c>
      <c r="B17" s="70" t="s">
        <v>8</v>
      </c>
      <c r="C17" s="71" t="s">
        <v>29</v>
      </c>
      <c r="D17" s="72" t="s">
        <v>85</v>
      </c>
      <c r="E17" s="73" t="s">
        <v>86</v>
      </c>
      <c r="G17" s="330" t="s">
        <v>233</v>
      </c>
    </row>
    <row r="18" spans="1:7">
      <c r="A18" s="261" t="s">
        <v>184</v>
      </c>
      <c r="B18" s="546"/>
      <c r="C18" s="262">
        <v>8</v>
      </c>
      <c r="D18" s="257"/>
      <c r="E18" s="77"/>
      <c r="G18" s="331">
        <v>0</v>
      </c>
    </row>
    <row r="19" spans="1:7">
      <c r="A19" s="78" t="s">
        <v>185</v>
      </c>
      <c r="B19" s="544"/>
      <c r="C19" s="75">
        <v>30</v>
      </c>
      <c r="D19" s="257"/>
      <c r="E19" s="77"/>
      <c r="G19" s="331">
        <v>0</v>
      </c>
    </row>
    <row r="20" spans="1:7">
      <c r="A20" s="74" t="s">
        <v>236</v>
      </c>
      <c r="B20" s="543"/>
      <c r="C20" s="75">
        <v>10</v>
      </c>
      <c r="D20" s="263"/>
      <c r="E20" s="77"/>
      <c r="G20" s="376"/>
    </row>
    <row r="21" spans="1:7" ht="16.2" thickBot="1">
      <c r="A21" s="258"/>
      <c r="B21" s="547"/>
      <c r="C21" s="252"/>
      <c r="D21" s="259"/>
      <c r="E21" s="254"/>
      <c r="G21" s="332"/>
    </row>
    <row r="22" spans="1:7" ht="23.4" thickTop="1">
      <c r="A22" s="210" t="s">
        <v>204</v>
      </c>
      <c r="B22" s="40">
        <f>SUM(C18:C21)</f>
        <v>48</v>
      </c>
      <c r="C22" s="22"/>
      <c r="D22" s="264"/>
      <c r="E22" s="256"/>
    </row>
    <row r="23" spans="1:7">
      <c r="E23" s="210" t="s">
        <v>265</v>
      </c>
      <c r="G23" s="377">
        <f>SUM(Martial!M3:M29,Equipment!G3:G21)</f>
        <v>38787.5</v>
      </c>
    </row>
    <row r="24" spans="1:7">
      <c r="A24" s="22"/>
      <c r="B24" s="22"/>
      <c r="E24" s="210" t="s">
        <v>273</v>
      </c>
      <c r="G24" s="377">
        <v>49000</v>
      </c>
    </row>
    <row r="25" spans="1:7">
      <c r="E25" s="210" t="s">
        <v>274</v>
      </c>
      <c r="G25" s="377">
        <f>G24-G23</f>
        <v>10212.5</v>
      </c>
    </row>
  </sheetData>
  <phoneticPr fontId="0" type="noConversion"/>
  <printOptions gridLinesSet="0"/>
  <pageMargins left="0.62" right="0.33" top="0.5" bottom="0.63" header="0.5" footer="0.5"/>
  <pageSetup orientation="portrait" horizontalDpi="120" verticalDpi="144"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ColWidth="13" defaultRowHeight="15.6"/>
  <cols>
    <col min="1" max="1" width="18.5" style="210" bestFit="1" customWidth="1"/>
    <col min="2" max="2" width="10.5" style="372" customWidth="1"/>
    <col min="3" max="3" width="5.8984375" style="372" customWidth="1"/>
    <col min="4" max="4" width="13.69921875" style="210" bestFit="1" customWidth="1"/>
    <col min="5" max="5" width="9.59765625" style="372" bestFit="1" customWidth="1"/>
    <col min="6" max="6" width="15.19921875" style="210" bestFit="1" customWidth="1"/>
    <col min="7" max="7" width="6.8984375" style="372" bestFit="1" customWidth="1"/>
    <col min="8" max="16384" width="13" style="308"/>
  </cols>
  <sheetData>
    <row r="1" spans="1:7" ht="29.4" thickTop="1" thickBot="1">
      <c r="A1" s="333" t="s">
        <v>304</v>
      </c>
      <c r="B1" s="334"/>
      <c r="C1" s="334"/>
      <c r="D1" s="335"/>
      <c r="E1" s="336"/>
      <c r="F1" s="337"/>
      <c r="G1" s="338" t="s">
        <v>250</v>
      </c>
    </row>
    <row r="2" spans="1:7" ht="17.399999999999999" thickTop="1">
      <c r="A2" s="222" t="s">
        <v>0</v>
      </c>
      <c r="B2" s="373" t="s">
        <v>252</v>
      </c>
      <c r="C2" s="339"/>
      <c r="D2" s="224" t="s">
        <v>1</v>
      </c>
      <c r="E2" s="225" t="s">
        <v>240</v>
      </c>
      <c r="F2" s="224" t="s">
        <v>241</v>
      </c>
      <c r="G2" s="340" t="s">
        <v>251</v>
      </c>
    </row>
    <row r="3" spans="1:7" ht="17.399999999999999" thickBot="1">
      <c r="A3" s="341" t="s">
        <v>242</v>
      </c>
      <c r="B3" s="342" t="s">
        <v>243</v>
      </c>
      <c r="C3" s="343"/>
      <c r="D3" s="344"/>
      <c r="E3" s="345"/>
      <c r="F3" s="344" t="s">
        <v>244</v>
      </c>
      <c r="G3" s="346" t="s">
        <v>135</v>
      </c>
    </row>
    <row r="4" spans="1:7" ht="17.399999999999999" thickTop="1">
      <c r="A4" s="231" t="s">
        <v>2</v>
      </c>
      <c r="B4" s="347">
        <v>19</v>
      </c>
      <c r="C4" s="348" t="str">
        <f t="shared" ref="C4:C9" si="0">IF(B4&gt;9.9,CONCATENATE("+",ROUNDDOWN((B4-10)/2,0)),ROUNDUP((B4-10)/2,0))</f>
        <v>+4</v>
      </c>
      <c r="D4" s="349" t="s">
        <v>17</v>
      </c>
      <c r="E4" s="350">
        <v>45</v>
      </c>
      <c r="F4" s="351">
        <v>45</v>
      </c>
      <c r="G4" s="352"/>
    </row>
    <row r="5" spans="1:7" ht="17.399999999999999" thickBot="1">
      <c r="A5" s="234" t="s">
        <v>3</v>
      </c>
      <c r="B5" s="353">
        <v>13</v>
      </c>
      <c r="C5" s="354" t="str">
        <f t="shared" si="0"/>
        <v>+1</v>
      </c>
      <c r="D5" s="355" t="s">
        <v>245</v>
      </c>
      <c r="E5" s="356">
        <v>10</v>
      </c>
      <c r="F5" s="357">
        <v>22</v>
      </c>
      <c r="G5" s="358"/>
    </row>
    <row r="6" spans="1:7" ht="17.399999999999999" thickTop="1">
      <c r="A6" s="238" t="s">
        <v>15</v>
      </c>
      <c r="B6" s="353">
        <v>17</v>
      </c>
      <c r="C6" s="354" t="str">
        <f t="shared" si="0"/>
        <v>+3</v>
      </c>
      <c r="D6" s="359" t="s">
        <v>246</v>
      </c>
      <c r="E6" s="360">
        <v>5</v>
      </c>
      <c r="F6" s="361"/>
      <c r="G6" s="358"/>
    </row>
    <row r="7" spans="1:7" ht="16.8">
      <c r="A7" s="362" t="s">
        <v>16</v>
      </c>
      <c r="B7" s="353">
        <v>6</v>
      </c>
      <c r="C7" s="354">
        <f t="shared" si="0"/>
        <v>-2</v>
      </c>
      <c r="D7" s="359" t="s">
        <v>247</v>
      </c>
      <c r="E7" s="363">
        <v>10</v>
      </c>
      <c r="F7" s="364"/>
      <c r="G7" s="358"/>
    </row>
    <row r="8" spans="1:7" ht="16.8">
      <c r="A8" s="243" t="s">
        <v>18</v>
      </c>
      <c r="B8" s="353">
        <v>11</v>
      </c>
      <c r="C8" s="365" t="str">
        <f t="shared" si="0"/>
        <v>+0</v>
      </c>
      <c r="D8" s="366" t="s">
        <v>248</v>
      </c>
      <c r="E8" s="363">
        <v>5</v>
      </c>
      <c r="F8" s="364"/>
      <c r="G8" s="358"/>
    </row>
    <row r="9" spans="1:7" ht="17.399999999999999" thickBot="1">
      <c r="A9" s="245" t="s">
        <v>14</v>
      </c>
      <c r="B9" s="367">
        <v>4</v>
      </c>
      <c r="C9" s="368">
        <f t="shared" si="0"/>
        <v>-3</v>
      </c>
      <c r="D9" s="369" t="s">
        <v>249</v>
      </c>
      <c r="E9" s="370">
        <v>4</v>
      </c>
      <c r="F9" s="364"/>
      <c r="G9" s="358"/>
    </row>
    <row r="10" spans="1:7" ht="17.399999999999999" thickTop="1">
      <c r="A10" s="222"/>
      <c r="B10" s="230"/>
      <c r="C10" s="230"/>
      <c r="D10" s="230"/>
      <c r="E10" s="227"/>
      <c r="F10" s="371"/>
      <c r="G10" s="358"/>
    </row>
    <row r="11" spans="1:7" ht="16.8">
      <c r="A11" s="248"/>
      <c r="B11" s="230"/>
      <c r="C11" s="230"/>
      <c r="D11" s="230"/>
      <c r="E11" s="227"/>
      <c r="F11" s="230"/>
      <c r="G11" s="227"/>
    </row>
    <row r="12" spans="1:7" ht="17.399999999999999" thickBot="1">
      <c r="A12" s="249"/>
      <c r="B12" s="250"/>
      <c r="C12" s="250"/>
      <c r="D12" s="250"/>
      <c r="E12" s="251"/>
      <c r="F12" s="250"/>
      <c r="G12" s="251"/>
    </row>
    <row r="13" spans="1:7" ht="16.2" thickTop="1"/>
  </sheetData>
  <conditionalFormatting sqref="F4">
    <cfRule type="cellIs" dxfId="1" priority="1" stopIfTrue="1" operator="greaterThan">
      <formula>$E$4/2</formula>
    </cfRule>
    <cfRule type="cellIs" dxfId="0" priority="2" stopIfTrue="1" operator="between">
      <formula>$E$4/3</formula>
      <formula>$E$4/2</formula>
    </cfRule>
  </conditionalFormatting>
  <printOptions gridLinesSet="0"/>
  <pageMargins left="0.62" right="0.33" top="0.5" bottom="0.63" header="0.5" footer="0.5"/>
  <pageSetup orientation="portrait" horizontalDpi="120" verticalDpi="144"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Personal File</vt:lpstr>
      <vt:lpstr>Skills</vt:lpstr>
      <vt:lpstr>Spells</vt:lpstr>
      <vt:lpstr>Feats</vt:lpstr>
      <vt:lpstr>Martial</vt:lpstr>
      <vt:lpstr>Equipment</vt:lpstr>
      <vt:lpstr>Mount</vt:lpstr>
      <vt:lpstr>Feats!OLE_LINK1</vt:lpstr>
      <vt:lpstr>Mount!Print_Area</vt:lpstr>
      <vt:lpstr>'Personal File'!Print_Area</vt:lpstr>
      <vt:lpstr>Skills!Print_Area</vt:lpstr>
      <vt:lpstr>Spells!Print_Area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Strongholds of Faerûn Character Sheet</dc:title>
  <dc:creator>© Alexis A. Álvarez 2007</dc:creator>
  <cp:lastModifiedBy>Alexis Álvarez</cp:lastModifiedBy>
  <cp:lastPrinted>2007-10-12T15:52:45Z</cp:lastPrinted>
  <dcterms:created xsi:type="dcterms:W3CDTF">2000-10-24T15:39:59Z</dcterms:created>
  <dcterms:modified xsi:type="dcterms:W3CDTF">2016-10-07T12:27:10Z</dcterms:modified>
</cp:coreProperties>
</file>