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8" yWindow="-12" windowWidth="10200" windowHeight="8736" tabRatio="638"/>
  </bookViews>
  <sheets>
    <sheet name="Personal File" sheetId="4" r:id="rId1"/>
    <sheet name="Skills" sheetId="15" r:id="rId2"/>
    <sheet name="Spells" sheetId="21" r:id="rId3"/>
    <sheet name="Feats" sheetId="20" r:id="rId4"/>
    <sheet name="Martial" sheetId="6" r:id="rId5"/>
    <sheet name="Equipment" sheetId="19" r:id="rId6"/>
    <sheet name="Mount" sheetId="22" r:id="rId7"/>
  </sheets>
  <definedNames>
    <definedName name="OLE_LINK1" localSheetId="3">Feats!$P$10</definedName>
    <definedName name="_xlnm.Print_Area" localSheetId="5">Equipment!#REF!</definedName>
    <definedName name="_xlnm.Print_Area" localSheetId="3">Feats!#REF!</definedName>
    <definedName name="_xlnm.Print_Area" localSheetId="4">Martial!#REF!</definedName>
    <definedName name="_xlnm.Print_Area" localSheetId="6">Mount!$A$1:$H$12</definedName>
    <definedName name="_xlnm.Print_Area" localSheetId="0">'Personal File'!$A$1:$H$12</definedName>
    <definedName name="_xlnm.Print_Area" localSheetId="1">Skills!$A$1:$K$29</definedName>
    <definedName name="_xlnm.Print_Area" localSheetId="2">Spells!$A$1:$I$14</definedName>
  </definedNames>
  <calcPr calcId="145621"/>
</workbook>
</file>

<file path=xl/calcChain.xml><?xml version="1.0" encoding="utf-8"?>
<calcChain xmlns="http://schemas.openxmlformats.org/spreadsheetml/2006/main">
  <c r="B9" i="4" l="1"/>
  <c r="B6" i="4" l="1"/>
  <c r="B8" i="4"/>
  <c r="F41" i="15" l="1"/>
  <c r="F35" i="15"/>
  <c r="F28" i="15"/>
  <c r="F23" i="15"/>
  <c r="F21" i="15"/>
  <c r="F9" i="15"/>
  <c r="F7" i="15"/>
  <c r="F16" i="15"/>
  <c r="I3" i="6" l="1"/>
  <c r="I4" i="6"/>
  <c r="G7" i="19" l="1"/>
  <c r="I14" i="6" l="1"/>
  <c r="F3" i="15" l="1"/>
  <c r="F4" i="15"/>
  <c r="B7" i="4" l="1"/>
  <c r="I9" i="6" l="1"/>
  <c r="I7" i="20" l="1"/>
  <c r="F5" i="15" l="1"/>
  <c r="G8" i="19"/>
  <c r="C7" i="20" l="1"/>
  <c r="C8" i="20"/>
  <c r="E54" i="15" l="1"/>
  <c r="H14" i="20" l="1"/>
  <c r="H15" i="20" s="1"/>
  <c r="H12" i="20"/>
  <c r="H13" i="20" s="1"/>
  <c r="H11" i="20"/>
  <c r="H10" i="20"/>
  <c r="I6" i="6" l="1"/>
  <c r="I5" i="6"/>
  <c r="I8" i="6" l="1"/>
  <c r="I7" i="6"/>
  <c r="B44" i="15" l="1"/>
  <c r="H25" i="15"/>
  <c r="B12" i="4" l="1"/>
  <c r="B11" i="4" l="1"/>
  <c r="G7" i="20" l="1"/>
  <c r="H7" i="20"/>
  <c r="J7" i="20"/>
  <c r="K7" i="20"/>
  <c r="L7" i="20"/>
  <c r="M7" i="20"/>
  <c r="N7" i="20"/>
  <c r="I10" i="6" l="1"/>
  <c r="M13" i="6" l="1"/>
  <c r="G23" i="19" l="1"/>
  <c r="G25" i="19" s="1"/>
  <c r="G13" i="6"/>
  <c r="C9" i="22"/>
  <c r="C8" i="22"/>
  <c r="C7" i="22"/>
  <c r="C6" i="22"/>
  <c r="C5" i="22"/>
  <c r="C4" i="22"/>
  <c r="E55" i="15" l="1"/>
  <c r="H31" i="15"/>
  <c r="H30" i="15"/>
  <c r="H29" i="15"/>
  <c r="H28" i="15"/>
  <c r="H27" i="15"/>
  <c r="H26" i="15"/>
  <c r="H24" i="15"/>
  <c r="H23" i="15"/>
  <c r="H22" i="15"/>
  <c r="H21" i="15"/>
  <c r="H20" i="15"/>
  <c r="H19" i="15"/>
  <c r="H18" i="15"/>
  <c r="H17" i="15"/>
  <c r="H16" i="15"/>
  <c r="H15" i="15"/>
  <c r="H14" i="15"/>
  <c r="H13" i="15"/>
  <c r="H12" i="15"/>
  <c r="H11" i="15"/>
  <c r="H10" i="15"/>
  <c r="H40" i="15"/>
  <c r="I16" i="6" l="1"/>
  <c r="I13" i="6"/>
  <c r="H43" i="15" l="1"/>
  <c r="H42" i="15"/>
  <c r="H41" i="15"/>
  <c r="H39" i="15"/>
  <c r="H38" i="15"/>
  <c r="H37" i="15"/>
  <c r="H36" i="15"/>
  <c r="H35" i="15"/>
  <c r="H34" i="15"/>
  <c r="H33" i="15"/>
  <c r="H32" i="15"/>
  <c r="H9" i="15"/>
  <c r="H8" i="15"/>
  <c r="H5" i="15"/>
  <c r="H4" i="15"/>
  <c r="H3" i="15"/>
  <c r="H7" i="15"/>
  <c r="H6" i="15"/>
  <c r="C12" i="4" l="1"/>
  <c r="C11" i="4"/>
  <c r="C10" i="4"/>
  <c r="C9" i="4"/>
  <c r="E9" i="4" s="1"/>
  <c r="C8" i="4"/>
  <c r="C7" i="4"/>
  <c r="E10" i="4" l="1"/>
  <c r="E12" i="4" s="1"/>
  <c r="E11" i="4" s="1"/>
  <c r="H15" i="6"/>
  <c r="H13" i="6"/>
  <c r="J13" i="6" s="1"/>
  <c r="H14" i="6"/>
  <c r="J14" i="6" s="1"/>
  <c r="H16" i="6"/>
  <c r="J16" i="6" s="1"/>
  <c r="C9" i="6"/>
  <c r="C8" i="6"/>
  <c r="H9" i="6"/>
  <c r="J9" i="6" s="1"/>
  <c r="H10" i="6"/>
  <c r="J10" i="6" s="1"/>
  <c r="H5" i="6"/>
  <c r="J5" i="6" s="1"/>
  <c r="H8" i="6"/>
  <c r="J8" i="6" s="1"/>
  <c r="H4" i="6"/>
  <c r="J4" i="6" s="1"/>
  <c r="H3" i="6"/>
  <c r="J3" i="6" s="1"/>
  <c r="H6" i="6"/>
  <c r="J6" i="6" s="1"/>
  <c r="H7" i="6"/>
  <c r="J7" i="6" s="1"/>
  <c r="C6" i="6"/>
  <c r="C4" i="6"/>
  <c r="C7" i="6"/>
  <c r="C5" i="6"/>
  <c r="C3" i="6"/>
  <c r="E53" i="15"/>
  <c r="D25" i="15"/>
  <c r="E45" i="15"/>
  <c r="C4" i="20"/>
  <c r="C5" i="20"/>
  <c r="C6" i="20"/>
  <c r="C3" i="20"/>
  <c r="D6" i="15"/>
  <c r="G6" i="15" s="1"/>
  <c r="E51" i="15"/>
  <c r="E47" i="15"/>
  <c r="E50" i="15"/>
  <c r="E46" i="15"/>
  <c r="E52" i="15"/>
  <c r="D26" i="15"/>
  <c r="E49" i="15"/>
  <c r="E48" i="15"/>
  <c r="D4" i="15"/>
  <c r="D5" i="15"/>
  <c r="D3" i="15"/>
  <c r="E8" i="4"/>
  <c r="D24" i="15"/>
  <c r="D37" i="15"/>
  <c r="D39" i="15"/>
  <c r="D36" i="15"/>
  <c r="B22" i="19"/>
  <c r="D31" i="15"/>
  <c r="D41" i="15"/>
  <c r="D38" i="15"/>
  <c r="D40" i="15"/>
  <c r="D33" i="15"/>
  <c r="D19"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G25" i="15" l="1"/>
  <c r="I25" i="15" s="1"/>
  <c r="E25" i="15"/>
  <c r="B22" i="6"/>
  <c r="E6" i="15"/>
  <c r="G26" i="15"/>
  <c r="I26" i="15" s="1"/>
  <c r="E26" i="15"/>
  <c r="E44" i="15"/>
  <c r="I6" i="15"/>
  <c r="E22" i="15"/>
  <c r="G22" i="15"/>
  <c r="E8" i="15"/>
  <c r="G8" i="15"/>
  <c r="E18" i="15"/>
  <c r="G18" i="15"/>
  <c r="E23" i="15"/>
  <c r="G23" i="15"/>
  <c r="E32" i="15"/>
  <c r="G32" i="15"/>
  <c r="E14" i="15"/>
  <c r="G14" i="15"/>
  <c r="E19" i="15"/>
  <c r="G19" i="15"/>
  <c r="E41" i="15"/>
  <c r="G41" i="15"/>
  <c r="E39" i="15"/>
  <c r="G39" i="15"/>
  <c r="E24" i="15"/>
  <c r="G24" i="15"/>
  <c r="E11" i="15"/>
  <c r="G11" i="15"/>
  <c r="E12" i="15"/>
  <c r="G12" i="15"/>
  <c r="E9" i="15"/>
  <c r="G9" i="15"/>
  <c r="E20" i="15"/>
  <c r="G20" i="15"/>
  <c r="E34" i="15"/>
  <c r="G34" i="15"/>
  <c r="E33" i="15"/>
  <c r="G33" i="15"/>
  <c r="E31" i="15"/>
  <c r="G31" i="15"/>
  <c r="E4" i="15"/>
  <c r="G4" i="15"/>
  <c r="E7" i="15"/>
  <c r="G7" i="15"/>
  <c r="E30" i="15"/>
  <c r="G30" i="15"/>
  <c r="E13" i="15"/>
  <c r="G13" i="15"/>
  <c r="E15" i="15"/>
  <c r="G15" i="15"/>
  <c r="E27" i="15"/>
  <c r="G27" i="15"/>
  <c r="E35" i="15"/>
  <c r="G35" i="15"/>
  <c r="E10" i="15"/>
  <c r="G10" i="15"/>
  <c r="E16" i="15"/>
  <c r="G16" i="15"/>
  <c r="E21" i="15"/>
  <c r="G21" i="15"/>
  <c r="E28" i="15"/>
  <c r="G28" i="15"/>
  <c r="E43" i="15"/>
  <c r="G43" i="15"/>
  <c r="E29" i="15"/>
  <c r="G29" i="15"/>
  <c r="E40" i="15"/>
  <c r="G40" i="15"/>
  <c r="E37" i="15"/>
  <c r="G37" i="15"/>
  <c r="E17" i="15"/>
  <c r="G17" i="15"/>
  <c r="E42" i="15"/>
  <c r="G42" i="15"/>
  <c r="E38" i="15"/>
  <c r="G38" i="15"/>
  <c r="E36" i="15"/>
  <c r="G36" i="15"/>
  <c r="E3" i="15"/>
  <c r="G3" i="15"/>
  <c r="E5" i="15"/>
  <c r="G5" i="15"/>
  <c r="I3" i="15" l="1"/>
  <c r="I28" i="15"/>
  <c r="I16" i="15"/>
  <c r="I15" i="15"/>
  <c r="I30" i="15"/>
  <c r="I38" i="15"/>
  <c r="I17" i="15"/>
  <c r="I40" i="15"/>
  <c r="I43" i="15"/>
  <c r="I21" i="15"/>
  <c r="I10" i="15"/>
  <c r="I27" i="15"/>
  <c r="I13" i="15"/>
  <c r="I7" i="15"/>
  <c r="I31" i="15"/>
  <c r="I34" i="15"/>
  <c r="I9" i="15"/>
  <c r="I11" i="15"/>
  <c r="I39" i="15"/>
  <c r="I19" i="15"/>
  <c r="I32" i="15"/>
  <c r="I36" i="15"/>
  <c r="I37" i="15"/>
  <c r="I29" i="15"/>
  <c r="I35" i="15"/>
  <c r="I4" i="15"/>
  <c r="I33" i="15"/>
  <c r="I20" i="15"/>
  <c r="I12" i="15"/>
  <c r="I24" i="15"/>
  <c r="I41" i="15"/>
  <c r="I14" i="15"/>
  <c r="I23" i="15"/>
  <c r="I5" i="15"/>
  <c r="I42" i="15"/>
  <c r="I8" i="15"/>
  <c r="I18" i="15"/>
  <c r="I22"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bless +1
shaken -2
inspired greatness +2
enlarge person -1</t>
        </r>
      </text>
    </comment>
    <comment ref="B7" authorId="0">
      <text>
        <r>
          <rPr>
            <i/>
            <sz val="12"/>
            <color indexed="81"/>
            <rFont val="Times New Roman"/>
            <family val="1"/>
          </rPr>
          <t>bull’s strength +4
enlarge person +2</t>
        </r>
      </text>
    </comment>
    <comment ref="E7" authorId="0">
      <text>
        <r>
          <rPr>
            <sz val="12"/>
            <color indexed="81"/>
            <rFont val="Times New Roman"/>
            <family val="1"/>
          </rPr>
          <t>See PHB 162</t>
        </r>
      </text>
    </comment>
    <comment ref="B8" authorId="0">
      <text>
        <r>
          <rPr>
            <sz val="12"/>
            <color indexed="81"/>
            <rFont val="Times New Roman"/>
            <family val="1"/>
          </rPr>
          <t xml:space="preserve">Gloves of Dexterity +2
</t>
        </r>
        <r>
          <rPr>
            <i/>
            <sz val="12"/>
            <color indexed="81"/>
            <rFont val="Times New Roman"/>
            <family val="1"/>
          </rPr>
          <t>enlarge person -2</t>
        </r>
      </text>
    </comment>
    <comment ref="B9" authorId="0">
      <text>
        <r>
          <rPr>
            <i/>
            <sz val="12"/>
            <color indexed="81"/>
            <rFont val="Times New Roman"/>
            <family val="1"/>
          </rPr>
          <t>cloudkill -2</t>
        </r>
      </text>
    </comment>
    <comment ref="E9" authorId="0">
      <text>
        <r>
          <rPr>
            <sz val="12"/>
            <color indexed="81"/>
            <rFont val="Times New Roman"/>
            <family val="1"/>
          </rPr>
          <t>[(5 * 10 Paladin) * 75%] + [(5 * 10 Pious Templar) * 75%] + (10 * 2 Con) + 10 Improved Toughness</t>
        </r>
      </text>
    </comment>
    <comment ref="E10" authorId="0">
      <text>
        <r>
          <rPr>
            <sz val="12"/>
            <color indexed="81"/>
            <rFont val="Times New Roman"/>
            <family val="1"/>
          </rPr>
          <t>Protection from Evil +2</t>
        </r>
      </text>
    </comment>
    <comment ref="E11" authorId="0">
      <text>
        <r>
          <rPr>
            <sz val="12"/>
            <color indexed="81"/>
            <rFont val="Times New Roman"/>
            <family val="1"/>
          </rPr>
          <t>Protection from Evil +2</t>
        </r>
      </text>
    </comment>
    <comment ref="B12" authorId="0">
      <text>
        <r>
          <rPr>
            <sz val="12"/>
            <color indexed="81"/>
            <rFont val="Times New Roman"/>
            <family val="1"/>
          </rPr>
          <t>Cloak of Charisma +2</t>
        </r>
      </text>
    </comment>
    <comment ref="E12" authorId="0">
      <text>
        <r>
          <rPr>
            <sz val="12"/>
            <color indexed="81"/>
            <rFont val="Times New Roman"/>
            <family val="1"/>
          </rPr>
          <t>Protection from Evil +2</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inspired greatness +1
vest of resistance +2</t>
        </r>
      </text>
    </comment>
    <comment ref="F4" authorId="0">
      <text>
        <r>
          <rPr>
            <i/>
            <sz val="12"/>
            <color indexed="81"/>
            <rFont val="Times New Roman"/>
            <family val="1"/>
          </rPr>
          <t>vest of resistance +2
nightshield +3
haste +1</t>
        </r>
      </text>
    </comment>
    <comment ref="F5" authorId="0">
      <text>
        <r>
          <rPr>
            <i/>
            <sz val="12"/>
            <color indexed="81"/>
            <rFont val="Times New Roman"/>
            <family val="1"/>
          </rPr>
          <t>vest of resistance +2</t>
        </r>
      </text>
    </comment>
    <comment ref="F7" authorId="0">
      <text>
        <r>
          <rPr>
            <sz val="12"/>
            <color indexed="81"/>
            <rFont val="Times New Roman"/>
            <family val="1"/>
          </rPr>
          <t>Full Plate +1 (-5)</t>
        </r>
      </text>
    </comment>
    <comment ref="F9" authorId="0">
      <text>
        <r>
          <rPr>
            <sz val="12"/>
            <color indexed="81"/>
            <rFont val="Times New Roman"/>
            <family val="1"/>
          </rPr>
          <t>Full Plate +1 (-5)</t>
        </r>
      </text>
    </comment>
    <comment ref="F16" authorId="0">
      <text>
        <r>
          <rPr>
            <sz val="12"/>
            <color indexed="81"/>
            <rFont val="Times New Roman"/>
            <family val="1"/>
          </rPr>
          <t>Full Plate +1 (-5)</t>
        </r>
      </text>
    </comment>
    <comment ref="F21" authorId="0">
      <text>
        <r>
          <rPr>
            <sz val="12"/>
            <color indexed="81"/>
            <rFont val="Times New Roman"/>
            <family val="1"/>
          </rPr>
          <t>Full Plate +1 (-5)</t>
        </r>
      </text>
    </comment>
    <comment ref="F23" authorId="0">
      <text>
        <r>
          <rPr>
            <sz val="12"/>
            <color indexed="81"/>
            <rFont val="Times New Roman"/>
            <family val="1"/>
          </rPr>
          <t>Full Plate +1 (-5)</t>
        </r>
      </text>
    </comment>
    <comment ref="F28" authorId="0">
      <text>
        <r>
          <rPr>
            <sz val="12"/>
            <color indexed="81"/>
            <rFont val="Times New Roman"/>
            <family val="1"/>
          </rPr>
          <t>Full Plate +1 (-5)</t>
        </r>
      </text>
    </comment>
    <comment ref="F35" authorId="0">
      <text>
        <r>
          <rPr>
            <sz val="12"/>
            <color indexed="81"/>
            <rFont val="Times New Roman"/>
            <family val="1"/>
          </rPr>
          <t>Full Plate +1 (-5)</t>
        </r>
      </text>
    </comment>
    <comment ref="F41" authorId="0">
      <text>
        <r>
          <rPr>
            <sz val="12"/>
            <color indexed="81"/>
            <rFont val="Times New Roman"/>
            <family val="1"/>
          </rPr>
          <t>Full Plate +1 (-5)</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Pure Water</t>
        </r>
      </text>
    </comment>
    <comment ref="D11" authorId="0">
      <text>
        <r>
          <rPr>
            <sz val="12"/>
            <color indexed="81"/>
            <rFont val="Times New Roman"/>
            <family val="1"/>
          </rPr>
          <t>Earth from grave</t>
        </r>
      </text>
    </comment>
    <comment ref="D15" authorId="0">
      <text>
        <r>
          <rPr>
            <sz val="12"/>
            <color indexed="81"/>
            <rFont val="Times New Roman"/>
            <family val="1"/>
          </rPr>
          <t>Imbued weapon</t>
        </r>
      </text>
    </comment>
    <comment ref="D18" authorId="0">
      <text>
        <r>
          <rPr>
            <sz val="12"/>
            <color indexed="81"/>
            <rFont val="Times New Roman"/>
            <family val="1"/>
          </rPr>
          <t>Prism, lens, or monocle</t>
        </r>
      </text>
    </comment>
    <comment ref="H22" authorId="0">
      <text>
        <r>
          <rPr>
            <sz val="12"/>
            <color indexed="81"/>
            <rFont val="Times New Roman"/>
            <family val="1"/>
          </rPr>
          <t>See Righteous Fury in Miniatures Handbook</t>
        </r>
      </text>
    </comment>
    <comment ref="D25" authorId="0">
      <text>
        <r>
          <rPr>
            <sz val="12"/>
            <color indexed="81"/>
            <rFont val="Times New Roman"/>
            <family val="1"/>
          </rPr>
          <t>Bull-shit or bull-hair</t>
        </r>
      </text>
    </comment>
  </commentList>
</comments>
</file>

<file path=xl/comments4.xml><?xml version="1.0" encoding="utf-8"?>
<comments xmlns="http://schemas.openxmlformats.org/spreadsheetml/2006/main">
  <authors>
    <author>Alexis Álvarez</author>
  </authors>
  <commentList>
    <comment ref="P2"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P3" authorId="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P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P5" authorId="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P6" authorId="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P9" authorId="0">
      <text>
        <r>
          <rPr>
            <sz val="12"/>
            <color indexed="81"/>
            <rFont val="Times New Roman"/>
            <family val="1"/>
          </rPr>
          <t>The power of a paladin’s aura of evil (see the detect evil spell) is equal to her paladin level, just like the aura of a cleric of an evil deity.
PHB 44</t>
        </r>
      </text>
    </comment>
    <comment ref="P10" authorId="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P11" authorId="0">
      <text>
        <r>
          <rPr>
            <sz val="12"/>
            <color indexed="81"/>
            <rFont val="Times New Roman"/>
            <family val="1"/>
          </rPr>
          <t>A paladin must be of lawful good alignment and loses all class abilities if she ever willingly commits an evil act. Additionally, a paladin’s code requires that she respect legitimate authority, act with honor (not lying, not cheating, not using poison, and so forth), help those in need (provided they do not use the help for evil or chaotic ends), and punish those who harm or threaten innocents.
PHB 44</t>
        </r>
      </text>
    </comment>
    <comment ref="P12" authorId="0">
      <text>
        <r>
          <rPr>
            <sz val="12"/>
            <color indexed="81"/>
            <rFont val="Times New Roman"/>
            <family val="1"/>
          </rPr>
          <t>At will, a paladin can use detect good, as the spell.
PHB 44</t>
        </r>
      </text>
    </comment>
    <comment ref="H13" authorId="0">
      <text>
        <r>
          <rPr>
            <sz val="12"/>
            <color indexed="81"/>
            <rFont val="Times New Roman"/>
            <family val="1"/>
          </rPr>
          <t>Know: Religion synergy +2</t>
        </r>
      </text>
    </comment>
    <comment ref="P13" authorId="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P14" authorId="0">
      <text>
        <r>
          <rPr>
            <sz val="12"/>
            <color indexed="81"/>
            <rFont val="Times New Roman"/>
            <family val="1"/>
          </rPr>
          <t>At 2nd level, a paladin gains a bonus equal to her Charisma bonus (if any) on all saving throws.
PHB 44</t>
        </r>
      </text>
    </comment>
    <comment ref="P15" authorId="0">
      <text>
        <r>
          <rPr>
            <sz val="12"/>
            <color indexed="81"/>
            <rFont val="Times New Roman"/>
            <family val="1"/>
          </rPr>
          <t>At 3rd level, a paladin gains immunity to all diseases, including supernatural and magical diseases (such as mummy rot and lycanthropy).
PHB 44</t>
        </r>
      </text>
    </comment>
    <comment ref="P16" authorId="0">
      <text>
        <r>
          <rPr>
            <sz val="12"/>
            <color indexed="81"/>
            <rFont val="Times New Roman"/>
            <family val="1"/>
          </rPr>
          <t>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P18" authorId="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P19" authorId="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P22"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P23" authorId="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P24"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P25" authorId="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P26"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5.xml><?xml version="1.0" encoding="utf-8"?>
<comments xmlns="http://schemas.openxmlformats.org/spreadsheetml/2006/main">
  <authors>
    <author>Alexis Álvarez</author>
  </authors>
  <commentList>
    <comment ref="B3" authorId="0">
      <text>
        <r>
          <rPr>
            <sz val="12"/>
            <color indexed="81"/>
            <rFont val="Times New Roman"/>
            <family val="1"/>
          </rPr>
          <t>Weapon Specialization +2 dmg</t>
        </r>
      </text>
    </comment>
    <comment ref="E3" authorId="0">
      <text>
        <r>
          <rPr>
            <sz val="12"/>
            <color indexed="81"/>
            <rFont val="Times New Roman"/>
            <family val="1"/>
          </rPr>
          <t>Improved Critical</t>
        </r>
      </text>
    </comment>
    <comment ref="B4" authorId="0">
      <text>
        <r>
          <rPr>
            <sz val="12"/>
            <color indexed="81"/>
            <rFont val="Times New Roman"/>
            <family val="1"/>
          </rPr>
          <t>Weapon Specialization +2 dmg</t>
        </r>
      </text>
    </comment>
    <comment ref="E4" authorId="0">
      <text>
        <r>
          <rPr>
            <sz val="12"/>
            <color indexed="81"/>
            <rFont val="Times New Roman"/>
            <family val="1"/>
          </rPr>
          <t>Improved Critical</t>
        </r>
      </text>
    </comment>
    <comment ref="D18" authorId="0">
      <text>
        <r>
          <rPr>
            <sz val="12"/>
            <color indexed="81"/>
            <rFont val="Times New Roman"/>
            <family val="1"/>
          </rPr>
          <t>Balance, Climb, Escape Artist, Hide, Jump, Move Silently, Sleight of Hand, Tumble.</t>
        </r>
      </text>
    </comment>
    <comment ref="A20" authorId="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List>
</comments>
</file>

<file path=xl/comments6.xml><?xml version="1.0" encoding="utf-8"?>
<comments xmlns="http://schemas.openxmlformats.org/spreadsheetml/2006/main">
  <authors>
    <author>Alexis Álvarez</author>
  </authors>
  <commentList>
    <comment ref="A6" authorId="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7" authorId="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9" authorId="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0" authorId="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 ref="A11" authorId="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List>
</comments>
</file>

<file path=xl/sharedStrings.xml><?xml version="1.0" encoding="utf-8"?>
<sst xmlns="http://schemas.openxmlformats.org/spreadsheetml/2006/main" count="633" uniqueCount="352">
  <si>
    <t>Race:</t>
  </si>
  <si>
    <t>Sex:</t>
  </si>
  <si>
    <t>Strength:</t>
  </si>
  <si>
    <t>Dexterity:</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</si>
  <si>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</si>
  <si>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</si>
  <si>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</si>
  <si>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</si>
  <si>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</si>
  <si>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</si>
  <si>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</si>
  <si>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</si>
  <si>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</si>
  <si>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</si>
  <si>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</si>
  <si>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</si>
  <si>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</si>
  <si>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</si>
  <si>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</si>
  <si>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</si>
  <si>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</si>
  <si>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</si>
  <si>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</si>
  <si>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</si>
  <si>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</si>
  <si>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</si>
  <si>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</si>
  <si>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</si>
  <si>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</si>
  <si>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</si>
  <si>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</si>
  <si>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</si>
  <si>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</si>
  <si>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</si>
  <si>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</si>
  <si>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</si>
  <si>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</si>
  <si>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</si>
  <si>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</si>
  <si>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</si>
  <si>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</si>
  <si>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</si>
  <si>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</si>
  <si>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</si>
  <si>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</si>
  <si>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</si>
  <si>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</si>
  <si>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</si>
  <si>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</si>
  <si>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</si>
  <si>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</si>
  <si>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</si>
  <si>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</si>
  <si>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</si>
  <si>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</si>
  <si>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</si>
  <si>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</si>
  <si>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</si>
  <si>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</si>
  <si>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</si>
  <si>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</si>
  <si>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</si>
  <si>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</si>
  <si>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</si>
  <si>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</si>
  <si>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</si>
  <si>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</si>
  <si>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</si>
  <si>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</si>
  <si>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</si>
  <si>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</si>
  <si>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</si>
  <si>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</si>
  <si>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</si>
  <si>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</si>
  <si>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</si>
  <si>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</si>
  <si>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</si>
  <si>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</si>
  <si>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Spell</t>
  </si>
  <si>
    <t>Cast?</t>
  </si>
  <si>
    <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</si>
  <si>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</si>
  <si>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</si>
  <si>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</si>
  <si>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</si>
  <si>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</si>
  <si>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</si>
  <si>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</si>
  <si>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</si>
  <si>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</si>
  <si>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</si>
  <si>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</si>
  <si>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</si>
  <si>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</si>
  <si>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</si>
  <si>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</si>
  <si>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</si>
  <si>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Touch AC:</t>
  </si>
  <si>
    <t>Attack Bonus:</t>
  </si>
  <si>
    <t>Prepared Spells</t>
  </si>
  <si>
    <t>Divine Health</t>
  </si>
  <si>
    <t>General Feats</t>
  </si>
  <si>
    <t>DC</t>
  </si>
  <si>
    <t>Weapon Proficiencies</t>
  </si>
  <si>
    <t>School</t>
  </si>
  <si>
    <t>Components</t>
  </si>
  <si>
    <t>Casting</t>
  </si>
  <si>
    <t>Range</t>
  </si>
  <si>
    <t>Duration</t>
  </si>
  <si>
    <t>Create Water</t>
  </si>
  <si>
    <t>Conjuration</t>
  </si>
  <si>
    <t>V S</t>
  </si>
  <si>
    <t>1 SA</t>
  </si>
  <si>
    <t>25’ + 2½’/lvl</t>
  </si>
  <si>
    <t>Instant</t>
  </si>
  <si>
    <t>2 gallons/level</t>
  </si>
  <si>
    <t>Universal</t>
  </si>
  <si>
    <t>Touch</t>
  </si>
  <si>
    <t>1 min/lvl</t>
  </si>
  <si>
    <t>Detect Poison</t>
  </si>
  <si>
    <t>Divination</t>
  </si>
  <si>
    <t>1 minute</t>
  </si>
  <si>
    <t>Evocation</t>
  </si>
  <si>
    <t>10 min/lvl</t>
  </si>
  <si>
    <t>Read Magic</t>
  </si>
  <si>
    <t>V S F</t>
  </si>
  <si>
    <t>Personal</t>
  </si>
  <si>
    <t>Resistance</t>
  </si>
  <si>
    <t>Abjuration</t>
  </si>
  <si>
    <t>V S M/DF</t>
  </si>
  <si>
    <t>+1 all saves</t>
  </si>
  <si>
    <t>Virtue</t>
  </si>
  <si>
    <t>V S DF</t>
  </si>
  <si>
    <t>+1 HP to target</t>
  </si>
  <si>
    <t>50’</t>
  </si>
  <si>
    <t>+/-1 Att. &amp; vs Fear</t>
  </si>
  <si>
    <t>V S M</t>
  </si>
  <si>
    <t>1 liter</t>
  </si>
  <si>
    <t>Command</t>
  </si>
  <si>
    <t>V</t>
  </si>
  <si>
    <t>1 round</t>
  </si>
  <si>
    <t>Single word command, PHB 211</t>
  </si>
  <si>
    <t>Cure Light Wounds</t>
  </si>
  <si>
    <t>1d8 + 5 HP</t>
  </si>
  <si>
    <t>Divine Favor</t>
  </si>
  <si>
    <t>+1 Luck bonus / 3 levels</t>
  </si>
  <si>
    <t>Endure Elements</t>
  </si>
  <si>
    <t>24 hours</t>
  </si>
  <si>
    <t>Element (5)</t>
  </si>
  <si>
    <t>Magic Weapon</t>
  </si>
  <si>
    <t>V S F/DF</t>
  </si>
  <si>
    <t>+1 enhancement</t>
  </si>
  <si>
    <t>Detect Undead</t>
  </si>
  <si>
    <t>PHB 205</t>
  </si>
  <si>
    <t>PHB 220</t>
  </si>
  <si>
    <t>PHB 219</t>
  </si>
  <si>
    <t>PHB 266</t>
  </si>
  <si>
    <t>PHB 269</t>
  </si>
  <si>
    <t>Atk</t>
  </si>
  <si>
    <t>Conduit of Life</t>
  </si>
  <si>
    <t>Complete Champion 118</t>
  </si>
  <si>
    <t>Divine Presence</t>
  </si>
  <si>
    <t>Complete Champion 119</t>
  </si>
  <si>
    <t>Master Cavalier</t>
  </si>
  <si>
    <t>1 rnd/lvl</t>
  </si>
  <si>
    <t>Complete Champion 125</t>
  </si>
  <si>
    <t>Summon Holy Symbol</t>
  </si>
  <si>
    <t>Complete Champion 128</t>
  </si>
  <si>
    <t>Touch of Restoration</t>
  </si>
  <si>
    <t>Complete Champion 129</t>
  </si>
  <si>
    <t>Turn Anathema</t>
  </si>
  <si>
    <t>10 minutes</t>
  </si>
  <si>
    <t>War Mount</t>
  </si>
  <si>
    <t>Benediction</t>
  </si>
  <si>
    <t>1 FR</t>
  </si>
  <si>
    <t>Complete Champion 116</t>
  </si>
  <si>
    <t>Lesser Restoration</t>
  </si>
  <si>
    <t>Restores attribute pts.</t>
  </si>
  <si>
    <t>2</t>
  </si>
  <si>
    <t>Female</t>
  </si>
  <si>
    <t>Special Mount</t>
  </si>
  <si>
    <t>Divine Sacrifice</t>
  </si>
  <si>
    <t>Complete Divine 163</t>
  </si>
  <si>
    <t>Saddlebags</t>
  </si>
  <si>
    <t>Military Saddle</t>
  </si>
  <si>
    <t>Belt Pouch</t>
  </si>
  <si>
    <t>Whetstone</t>
  </si>
  <si>
    <t>Traveler’s outfit</t>
  </si>
  <si>
    <t>Roll</t>
  </si>
  <si>
    <t>Paladin 1</t>
  </si>
  <si>
    <t>Bane</t>
  </si>
  <si>
    <t>Curse Water</t>
  </si>
  <si>
    <t>Curse Weapon</t>
  </si>
  <si>
    <t>Prot. fr. Chaos</t>
  </si>
  <si>
    <t>All Armor and Shields (not tower)</t>
  </si>
  <si>
    <t>Simple and Martial Weapons</t>
  </si>
  <si>
    <t>30’ (20’)</t>
  </si>
  <si>
    <t>five</t>
  </si>
  <si>
    <t>1d10</t>
  </si>
  <si>
    <t>Divine Grace</t>
  </si>
  <si>
    <t>Move:</t>
  </si>
  <si>
    <t>Paladin 2</t>
  </si>
  <si>
    <t>Spells Granted</t>
  </si>
  <si>
    <t>Mount Encumbrance:</t>
  </si>
  <si>
    <t>19-20/x2</t>
  </si>
  <si>
    <t>Bludgeon</t>
  </si>
  <si>
    <t>Faith</t>
  </si>
  <si>
    <t>Paladin</t>
  </si>
  <si>
    <t>Lawful Good</t>
  </si>
  <si>
    <t>Victoria Greystone</t>
  </si>
  <si>
    <t>Pious Templar</t>
  </si>
  <si>
    <t>FF AC: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</si>
  <si>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</si>
  <si>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Paladin 3</t>
  </si>
  <si>
    <t>Paladin 4</t>
  </si>
  <si>
    <t>Paladin 5</t>
  </si>
  <si>
    <t>Pious Templar 1</t>
  </si>
  <si>
    <t>Pious Templar 2</t>
  </si>
  <si>
    <t>Pious Templar 3</t>
  </si>
  <si>
    <t>Knowledge:  Nobility</t>
  </si>
  <si>
    <t>Aura of Good 1/day</t>
  </si>
  <si>
    <t>Code of Conduct</t>
  </si>
  <si>
    <t>Detect Evil 1/day</t>
  </si>
  <si>
    <t>Cure Disease</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</si>
  <si>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</si>
  <si>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</si>
  <si>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</si>
  <si>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</si>
  <si>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</si>
  <si>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</si>
  <si>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</si>
  <si>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</si>
  <si>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</si>
  <si>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</si>
  <si>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</si>
  <si>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</si>
  <si>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</si>
  <si>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Deity:</t>
  </si>
  <si>
    <t>Torm</t>
  </si>
  <si>
    <t>Male</t>
  </si>
  <si>
    <t>Initiative:</t>
  </si>
  <si>
    <t>Size:</t>
  </si>
  <si>
    <t>Medium</t>
  </si>
  <si>
    <t>Wlk/Brw/Clm:</t>
  </si>
  <si>
    <t>TAC/AC:</t>
  </si>
  <si>
    <t>BAB:</t>
  </si>
  <si>
    <t>Fort:</t>
  </si>
  <si>
    <t>Ref:</t>
  </si>
  <si>
    <t>Will:</t>
  </si>
  <si>
    <t>Mount</t>
  </si>
  <si>
    <t>+1</t>
  </si>
  <si>
    <t>Heavy Warhorse</t>
  </si>
  <si>
    <t>MW Silver Heavy Flail</t>
  </si>
  <si>
    <t>Ruby Dust</t>
  </si>
  <si>
    <t>1d6</t>
  </si>
  <si>
    <t>x2</t>
  </si>
  <si>
    <t>30’</t>
  </si>
  <si>
    <t>1d8</t>
  </si>
  <si>
    <t>x3</t>
  </si>
  <si>
    <t>Piercing</t>
  </si>
  <si>
    <t>Common</t>
  </si>
  <si>
    <t>Human:  Power Attack</t>
  </si>
  <si>
    <t>includes Weapon Focus bonus</t>
  </si>
  <si>
    <t>Slashing</t>
  </si>
  <si>
    <t>Total Equity:</t>
  </si>
  <si>
    <t>bypasses lycanthropes’ DR</t>
  </si>
  <si>
    <t>one</t>
  </si>
  <si>
    <r>
      <t xml:space="preserve">as </t>
    </r>
    <r>
      <rPr>
        <i/>
        <sz val="12"/>
        <rFont val="Times New Roman"/>
        <family val="1"/>
      </rPr>
      <t xml:space="preserve">endure elements </t>
    </r>
    <r>
      <rPr>
        <sz val="12"/>
        <rFont val="Times New Roman"/>
        <family val="1"/>
      </rPr>
      <t>spell</t>
    </r>
  </si>
  <si>
    <t>20’</t>
  </si>
  <si>
    <t>Animated Heavy Darkwood Shield +1</t>
  </si>
  <si>
    <t>-</t>
  </si>
  <si>
    <r>
      <t xml:space="preserve">Spell Component:  </t>
    </r>
    <r>
      <rPr>
        <i/>
        <sz val="12"/>
        <rFont val="Times New Roman"/>
        <family val="1"/>
      </rPr>
      <t>continual flame</t>
    </r>
    <r>
      <rPr>
        <sz val="12"/>
        <rFont val="Times New Roman"/>
        <family val="1"/>
      </rPr>
      <t>, 1 casting</t>
    </r>
  </si>
  <si>
    <t>Wealth Cap:</t>
  </si>
  <si>
    <t>Remaining Balance:</t>
  </si>
  <si>
    <t>0th</t>
  </si>
  <si>
    <t>1st</t>
  </si>
  <si>
    <t>2nd</t>
  </si>
  <si>
    <t>3rd</t>
  </si>
  <si>
    <t>4th</t>
  </si>
  <si>
    <t>5th</t>
  </si>
  <si>
    <t>6th</t>
  </si>
  <si>
    <t>7th</t>
  </si>
  <si>
    <t>Total Daily Spells</t>
  </si>
  <si>
    <t>Spells by Level</t>
  </si>
  <si>
    <t>Paladin Spells</t>
  </si>
  <si>
    <t>Pious Templar Spells</t>
  </si>
  <si>
    <t>Wisdom Bonus 1</t>
  </si>
  <si>
    <t>Wisdom Bonus 2</t>
  </si>
  <si>
    <t>Bless Weapon</t>
  </si>
  <si>
    <t>Transmutation</t>
  </si>
  <si>
    <t>Enchantment</t>
  </si>
  <si>
    <t>Prot. fr. Evil</t>
  </si>
  <si>
    <t>Paladin Features</t>
  </si>
  <si>
    <t>Pious Templar Features</t>
  </si>
  <si>
    <t>Mettle</t>
  </si>
  <si>
    <t>Smite +1/day (see Smith Evil above)</t>
  </si>
  <si>
    <t>Damage Reduction -/1</t>
  </si>
  <si>
    <t>True Believer bonus +2 when invoked</t>
  </si>
  <si>
    <t>40’</t>
  </si>
  <si>
    <t>0’</t>
  </si>
  <si>
    <t>1st:  True Believer</t>
  </si>
  <si>
    <t>3rd:  Weapon Focus:  Greatsword</t>
  </si>
  <si>
    <t>Greatsword +1</t>
  </si>
  <si>
    <t>Brant</t>
  </si>
  <si>
    <t>Smite Evil 2/day (+4 Att/+8 Dmg)</t>
  </si>
  <si>
    <t>Rhino’s Rush</t>
  </si>
  <si>
    <t>Swift</t>
  </si>
  <si>
    <t>Spell Compendium 176</t>
  </si>
  <si>
    <t>Bull’s Strength</t>
  </si>
  <si>
    <t>6th:  Improved Toughness</t>
  </si>
  <si>
    <t>Weapon Specialization:  Greatsword</t>
  </si>
  <si>
    <t>Grapple</t>
  </si>
  <si>
    <t>Skill/Save</t>
  </si>
  <si>
    <t>9th:  Sacred Healing</t>
  </si>
  <si>
    <t>Improved Critical:  Greatsword</t>
  </si>
  <si>
    <t>Knowledge:  Arcana</t>
  </si>
  <si>
    <t>Pious Templar 4</t>
  </si>
  <si>
    <t>PHB 207</t>
  </si>
  <si>
    <t>2nd Attack</t>
  </si>
  <si>
    <t>Javelins, 3</t>
  </si>
  <si>
    <t>17-20/x2</t>
  </si>
  <si>
    <t>Turning Undead</t>
  </si>
  <si>
    <t>Max HD Turned</t>
  </si>
  <si>
    <t>Turns/Day</t>
  </si>
  <si>
    <t>1d20 Roll</t>
  </si>
  <si>
    <t>Turn Check</t>
  </si>
  <si>
    <t>2d6 Roll</t>
  </si>
  <si>
    <t>Turn Dmg.</t>
  </si>
  <si>
    <t>Turns Used</t>
  </si>
  <si>
    <t>CROSS-CLASS SKILL</t>
  </si>
  <si>
    <t>Pious Templar 5</t>
  </si>
  <si>
    <t>Vest of Resistance +2</t>
  </si>
  <si>
    <t>loan</t>
  </si>
  <si>
    <t>Returning Javelin of Fire</t>
  </si>
  <si>
    <t>Scepter of Tiamat</t>
  </si>
  <si>
    <t>Properties yet to be discerned</t>
  </si>
  <si>
    <t xml:space="preserve">Protection from Evil </t>
  </si>
  <si>
    <t>Lay on Hands</t>
  </si>
  <si>
    <r>
      <t xml:space="preserve">Potion of </t>
    </r>
    <r>
      <rPr>
        <i/>
        <sz val="12"/>
        <rFont val="Times New Roman"/>
        <family val="1"/>
      </rPr>
      <t>enlarge person</t>
    </r>
  </si>
  <si>
    <t>Aura of Courage</t>
  </si>
  <si>
    <t>Full Plate +1</t>
  </si>
  <si>
    <t>2nd Shot</t>
  </si>
  <si>
    <t>+2</t>
  </si>
  <si>
    <t>Raptoran design</t>
  </si>
  <si>
    <t>Composite Longbow +2</t>
  </si>
  <si>
    <t>110’</t>
  </si>
  <si>
    <t>Bracelet of the Planar Champion</t>
  </si>
  <si>
    <t>Pearls of Power, 1st level,</t>
  </si>
  <si>
    <t>Played by Jason Davis</t>
  </si>
  <si>
    <t>2d6+2+5</t>
  </si>
  <si>
    <t>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</si>
</sst>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i/>
      <sz val="18"/>
      <color indexed="53"/>
      <name val="Times New Roman"/>
      <family val="1"/>
    </font>
    <font>
      <sz val="13"/>
      <name val="Wingdings"/>
      <charset val="2"/>
    </font>
    <font>
      <i/>
      <sz val="14"/>
      <color indexed="57"/>
      <name val="Times New Roman"/>
      <family val="1"/>
    </font>
    <font>
      <sz val="13"/>
      <color indexed="12"/>
      <name val="Times New Roman"/>
      <family val="1"/>
    </font>
    <font>
      <sz val="12"/>
      <color indexed="81"/>
      <name val="Times New Roman"/>
      <family val="1"/>
    </font>
    <font>
      <i/>
      <sz val="12"/>
      <color indexed="81"/>
      <name val="Times New Roman"/>
      <family val="1"/>
    </font>
    <font>
      <i/>
      <sz val="14"/>
      <color indexed="10"/>
      <name val="Times New Roman"/>
      <family val="1"/>
    </font>
    <font>
      <i/>
      <sz val="18"/>
      <color indexed="21"/>
      <name val="Times New Roman"/>
      <family val="1"/>
    </font>
    <font>
      <i/>
      <sz val="17"/>
      <name val="Times New Roman"/>
      <family val="1"/>
    </font>
    <font>
      <i/>
      <sz val="12"/>
      <color indexed="52"/>
      <name val="Times New Roman"/>
      <family val="1"/>
    </font>
    <font>
      <i/>
      <sz val="22"/>
      <color indexed="14"/>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b/>
      <sz val="13"/>
      <color rgb="FFFFFF0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s>
  <borders count="13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hair">
        <color indexed="64"/>
      </right>
      <top style="double">
        <color indexed="64"/>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61" fillId="0" borderId="0"/>
    <xf numFmtId="0" fontId="6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52">
    <xf numFmtId="0" fontId="0" fillId="0" borderId="0" xfId="0"/>
    <xf numFmtId="0" fontId="4" fillId="0" borderId="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4" fillId="0" borderId="0" xfId="0" applyNumberFormat="1" applyFont="1" applyBorder="1" applyAlignment="1">
      <alignment horizontal="left"/>
    </xf>
    <xf numFmtId="0" fontId="36" fillId="0" borderId="62" xfId="0" applyFont="1" applyBorder="1" applyAlignment="1">
      <alignment horizontal="centerContinuous" vertical="center" wrapText="1"/>
    </xf>
    <xf numFmtId="0" fontId="36" fillId="0" borderId="63" xfId="0" applyFont="1" applyBorder="1" applyAlignment="1">
      <alignment horizontal="centerContinuous" vertical="center" wrapText="1"/>
    </xf>
    <xf numFmtId="0" fontId="40" fillId="0" borderId="18" xfId="0" applyFont="1" applyBorder="1" applyAlignment="1">
      <alignment horizontal="centerContinuous" vertical="center" wrapText="1"/>
    </xf>
    <xf numFmtId="0" fontId="50" fillId="11"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21" xfId="0" applyFont="1" applyFill="1" applyBorder="1" applyAlignment="1">
      <alignment horizontal="centerContinuous" vertical="center" wrapText="1"/>
    </xf>
    <xf numFmtId="0" fontId="11" fillId="3" borderId="22" xfId="0"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0" fontId="3" fillId="0" borderId="0" xfId="0" applyFont="1" applyBorder="1" applyAlignment="1">
      <alignment vertical="center" wrapText="1"/>
    </xf>
    <xf numFmtId="0" fontId="1" fillId="0" borderId="46" xfId="0" applyFont="1" applyFill="1" applyBorder="1" applyAlignment="1">
      <alignment horizontal="center" vertic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3" borderId="15" xfId="0" applyFont="1" applyFill="1" applyBorder="1" applyAlignment="1">
      <alignment horizontal="center" vertical="center"/>
    </xf>
    <xf numFmtId="0" fontId="20" fillId="13" borderId="16" xfId="0" applyFont="1" applyFill="1" applyBorder="1" applyAlignment="1">
      <alignment horizontal="center" vertical="center"/>
    </xf>
    <xf numFmtId="49" fontId="20" fillId="13" borderId="16" xfId="0" applyNumberFormat="1" applyFont="1" applyFill="1" applyBorder="1" applyAlignment="1">
      <alignment horizontal="center" vertical="center"/>
    </xf>
    <xf numFmtId="0" fontId="20" fillId="13" borderId="20" xfId="0" applyFont="1" applyFill="1" applyBorder="1" applyAlignment="1">
      <alignment horizontal="center" vertical="center"/>
    </xf>
    <xf numFmtId="0" fontId="53" fillId="11" borderId="20" xfId="0" applyFont="1" applyFill="1" applyBorder="1" applyAlignment="1">
      <alignment horizontal="center" vertical="center"/>
    </xf>
    <xf numFmtId="0" fontId="20" fillId="13" borderId="17" xfId="0" applyFont="1" applyFill="1" applyBorder="1" applyAlignment="1">
      <alignment horizontal="center" vertical="center"/>
    </xf>
    <xf numFmtId="0" fontId="1" fillId="0" borderId="52" xfId="0" applyFont="1" applyFill="1" applyBorder="1" applyAlignment="1">
      <alignment horizontal="center" vertical="center"/>
    </xf>
    <xf numFmtId="49" fontId="1" fillId="0" borderId="52" xfId="2" applyNumberFormat="1" applyFont="1" applyFill="1" applyBorder="1" applyAlignment="1">
      <alignment horizontal="center" vertical="center"/>
    </xf>
    <xf numFmtId="0" fontId="1" fillId="0" borderId="52" xfId="0" applyFont="1" applyBorder="1" applyAlignment="1">
      <alignment horizontal="center" vertical="center"/>
    </xf>
    <xf numFmtId="164" fontId="1" fillId="0" borderId="52" xfId="0" applyNumberFormat="1" applyFont="1" applyFill="1" applyBorder="1" applyAlignment="1">
      <alignment horizontal="center" vertical="center"/>
    </xf>
    <xf numFmtId="164" fontId="4" fillId="0" borderId="52"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4" fillId="0" borderId="0" xfId="0" applyFont="1" applyBorder="1" applyAlignment="1">
      <alignment horizontal="center" vertical="center"/>
    </xf>
    <xf numFmtId="164" fontId="1" fillId="0" borderId="79" xfId="0" applyNumberFormat="1" applyFont="1" applyFill="1" applyBorder="1" applyAlignment="1">
      <alignment horizontal="center" vertical="center"/>
    </xf>
    <xf numFmtId="0" fontId="4" fillId="0" borderId="57" xfId="0" applyFont="1" applyBorder="1" applyAlignment="1">
      <alignment horizontal="center" vertical="center"/>
    </xf>
    <xf numFmtId="164" fontId="4" fillId="0" borderId="57" xfId="0" applyNumberFormat="1"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0" xfId="0" applyFont="1" applyFill="1" applyBorder="1" applyAlignment="1">
      <alignment horizontal="centerContinuous" vertical="center"/>
    </xf>
    <xf numFmtId="0" fontId="20" fillId="13" borderId="62" xfId="0" applyFont="1" applyFill="1" applyBorder="1" applyAlignment="1">
      <alignment horizontal="centerContinuous" vertical="center"/>
    </xf>
    <xf numFmtId="0" fontId="20" fillId="13" borderId="63" xfId="0" applyFont="1" applyFill="1" applyBorder="1" applyAlignment="1">
      <alignment horizontal="centerContinuous" vertical="center"/>
    </xf>
    <xf numFmtId="0" fontId="1" fillId="0" borderId="79" xfId="0" applyFont="1" applyBorder="1" applyAlignment="1">
      <alignment horizontal="center" vertical="center"/>
    </xf>
    <xf numFmtId="164" fontId="4" fillId="0" borderId="80" xfId="0" applyNumberFormat="1" applyFont="1" applyFill="1" applyBorder="1" applyAlignment="1">
      <alignment horizontal="centerContinuous" vertical="center"/>
    </xf>
    <xf numFmtId="164" fontId="4" fillId="0" borderId="65" xfId="0" applyNumberFormat="1" applyFont="1" applyFill="1" applyBorder="1" applyAlignment="1">
      <alignment horizontal="centerContinuous" vertical="center"/>
    </xf>
    <xf numFmtId="0" fontId="4" fillId="0" borderId="66" xfId="0" quotePrefix="1" applyFont="1" applyBorder="1" applyAlignment="1">
      <alignment horizontal="centerContinuous" vertical="center"/>
    </xf>
    <xf numFmtId="9" fontId="4" fillId="0" borderId="57" xfId="0" applyNumberFormat="1" applyFont="1" applyBorder="1" applyAlignment="1">
      <alignment horizontal="center" vertical="center"/>
    </xf>
    <xf numFmtId="164" fontId="4" fillId="0" borderId="58" xfId="0" applyNumberFormat="1" applyFont="1" applyBorder="1" applyAlignment="1">
      <alignment horizontal="centerContinuous" vertical="center"/>
    </xf>
    <xf numFmtId="164" fontId="4" fillId="0" borderId="9" xfId="0" applyNumberFormat="1" applyFont="1" applyBorder="1" applyAlignment="1">
      <alignment horizontal="centerContinuous" vertical="center"/>
    </xf>
    <xf numFmtId="0" fontId="4" fillId="0" borderId="10" xfId="0" applyFont="1" applyBorder="1" applyAlignment="1">
      <alignment horizontal="centerContinuous" vertical="center"/>
    </xf>
    <xf numFmtId="0" fontId="17" fillId="0" borderId="0" xfId="0" applyFont="1" applyBorder="1" applyAlignment="1">
      <alignment horizontal="right" vertical="center"/>
    </xf>
    <xf numFmtId="0" fontId="20" fillId="13" borderId="18" xfId="0" applyFont="1" applyFill="1" applyBorder="1" applyAlignment="1">
      <alignment horizontal="centerContinuous" vertical="center"/>
    </xf>
    <xf numFmtId="0" fontId="20" fillId="13" borderId="19" xfId="0" applyFont="1" applyFill="1" applyBorder="1" applyAlignment="1">
      <alignment horizontal="centerContinuous" vertical="center"/>
    </xf>
    <xf numFmtId="0" fontId="20" fillId="13" borderId="63" xfId="0" applyFont="1" applyFill="1" applyBorder="1" applyAlignment="1">
      <alignment horizontal="center" vertical="center"/>
    </xf>
    <xf numFmtId="0" fontId="4" fillId="0" borderId="64" xfId="0" applyFont="1" applyFill="1" applyBorder="1" applyAlignment="1">
      <alignment horizontal="centerContinuous" vertical="center"/>
    </xf>
    <xf numFmtId="0" fontId="4" fillId="0" borderId="65" xfId="0" applyFont="1" applyFill="1" applyBorder="1" applyAlignment="1">
      <alignment horizontal="centerContinuous" vertical="center"/>
    </xf>
    <xf numFmtId="0" fontId="4" fillId="0" borderId="80" xfId="0" applyFont="1" applyFill="1" applyBorder="1" applyAlignment="1">
      <alignment horizontal="centerContinuous" vertical="center"/>
    </xf>
    <xf numFmtId="0" fontId="4" fillId="0" borderId="79" xfId="0" applyFont="1" applyFill="1" applyBorder="1" applyAlignment="1">
      <alignment horizontal="center" vertical="center"/>
    </xf>
    <xf numFmtId="49" fontId="1" fillId="0" borderId="80" xfId="0" applyNumberFormat="1" applyFont="1" applyFill="1" applyBorder="1" applyAlignment="1">
      <alignment horizontal="center" vertical="center"/>
    </xf>
    <xf numFmtId="0" fontId="4" fillId="0" borderId="66" xfId="0" applyFont="1" applyFill="1" applyBorder="1" applyAlignment="1">
      <alignment horizontal="center" vertical="center"/>
    </xf>
    <xf numFmtId="0" fontId="4" fillId="0" borderId="51" xfId="0" applyFont="1" applyFill="1" applyBorder="1" applyAlignment="1">
      <alignment horizontal="centerContinuous" vertical="center"/>
    </xf>
    <xf numFmtId="0" fontId="4" fillId="0" borderId="83" xfId="0" applyFont="1" applyFill="1" applyBorder="1" applyAlignment="1">
      <alignment horizontal="centerContinuous" vertical="center"/>
    </xf>
    <xf numFmtId="0" fontId="4" fillId="0" borderId="81" xfId="0" applyFont="1" applyFill="1" applyBorder="1" applyAlignment="1">
      <alignment horizontal="centerContinuous" vertical="center"/>
    </xf>
    <xf numFmtId="164" fontId="4" fillId="0" borderId="82"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xf>
    <xf numFmtId="164" fontId="4" fillId="0" borderId="84" xfId="0" applyNumberFormat="1" applyFont="1" applyBorder="1" applyAlignment="1">
      <alignment horizontal="centerContinuous" vertical="center"/>
    </xf>
    <xf numFmtId="0" fontId="4" fillId="0" borderId="85"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43" xfId="0" applyFont="1" applyFill="1" applyBorder="1" applyAlignment="1">
      <alignment horizontal="center" vertical="center"/>
    </xf>
    <xf numFmtId="164" fontId="20" fillId="3" borderId="44" xfId="0" applyNumberFormat="1" applyFont="1" applyFill="1" applyBorder="1" applyAlignment="1">
      <alignment horizontal="center" vertical="center"/>
    </xf>
    <xf numFmtId="0" fontId="20" fillId="3" borderId="43" xfId="0" applyFont="1" applyFill="1" applyBorder="1" applyAlignment="1">
      <alignment horizontal="right" vertical="center"/>
    </xf>
    <xf numFmtId="0" fontId="20" fillId="3" borderId="45" xfId="0" applyFont="1" applyFill="1" applyBorder="1" applyAlignment="1">
      <alignment vertical="center"/>
    </xf>
    <xf numFmtId="0" fontId="1" fillId="0" borderId="70"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0" fontId="4" fillId="0" borderId="70"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shrinkToFit="1"/>
    </xf>
    <xf numFmtId="0" fontId="33" fillId="0" borderId="33" xfId="0" applyFont="1" applyBorder="1" applyAlignment="1">
      <alignment horizontal="centerContinuous" vertical="center" wrapText="1"/>
    </xf>
    <xf numFmtId="0" fontId="14" fillId="0" borderId="34" xfId="0" applyFont="1" applyBorder="1" applyAlignment="1">
      <alignment horizontal="centerContinuous" vertical="center" wrapText="1"/>
    </xf>
    <xf numFmtId="0" fontId="14" fillId="0" borderId="35" xfId="0" applyFont="1" applyBorder="1" applyAlignment="1">
      <alignment horizontal="centerContinuous" vertical="center" wrapText="1"/>
    </xf>
    <xf numFmtId="0" fontId="4" fillId="0" borderId="0" xfId="0" applyFont="1" applyBorder="1" applyAlignment="1">
      <alignment vertical="center" wrapText="1"/>
    </xf>
    <xf numFmtId="0" fontId="34" fillId="0" borderId="36" xfId="0" applyFont="1" applyBorder="1" applyAlignment="1">
      <alignment horizontal="centerContinuous" vertical="center"/>
    </xf>
    <xf numFmtId="0" fontId="11" fillId="10" borderId="37" xfId="0" applyFont="1" applyFill="1" applyBorder="1" applyAlignment="1">
      <alignment horizontal="centerContinuous" vertical="center" wrapText="1"/>
    </xf>
    <xf numFmtId="0" fontId="11" fillId="10" borderId="3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4" fillId="0" borderId="0" xfId="0" applyFont="1" applyBorder="1" applyAlignment="1">
      <alignment horizontal="left" vertical="center"/>
    </xf>
    <xf numFmtId="0" fontId="51" fillId="0" borderId="42" xfId="0" applyFont="1" applyFill="1" applyBorder="1" applyAlignment="1">
      <alignment horizontal="centerContinuous" vertical="center" shrinkToFit="1"/>
    </xf>
    <xf numFmtId="0" fontId="37" fillId="0" borderId="42" xfId="0" applyFont="1" applyBorder="1" applyAlignment="1">
      <alignment horizontal="centerContinuous" vertical="center"/>
    </xf>
    <xf numFmtId="0" fontId="1" fillId="0" borderId="0" xfId="0" applyFont="1" applyBorder="1" applyAlignment="1">
      <alignment vertical="center" wrapText="1"/>
    </xf>
    <xf numFmtId="0" fontId="35" fillId="9" borderId="40" xfId="2" applyNumberFormat="1"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26" fillId="0" borderId="42" xfId="0" applyFont="1" applyBorder="1" applyAlignment="1">
      <alignment horizontal="centerContinuous" vertical="center"/>
    </xf>
    <xf numFmtId="0" fontId="35" fillId="9" borderId="41" xfId="2" applyNumberFormat="1" applyFont="1" applyFill="1" applyBorder="1" applyAlignment="1">
      <alignment horizontal="center" vertical="center" shrinkToFit="1"/>
    </xf>
    <xf numFmtId="0" fontId="4" fillId="0" borderId="0" xfId="0" applyFont="1" applyBorder="1" applyAlignment="1">
      <alignment horizontal="left" vertical="center" wrapText="1"/>
    </xf>
    <xf numFmtId="0" fontId="3" fillId="0" borderId="0" xfId="0" applyFont="1" applyBorder="1" applyAlignment="1">
      <alignment horizontal="right" vertical="center" wrapText="1"/>
    </xf>
    <xf numFmtId="0" fontId="41" fillId="0" borderId="36" xfId="0" applyFont="1" applyBorder="1" applyAlignment="1">
      <alignment horizontal="centerContinuous" vertical="center"/>
    </xf>
    <xf numFmtId="0" fontId="6" fillId="0" borderId="61" xfId="0" applyFont="1" applyFill="1" applyBorder="1" applyAlignment="1">
      <alignment horizontal="center" vertical="center" shrinkToFit="1"/>
    </xf>
    <xf numFmtId="0" fontId="6" fillId="0" borderId="64" xfId="0" applyFont="1" applyFill="1" applyBorder="1" applyAlignment="1">
      <alignment horizontal="centerContinuous" vertical="center"/>
    </xf>
    <xf numFmtId="0" fontId="6" fillId="0" borderId="65" xfId="0" applyFont="1" applyFill="1" applyBorder="1" applyAlignment="1">
      <alignment horizontal="centerContinuous" vertical="center"/>
    </xf>
    <xf numFmtId="0" fontId="6" fillId="0" borderId="66" xfId="0" applyFont="1" applyFill="1" applyBorder="1" applyAlignment="1">
      <alignment horizontal="centerContinuous" vertical="center"/>
    </xf>
    <xf numFmtId="0" fontId="6" fillId="0" borderId="8" xfId="0" applyFont="1" applyFill="1" applyBorder="1" applyAlignment="1">
      <alignment horizontal="centerContinuous" vertical="center"/>
    </xf>
    <xf numFmtId="0" fontId="6" fillId="0" borderId="9" xfId="0" applyFont="1" applyFill="1" applyBorder="1" applyAlignment="1">
      <alignment horizontal="centerContinuous" vertical="center"/>
    </xf>
    <xf numFmtId="0" fontId="6" fillId="0" borderId="10" xfId="0" applyFont="1" applyFill="1" applyBorder="1" applyAlignment="1">
      <alignment horizontal="centerContinuous" vertical="center"/>
    </xf>
    <xf numFmtId="0" fontId="24" fillId="0" borderId="24"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6" fillId="0" borderId="1" xfId="0" applyFont="1" applyFill="1" applyBorder="1" applyAlignment="1">
      <alignment vertical="center"/>
    </xf>
    <xf numFmtId="0" fontId="6" fillId="0" borderId="26" xfId="0" applyFont="1" applyFill="1" applyBorder="1" applyAlignment="1">
      <alignment horizontal="center" vertical="center"/>
    </xf>
    <xf numFmtId="0" fontId="26"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wrapText="1"/>
    </xf>
    <xf numFmtId="0" fontId="48" fillId="11" borderId="27" xfId="0" applyNumberFormat="1" applyFont="1" applyFill="1" applyBorder="1" applyAlignment="1">
      <alignment horizontal="center" vertical="center"/>
    </xf>
    <xf numFmtId="0" fontId="49" fillId="0" borderId="1" xfId="0" applyFont="1" applyFill="1" applyBorder="1" applyAlignment="1">
      <alignment vertical="center"/>
    </xf>
    <xf numFmtId="0" fontId="23" fillId="0" borderId="27" xfId="0" applyNumberFormat="1" applyFont="1" applyFill="1" applyBorder="1" applyAlignment="1">
      <alignment horizontal="center" vertical="center"/>
    </xf>
    <xf numFmtId="0" fontId="12"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xf>
    <xf numFmtId="0" fontId="47" fillId="0" borderId="37" xfId="0" applyFont="1" applyFill="1" applyBorder="1" applyAlignment="1">
      <alignment vertical="center"/>
    </xf>
    <xf numFmtId="0" fontId="6" fillId="0" borderId="56" xfId="0" applyFont="1" applyFill="1" applyBorder="1" applyAlignment="1">
      <alignment horizontal="center" vertical="center"/>
    </xf>
    <xf numFmtId="0" fontId="27" fillId="0" borderId="13" xfId="0" applyNumberFormat="1" applyFont="1" applyFill="1" applyBorder="1" applyAlignment="1">
      <alignment horizontal="center" vertical="center"/>
    </xf>
    <xf numFmtId="0" fontId="27" fillId="0" borderId="56"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wrapText="1"/>
    </xf>
    <xf numFmtId="1" fontId="6" fillId="0" borderId="56" xfId="0" applyNumberFormat="1" applyFont="1" applyFill="1" applyBorder="1" applyAlignment="1">
      <alignment horizontal="center" vertical="center" wrapText="1"/>
    </xf>
    <xf numFmtId="0" fontId="48" fillId="11" borderId="56" xfId="0" applyNumberFormat="1" applyFont="1" applyFill="1" applyBorder="1" applyAlignment="1">
      <alignment horizontal="center" vertical="center"/>
    </xf>
    <xf numFmtId="0" fontId="10" fillId="0" borderId="1" xfId="0" applyFont="1" applyFill="1" applyBorder="1" applyAlignment="1">
      <alignment vertical="center"/>
    </xf>
    <xf numFmtId="0" fontId="6" fillId="0" borderId="26"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13" fillId="0" borderId="27" xfId="0" applyNumberFormat="1" applyFont="1" applyFill="1" applyBorder="1" applyAlignment="1">
      <alignment horizontal="center" vertical="center"/>
    </xf>
    <xf numFmtId="0" fontId="7" fillId="0" borderId="1" xfId="0" applyFont="1" applyFill="1" applyBorder="1" applyAlignment="1">
      <alignment vertical="center"/>
    </xf>
    <xf numFmtId="49" fontId="16" fillId="0" borderId="26"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6" fillId="14" borderId="26" xfId="0" applyNumberFormat="1" applyFont="1" applyFill="1" applyBorder="1" applyAlignment="1">
      <alignment horizontal="center" vertical="center"/>
    </xf>
    <xf numFmtId="49" fontId="6" fillId="14" borderId="27" xfId="0" applyNumberFormat="1" applyFont="1" applyFill="1" applyBorder="1" applyAlignment="1">
      <alignment horizontal="center" vertical="center"/>
    </xf>
    <xf numFmtId="0" fontId="6" fillId="14" borderId="28"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6" xfId="0" applyNumberFormat="1" applyFont="1" applyFill="1" applyBorder="1" applyAlignment="1">
      <alignment horizontal="center" vertical="center"/>
    </xf>
    <xf numFmtId="49" fontId="15" fillId="5" borderId="26" xfId="0" applyNumberFormat="1" applyFont="1" applyFill="1" applyBorder="1" applyAlignment="1">
      <alignment horizontal="center" vertical="center"/>
    </xf>
    <xf numFmtId="0" fontId="15" fillId="5" borderId="27" xfId="0" applyNumberFormat="1" applyFont="1" applyFill="1" applyBorder="1" applyAlignment="1">
      <alignment horizontal="center" vertical="center"/>
    </xf>
    <xf numFmtId="49" fontId="6" fillId="5" borderId="27" xfId="0" applyNumberFormat="1" applyFont="1" applyFill="1" applyBorder="1" applyAlignment="1">
      <alignment horizontal="center" vertical="center"/>
    </xf>
    <xf numFmtId="0" fontId="6" fillId="5" borderId="28" xfId="0" applyNumberFormat="1" applyFont="1" applyFill="1" applyBorder="1" applyAlignment="1">
      <alignment horizontal="center" vertical="center"/>
    </xf>
    <xf numFmtId="0" fontId="13" fillId="14" borderId="1" xfId="0" applyFont="1" applyFill="1" applyBorder="1" applyAlignment="1">
      <alignment vertical="center"/>
    </xf>
    <xf numFmtId="49" fontId="22" fillId="14" borderId="26" xfId="0" applyNumberFormat="1" applyFont="1" applyFill="1" applyBorder="1" applyAlignment="1">
      <alignment horizontal="center" vertical="center"/>
    </xf>
    <xf numFmtId="0" fontId="22" fillId="14" borderId="27" xfId="0" applyNumberFormat="1" applyFont="1" applyFill="1" applyBorder="1" applyAlignment="1">
      <alignment horizontal="center" vertical="center"/>
    </xf>
    <xf numFmtId="0" fontId="13" fillId="14"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wrapText="1"/>
    </xf>
    <xf numFmtId="0" fontId="10" fillId="6" borderId="1" xfId="0" applyFont="1" applyFill="1" applyBorder="1" applyAlignment="1">
      <alignment vertical="center"/>
    </xf>
    <xf numFmtId="0" fontId="6" fillId="6" borderId="26" xfId="0" applyNumberFormat="1" applyFont="1" applyFill="1" applyBorder="1" applyAlignment="1">
      <alignment horizontal="center" vertical="center"/>
    </xf>
    <xf numFmtId="49" fontId="15" fillId="6" borderId="26" xfId="0" applyNumberFormat="1" applyFont="1" applyFill="1" applyBorder="1" applyAlignment="1">
      <alignment horizontal="center" vertical="center"/>
    </xf>
    <xf numFmtId="0" fontId="15" fillId="6" borderId="27" xfId="0" applyNumberFormat="1" applyFont="1" applyFill="1" applyBorder="1" applyAlignment="1">
      <alignment horizontal="center" vertical="center"/>
    </xf>
    <xf numFmtId="49" fontId="6" fillId="6" borderId="27"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6" xfId="0" applyNumberFormat="1" applyFont="1" applyFill="1" applyBorder="1" applyAlignment="1">
      <alignment horizontal="center" vertical="center"/>
    </xf>
    <xf numFmtId="0" fontId="27" fillId="0" borderId="27"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6" xfId="0" applyNumberFormat="1" applyFont="1" applyFill="1" applyBorder="1" applyAlignment="1">
      <alignment horizontal="center" vertical="center"/>
    </xf>
    <xf numFmtId="0" fontId="22" fillId="7" borderId="27" xfId="0" applyNumberFormat="1" applyFont="1" applyFill="1" applyBorder="1" applyAlignment="1">
      <alignment horizontal="center" vertical="center"/>
    </xf>
    <xf numFmtId="0" fontId="22" fillId="6" borderId="27"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6" xfId="0" applyNumberFormat="1" applyFont="1" applyFill="1" applyBorder="1" applyAlignment="1">
      <alignment horizontal="center" vertical="center"/>
    </xf>
    <xf numFmtId="0" fontId="15" fillId="14" borderId="27"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6" xfId="0" applyNumberFormat="1" applyFont="1" applyFill="1" applyBorder="1" applyAlignment="1">
      <alignment horizontal="center" vertical="center"/>
    </xf>
    <xf numFmtId="0" fontId="23" fillId="5" borderId="27" xfId="0" applyNumberFormat="1" applyFont="1" applyFill="1" applyBorder="1" applyAlignment="1">
      <alignment horizontal="center" vertical="center"/>
    </xf>
    <xf numFmtId="0" fontId="13" fillId="4" borderId="1" xfId="0" applyFont="1" applyFill="1" applyBorder="1" applyAlignment="1">
      <alignment vertical="center"/>
    </xf>
    <xf numFmtId="49" fontId="27" fillId="5" borderId="26" xfId="0" applyNumberFormat="1" applyFont="1" applyFill="1" applyBorder="1" applyAlignment="1">
      <alignment horizontal="center" vertical="center"/>
    </xf>
    <xf numFmtId="0" fontId="27" fillId="5" borderId="27" xfId="0" applyNumberFormat="1" applyFont="1" applyFill="1" applyBorder="1" applyAlignment="1">
      <alignment horizontal="center" vertical="center"/>
    </xf>
    <xf numFmtId="0" fontId="12" fillId="8" borderId="1" xfId="0" applyFont="1" applyFill="1" applyBorder="1" applyAlignment="1">
      <alignment vertical="center"/>
    </xf>
    <xf numFmtId="0" fontId="6" fillId="8" borderId="26" xfId="0" applyNumberFormat="1" applyFont="1" applyFill="1" applyBorder="1" applyAlignment="1">
      <alignment horizontal="center" vertical="center"/>
    </xf>
    <xf numFmtId="49" fontId="23" fillId="8" borderId="26" xfId="0" applyNumberFormat="1" applyFont="1" applyFill="1" applyBorder="1" applyAlignment="1">
      <alignment horizontal="center" vertical="center"/>
    </xf>
    <xf numFmtId="0" fontId="23" fillId="8" borderId="27" xfId="0" applyNumberFormat="1" applyFont="1" applyFill="1" applyBorder="1" applyAlignment="1">
      <alignment horizontal="center" vertical="center"/>
    </xf>
    <xf numFmtId="0" fontId="12" fillId="8" borderId="27" xfId="0" applyNumberFormat="1" applyFont="1" applyFill="1" applyBorder="1" applyAlignment="1">
      <alignment horizontal="center" vertical="center"/>
    </xf>
    <xf numFmtId="49" fontId="6" fillId="8" borderId="27" xfId="0" applyNumberFormat="1" applyFont="1" applyFill="1" applyBorder="1" applyAlignment="1">
      <alignment horizontal="center" vertical="center"/>
    </xf>
    <xf numFmtId="0" fontId="6" fillId="8" borderId="28"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6" xfId="0" applyNumberFormat="1" applyFont="1" applyFill="1" applyBorder="1" applyAlignment="1">
      <alignment horizontal="center" vertical="center"/>
    </xf>
    <xf numFmtId="0" fontId="27" fillId="8" borderId="27" xfId="0" applyNumberFormat="1" applyFont="1" applyFill="1" applyBorder="1" applyAlignment="1">
      <alignment horizontal="center" vertical="center"/>
    </xf>
    <xf numFmtId="0" fontId="10" fillId="4" borderId="1" xfId="0" applyFont="1" applyFill="1" applyBorder="1" applyAlignment="1">
      <alignment vertical="center"/>
    </xf>
    <xf numFmtId="0" fontId="6" fillId="4" borderId="26" xfId="0" applyNumberFormat="1" applyFont="1" applyFill="1" applyBorder="1" applyAlignment="1">
      <alignment horizontal="center" vertical="center"/>
    </xf>
    <xf numFmtId="49" fontId="15" fillId="4" borderId="26" xfId="0" applyNumberFormat="1" applyFont="1" applyFill="1" applyBorder="1" applyAlignment="1">
      <alignment horizontal="center" vertical="center"/>
    </xf>
    <xf numFmtId="0" fontId="15" fillId="4" borderId="27" xfId="0" applyNumberFormat="1" applyFont="1" applyFill="1" applyBorder="1" applyAlignment="1">
      <alignment horizontal="center" vertical="center"/>
    </xf>
    <xf numFmtId="49" fontId="6" fillId="4" borderId="27" xfId="0" applyNumberFormat="1" applyFont="1" applyFill="1" applyBorder="1" applyAlignment="1">
      <alignment horizontal="center" vertical="center"/>
    </xf>
    <xf numFmtId="0" fontId="6" fillId="4" borderId="28" xfId="0" applyNumberFormat="1" applyFont="1" applyFill="1" applyBorder="1" applyAlignment="1">
      <alignment horizontal="center" vertical="center"/>
    </xf>
    <xf numFmtId="0" fontId="6" fillId="0" borderId="28"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6" xfId="0" applyNumberFormat="1" applyFont="1" applyFill="1" applyBorder="1" applyAlignment="1">
      <alignment horizontal="center" vertical="center"/>
    </xf>
    <xf numFmtId="0" fontId="23" fillId="4" borderId="27"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6" xfId="0" applyNumberFormat="1" applyFont="1" applyFill="1" applyBorder="1" applyAlignment="1">
      <alignment horizontal="center" vertical="center"/>
    </xf>
    <xf numFmtId="0" fontId="22" fillId="5" borderId="27" xfId="0" applyNumberFormat="1" applyFont="1" applyFill="1" applyBorder="1" applyAlignment="1">
      <alignment horizontal="center" vertical="center"/>
    </xf>
    <xf numFmtId="0" fontId="12" fillId="6" borderId="8" xfId="0" applyFont="1" applyFill="1" applyBorder="1" applyAlignment="1">
      <alignment vertical="center"/>
    </xf>
    <xf numFmtId="0" fontId="6" fillId="6" borderId="57" xfId="0" applyNumberFormat="1" applyFont="1" applyFill="1" applyBorder="1" applyAlignment="1">
      <alignment horizontal="center" vertical="center"/>
    </xf>
    <xf numFmtId="49" fontId="23" fillId="6" borderId="57" xfId="0" applyNumberFormat="1" applyFont="1" applyFill="1" applyBorder="1" applyAlignment="1">
      <alignment horizontal="center" vertical="center"/>
    </xf>
    <xf numFmtId="0" fontId="23" fillId="6" borderId="58" xfId="0" applyNumberFormat="1" applyFont="1" applyFill="1" applyBorder="1" applyAlignment="1">
      <alignment horizontal="center" vertical="center"/>
    </xf>
    <xf numFmtId="49" fontId="6" fillId="6" borderId="58" xfId="0" applyNumberFormat="1" applyFont="1" applyFill="1" applyBorder="1" applyAlignment="1">
      <alignment horizontal="center" vertical="center"/>
    </xf>
    <xf numFmtId="0" fontId="48" fillId="11" borderId="58" xfId="0" applyNumberFormat="1" applyFont="1" applyFill="1" applyBorder="1" applyAlignment="1">
      <alignment horizontal="center" vertical="center"/>
    </xf>
    <xf numFmtId="0" fontId="6" fillId="6" borderId="41" xfId="0" applyNumberFormat="1" applyFont="1" applyFill="1" applyBorder="1" applyAlignment="1">
      <alignment horizontal="center" vertical="center"/>
    </xf>
    <xf numFmtId="0" fontId="3"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21" xfId="0" applyFont="1" applyFill="1" applyBorder="1" applyAlignment="1">
      <alignment horizontal="centerContinuous" vertical="center" wrapText="1"/>
    </xf>
    <xf numFmtId="0" fontId="11" fillId="10" borderId="22"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11" fillId="10" borderId="23" xfId="0" applyFont="1" applyFill="1" applyBorder="1" applyAlignment="1">
      <alignment horizontal="centerContinuous" vertical="center" wrapText="1"/>
    </xf>
    <xf numFmtId="0" fontId="44" fillId="2" borderId="75" xfId="0" applyFont="1" applyFill="1" applyBorder="1" applyAlignment="1">
      <alignment horizontal="right" vertical="center"/>
    </xf>
    <xf numFmtId="0" fontId="44" fillId="2" borderId="73" xfId="0" applyFont="1" applyFill="1" applyBorder="1" applyAlignment="1">
      <alignment horizontal="left" vertical="center"/>
    </xf>
    <xf numFmtId="0" fontId="19" fillId="2" borderId="73" xfId="0" applyFont="1" applyFill="1" applyBorder="1" applyAlignment="1">
      <alignment horizontal="left" vertical="center"/>
    </xf>
    <xf numFmtId="0" fontId="3" fillId="2" borderId="73" xfId="0" applyFont="1" applyFill="1" applyBorder="1" applyAlignment="1">
      <alignment horizontal="centerContinuous" vertical="center"/>
    </xf>
    <xf numFmtId="0" fontId="4" fillId="2" borderId="73" xfId="0" applyFont="1" applyFill="1" applyBorder="1" applyAlignment="1">
      <alignment horizontal="centerContinuous" vertical="center"/>
    </xf>
    <xf numFmtId="0" fontId="43" fillId="2" borderId="7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59" xfId="0" applyFont="1" applyFill="1" applyBorder="1" applyAlignment="1">
      <alignment horizontal="right" vertical="center"/>
    </xf>
    <xf numFmtId="49" fontId="6" fillId="0" borderId="77" xfId="0" applyNumberFormat="1" applyFont="1" applyBorder="1" applyAlignment="1">
      <alignment horizontal="center" vertical="center"/>
    </xf>
    <xf numFmtId="0" fontId="6" fillId="0" borderId="0" xfId="0" applyFont="1" applyBorder="1" applyAlignment="1">
      <alignment horizontal="left" vertical="center"/>
    </xf>
    <xf numFmtId="0" fontId="7" fillId="2" borderId="12" xfId="0" applyFont="1" applyFill="1" applyBorder="1" applyAlignment="1">
      <alignment horizontal="right" vertical="center"/>
    </xf>
    <xf numFmtId="0" fontId="25" fillId="0" borderId="13" xfId="0" applyNumberFormat="1" applyFont="1" applyBorder="1" applyAlignment="1">
      <alignment horizontal="center" vertical="center"/>
    </xf>
    <xf numFmtId="0" fontId="9" fillId="4" borderId="7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3" xfId="0" applyNumberFormat="1" applyFont="1" applyBorder="1" applyAlignment="1">
      <alignment horizontal="center" vertical="center"/>
    </xf>
    <xf numFmtId="0" fontId="9" fillId="4" borderId="6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7" fillId="4" borderId="67" xfId="0" applyFont="1" applyFill="1" applyBorder="1" applyAlignment="1">
      <alignment horizontal="right" vertical="center"/>
    </xf>
    <xf numFmtId="0" fontId="45"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67" xfId="0" applyFont="1" applyFill="1" applyBorder="1" applyAlignment="1">
      <alignment horizontal="right" vertical="center"/>
    </xf>
    <xf numFmtId="0" fontId="13" fillId="2" borderId="14" xfId="0" applyFont="1" applyFill="1" applyBorder="1" applyAlignment="1">
      <alignment horizontal="right" vertical="center"/>
    </xf>
    <xf numFmtId="49" fontId="25" fillId="0" borderId="25" xfId="0" applyNumberFormat="1" applyFont="1" applyBorder="1" applyAlignment="1">
      <alignment horizontal="center" vertical="center"/>
    </xf>
    <xf numFmtId="0" fontId="10" fillId="4" borderId="68" xfId="0" applyFont="1" applyFill="1" applyBorder="1" applyAlignment="1">
      <alignment horizontal="righ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164" fontId="4" fillId="0" borderId="52"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4"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6" xfId="0" applyFont="1" applyBorder="1" applyAlignment="1">
      <alignment horizontal="left" vertical="center"/>
    </xf>
    <xf numFmtId="0" fontId="4" fillId="0" borderId="71" xfId="0" applyFont="1" applyBorder="1" applyAlignment="1">
      <alignment horizontal="center" vertical="center" shrinkToFit="1"/>
    </xf>
    <xf numFmtId="0" fontId="4" fillId="0" borderId="52" xfId="0" applyFont="1" applyBorder="1" applyAlignment="1">
      <alignment horizontal="left" vertical="center"/>
    </xf>
    <xf numFmtId="0" fontId="2" fillId="0" borderId="0" xfId="0" applyFont="1" applyBorder="1" applyAlignment="1">
      <alignment vertical="center"/>
    </xf>
    <xf numFmtId="0" fontId="4" fillId="0" borderId="69" xfId="0" applyFont="1" applyBorder="1" applyAlignment="1">
      <alignment horizontal="center" vertical="center" shrinkToFit="1"/>
    </xf>
    <xf numFmtId="164" fontId="4" fillId="0" borderId="55" xfId="0" applyNumberFormat="1" applyFont="1" applyBorder="1" applyAlignment="1">
      <alignment horizontal="center" vertical="center" shrinkToFit="1"/>
    </xf>
    <xf numFmtId="0" fontId="1" fillId="0" borderId="46" xfId="0" applyFont="1" applyBorder="1" applyAlignment="1">
      <alignment horizontal="left" vertical="center"/>
    </xf>
    <xf numFmtId="0" fontId="42" fillId="0" borderId="0" xfId="0" applyFont="1" applyBorder="1" applyAlignment="1">
      <alignment vertical="center"/>
    </xf>
    <xf numFmtId="1" fontId="5" fillId="0" borderId="29" xfId="0" applyNumberFormat="1" applyFont="1" applyBorder="1" applyAlignment="1">
      <alignment horizontal="center" vertical="center"/>
    </xf>
    <xf numFmtId="49" fontId="15" fillId="0" borderId="40" xfId="0" applyNumberFormat="1" applyFont="1" applyFill="1" applyBorder="1" applyAlignment="1">
      <alignment horizontal="center" shrinkToFit="1"/>
    </xf>
    <xf numFmtId="0" fontId="5" fillId="4" borderId="87" xfId="0" applyFont="1" applyFill="1" applyBorder="1" applyAlignment="1">
      <alignment horizontal="right" vertical="center"/>
    </xf>
    <xf numFmtId="1" fontId="3" fillId="0" borderId="0" xfId="0" applyNumberFormat="1" applyFont="1" applyBorder="1" applyAlignment="1">
      <alignment horizontal="right" vertical="center"/>
    </xf>
    <xf numFmtId="1" fontId="3"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4" fillId="0" borderId="0" xfId="0" applyNumberFormat="1" applyFont="1" applyBorder="1" applyAlignment="1">
      <alignment horizontal="center" vertical="center"/>
    </xf>
    <xf numFmtId="1" fontId="3" fillId="0" borderId="0" xfId="0" applyNumberFormat="1" applyFont="1" applyBorder="1" applyAlignment="1">
      <alignment horizontal="left" vertical="center"/>
    </xf>
    <xf numFmtId="1" fontId="1" fillId="0" borderId="0" xfId="0" applyNumberFormat="1" applyFont="1" applyBorder="1" applyAlignment="1">
      <alignment horizontal="left" vertical="center"/>
    </xf>
    <xf numFmtId="1" fontId="1" fillId="0" borderId="0" xfId="0" applyNumberFormat="1" applyFont="1" applyBorder="1" applyAlignment="1">
      <alignment horizontal="center" vertical="center"/>
    </xf>
    <xf numFmtId="1" fontId="3" fillId="0" borderId="0" xfId="0" applyNumberFormat="1" applyFont="1" applyBorder="1" applyAlignment="1">
      <alignment horizontal="right"/>
    </xf>
    <xf numFmtId="1" fontId="4" fillId="0" borderId="0" xfId="0" applyNumberFormat="1" applyFont="1" applyBorder="1" applyAlignment="1">
      <alignment horizontal="left"/>
    </xf>
    <xf numFmtId="0" fontId="7" fillId="14" borderId="1" xfId="0" applyFont="1" applyFill="1" applyBorder="1" applyAlignment="1">
      <alignment vertical="center"/>
    </xf>
    <xf numFmtId="49" fontId="16" fillId="14" borderId="26" xfId="0" applyNumberFormat="1" applyFont="1" applyFill="1" applyBorder="1" applyAlignment="1">
      <alignment horizontal="center" vertical="center"/>
    </xf>
    <xf numFmtId="0" fontId="16" fillId="14" borderId="27"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6" xfId="0" applyNumberFormat="1" applyFont="1" applyFill="1" applyBorder="1" applyAlignment="1">
      <alignment horizontal="center" vertical="center"/>
    </xf>
    <xf numFmtId="0" fontId="26" fillId="0" borderId="1" xfId="0" applyFont="1" applyFill="1" applyBorder="1" applyAlignment="1">
      <alignment horizontal="center" vertical="center" shrinkToFit="1"/>
    </xf>
    <xf numFmtId="0" fontId="6" fillId="0" borderId="26" xfId="0" applyFont="1" applyFill="1" applyBorder="1" applyAlignment="1">
      <alignment horizontal="center" vertical="center" wrapText="1"/>
    </xf>
    <xf numFmtId="9" fontId="6" fillId="0" borderId="26" xfId="2" applyFont="1" applyFill="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27" xfId="2" applyNumberFormat="1" applyFont="1" applyFill="1" applyBorder="1" applyAlignment="1">
      <alignment horizontal="center" vertical="center" shrinkToFit="1"/>
    </xf>
    <xf numFmtId="0" fontId="6" fillId="0" borderId="28" xfId="0" quotePrefix="1"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7" xfId="2" applyNumberFormat="1"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6" fillId="0" borderId="56" xfId="0" applyFont="1" applyFill="1" applyBorder="1" applyAlignment="1">
      <alignment horizontal="center" vertical="center" wrapText="1"/>
    </xf>
    <xf numFmtId="9" fontId="6" fillId="0" borderId="56" xfId="2" applyFont="1" applyFill="1" applyBorder="1" applyAlignment="1">
      <alignment horizontal="center" vertical="center" shrinkToFit="1"/>
    </xf>
    <xf numFmtId="9" fontId="6" fillId="0" borderId="13" xfId="2"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wrapText="1"/>
    </xf>
    <xf numFmtId="0" fontId="6" fillId="0" borderId="37" xfId="0" applyFont="1" applyFill="1" applyBorder="1" applyAlignment="1">
      <alignment horizontal="center" vertical="center" shrinkToFit="1"/>
    </xf>
    <xf numFmtId="0" fontId="37" fillId="0" borderId="42" xfId="0" applyFont="1" applyFill="1" applyBorder="1" applyAlignment="1">
      <alignment horizontal="centerContinuous" vertical="center"/>
    </xf>
    <xf numFmtId="0" fontId="26" fillId="0" borderId="42" xfId="0" applyFont="1" applyFill="1" applyBorder="1" applyAlignment="1">
      <alignment horizontal="center" vertical="center" shrinkToFit="1"/>
    </xf>
    <xf numFmtId="0" fontId="26" fillId="0" borderId="42" xfId="0" applyFont="1" applyFill="1" applyBorder="1" applyAlignment="1">
      <alignment horizontal="centerContinuous" vertical="center"/>
    </xf>
    <xf numFmtId="0" fontId="33" fillId="0" borderId="24" xfId="0" applyFont="1" applyBorder="1" applyAlignment="1">
      <alignment horizontal="centerContinuous" vertical="center" wrapText="1"/>
    </xf>
    <xf numFmtId="0" fontId="1" fillId="0" borderId="78" xfId="0" applyFont="1" applyBorder="1" applyAlignment="1">
      <alignment horizontal="center" vertical="center"/>
    </xf>
    <xf numFmtId="0" fontId="1" fillId="0" borderId="14" xfId="0" applyFont="1" applyBorder="1" applyAlignment="1">
      <alignment horizontal="center" vertical="center"/>
    </xf>
    <xf numFmtId="0" fontId="1" fillId="0" borderId="71" xfId="0" applyFont="1" applyFill="1" applyBorder="1" applyAlignment="1">
      <alignment horizontal="center" vertical="center"/>
    </xf>
    <xf numFmtId="164" fontId="4" fillId="0" borderId="86" xfId="0" applyNumberFormat="1" applyFont="1" applyBorder="1" applyAlignment="1">
      <alignment horizontal="center" vertical="center" shrinkToFit="1"/>
    </xf>
    <xf numFmtId="0" fontId="6" fillId="15" borderId="25" xfId="0" quotePrefix="1" applyFont="1" applyFill="1" applyBorder="1" applyAlignment="1">
      <alignment horizontal="center" vertical="center"/>
    </xf>
    <xf numFmtId="0" fontId="20" fillId="13" borderId="88" xfId="0" applyFont="1" applyFill="1" applyBorder="1" applyAlignment="1">
      <alignment horizontal="center" vertical="center"/>
    </xf>
    <xf numFmtId="0" fontId="1" fillId="0" borderId="0" xfId="0" applyFont="1" applyBorder="1" applyAlignment="1">
      <alignment vertical="center"/>
    </xf>
    <xf numFmtId="1" fontId="20" fillId="13" borderId="36" xfId="0" applyNumberFormat="1" applyFont="1" applyFill="1" applyBorder="1" applyAlignment="1">
      <alignment horizontal="center" vertical="center"/>
    </xf>
    <xf numFmtId="0" fontId="1" fillId="0" borderId="64" xfId="0" applyFont="1" applyFill="1" applyBorder="1" applyAlignment="1">
      <alignment horizontal="centerContinuous" vertical="center" shrinkToFit="1"/>
    </xf>
    <xf numFmtId="0" fontId="20" fillId="0" borderId="65" xfId="0" applyFont="1" applyFill="1" applyBorder="1" applyAlignment="1">
      <alignment horizontal="centerContinuous" vertical="center"/>
    </xf>
    <xf numFmtId="0" fontId="20" fillId="0" borderId="89" xfId="0" applyFont="1" applyFill="1" applyBorder="1" applyAlignment="1">
      <alignment horizontal="centerContinuous" vertical="center"/>
    </xf>
    <xf numFmtId="0" fontId="1" fillId="0" borderId="90"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66" xfId="0" applyFont="1" applyFill="1" applyBorder="1" applyAlignment="1">
      <alignment horizontal="centerContinuous" vertical="center"/>
    </xf>
    <xf numFmtId="1" fontId="1" fillId="0" borderId="91" xfId="0" applyNumberFormat="1" applyFont="1" applyFill="1" applyBorder="1" applyAlignment="1">
      <alignment horizontal="center" vertical="center"/>
    </xf>
    <xf numFmtId="0" fontId="1" fillId="0" borderId="92" xfId="0" applyFont="1" applyFill="1" applyBorder="1" applyAlignment="1">
      <alignment horizontal="centerContinuous" vertical="center" shrinkToFit="1"/>
    </xf>
    <xf numFmtId="0" fontId="20" fillId="0" borderId="93" xfId="0" applyFont="1" applyFill="1" applyBorder="1" applyAlignment="1">
      <alignment horizontal="centerContinuous" vertical="center"/>
    </xf>
    <xf numFmtId="0" fontId="20" fillId="0" borderId="94" xfId="0" applyFont="1" applyFill="1" applyBorder="1" applyAlignment="1">
      <alignment horizontal="centerContinuous" vertical="center"/>
    </xf>
    <xf numFmtId="0" fontId="1" fillId="0" borderId="47" xfId="0" applyFont="1" applyFill="1" applyBorder="1" applyAlignment="1">
      <alignment horizontal="center" vertical="center"/>
    </xf>
    <xf numFmtId="0" fontId="1" fillId="0" borderId="95" xfId="0" applyFont="1" applyFill="1" applyBorder="1" applyAlignment="1">
      <alignment horizontal="centerContinuous" vertical="center"/>
    </xf>
    <xf numFmtId="1" fontId="1" fillId="0" borderId="96" xfId="0" applyNumberFormat="1" applyFont="1" applyBorder="1" applyAlignment="1">
      <alignment horizontal="center" vertical="center"/>
    </xf>
    <xf numFmtId="0" fontId="1" fillId="0" borderId="51" xfId="0" applyFont="1" applyFill="1" applyBorder="1" applyAlignment="1">
      <alignment horizontal="centerContinuous" vertical="center" shrinkToFit="1"/>
    </xf>
    <xf numFmtId="0" fontId="1" fillId="0" borderId="84" xfId="0" applyFont="1" applyFill="1" applyBorder="1" applyAlignment="1">
      <alignment horizontal="centerContinuous" vertical="center"/>
    </xf>
    <xf numFmtId="0" fontId="1" fillId="0" borderId="97" xfId="0" applyFont="1" applyFill="1" applyBorder="1" applyAlignment="1">
      <alignment horizontal="centerContinuous" vertical="center"/>
    </xf>
    <xf numFmtId="49" fontId="1" fillId="0" borderId="53" xfId="0" applyNumberFormat="1" applyFont="1" applyFill="1" applyBorder="1" applyAlignment="1">
      <alignment horizontal="center" vertical="center"/>
    </xf>
    <xf numFmtId="49" fontId="1" fillId="0" borderId="52"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1" fontId="1" fillId="0" borderId="61" xfId="0" applyNumberFormat="1" applyFont="1" applyBorder="1" applyAlignment="1">
      <alignment horizontal="center" vertical="center"/>
    </xf>
    <xf numFmtId="164" fontId="20" fillId="3" borderId="36" xfId="0" applyNumberFormat="1" applyFont="1" applyFill="1" applyBorder="1" applyAlignment="1">
      <alignment horizontal="center" vertical="center"/>
    </xf>
    <xf numFmtId="1" fontId="1" fillId="0" borderId="42" xfId="0" applyNumberFormat="1" applyFont="1" applyBorder="1" applyAlignment="1">
      <alignment horizontal="center" vertical="center" shrinkToFit="1"/>
    </xf>
    <xf numFmtId="1" fontId="1" fillId="0" borderId="61" xfId="0" applyNumberFormat="1" applyFont="1" applyBorder="1" applyAlignment="1">
      <alignment horizontal="center" vertical="center" shrinkToFit="1"/>
    </xf>
    <xf numFmtId="0" fontId="56" fillId="2" borderId="98" xfId="0" applyFont="1" applyFill="1" applyBorder="1" applyAlignment="1">
      <alignment horizontal="right" vertical="center"/>
    </xf>
    <xf numFmtId="0" fontId="19" fillId="2" borderId="99" xfId="0" applyFont="1" applyFill="1" applyBorder="1" applyAlignment="1">
      <alignment horizontal="left" vertical="center"/>
    </xf>
    <xf numFmtId="0" fontId="57" fillId="2" borderId="99" xfId="0" applyFont="1" applyFill="1" applyBorder="1" applyAlignment="1">
      <alignment horizontal="centerContinuous" vertical="center"/>
    </xf>
    <xf numFmtId="0" fontId="1" fillId="2" borderId="99" xfId="0" applyFont="1" applyFill="1" applyBorder="1" applyAlignment="1">
      <alignment horizontal="left" vertical="center"/>
    </xf>
    <xf numFmtId="0" fontId="3" fillId="2" borderId="99" xfId="0" applyFont="1" applyFill="1" applyBorder="1" applyAlignment="1">
      <alignment horizontal="centerContinuous" vertical="center"/>
    </xf>
    <xf numFmtId="0" fontId="58" fillId="2" borderId="100" xfId="0" applyFont="1" applyFill="1" applyBorder="1" applyAlignment="1">
      <alignment horizontal="right" vertical="center"/>
    </xf>
    <xf numFmtId="0" fontId="59" fillId="0" borderId="0" xfId="0" applyFont="1" applyBorder="1" applyAlignment="1">
      <alignment horizontal="centerContinuous" vertical="center"/>
    </xf>
    <xf numFmtId="49" fontId="6" fillId="0" borderId="2" xfId="0" quotePrefix="1" applyNumberFormat="1" applyFont="1" applyBorder="1" applyAlignment="1">
      <alignment horizontal="center" vertical="center"/>
    </xf>
    <xf numFmtId="0" fontId="5" fillId="0" borderId="8" xfId="0" applyFont="1" applyBorder="1" applyAlignment="1">
      <alignment horizontal="right" vertical="center"/>
    </xf>
    <xf numFmtId="0" fontId="59" fillId="0" borderId="9" xfId="0" applyFont="1" applyBorder="1" applyAlignment="1">
      <alignment horizontal="centerContinuous" vertical="center"/>
    </xf>
    <xf numFmtId="0" fontId="6" fillId="0" borderId="9" xfId="0" applyFont="1" applyBorder="1" applyAlignment="1">
      <alignment horizontal="centerContinuous" vertical="center"/>
    </xf>
    <xf numFmtId="0" fontId="5" fillId="0" borderId="9" xfId="0" applyFont="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5" fillId="0" borderId="60" xfId="3" applyNumberFormat="1" applyFont="1" applyFill="1" applyBorder="1" applyAlignment="1">
      <alignment horizontal="center" vertical="center"/>
    </xf>
    <xf numFmtId="0" fontId="7" fillId="4" borderId="101" xfId="3" applyFont="1" applyFill="1" applyBorder="1" applyAlignment="1">
      <alignment horizontal="right" vertical="center"/>
    </xf>
    <xf numFmtId="1" fontId="6" fillId="0" borderId="6" xfId="3" applyNumberFormat="1" applyFont="1" applyBorder="1" applyAlignment="1">
      <alignment horizontal="center" vertical="center"/>
    </xf>
    <xf numFmtId="0" fontId="5" fillId="16" borderId="77" xfId="3"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Border="1" applyAlignment="1">
      <alignment horizontal="center" vertical="center"/>
    </xf>
    <xf numFmtId="0" fontId="25" fillId="0" borderId="102" xfId="3" applyNumberFormat="1" applyFont="1" applyFill="1" applyBorder="1" applyAlignment="1">
      <alignment horizontal="center" vertical="center"/>
    </xf>
    <xf numFmtId="0" fontId="10" fillId="4" borderId="92" xfId="3" applyFont="1" applyFill="1" applyBorder="1" applyAlignment="1">
      <alignment horizontal="right" vertical="center"/>
    </xf>
    <xf numFmtId="0" fontId="6" fillId="0" borderId="103" xfId="3" applyNumberFormat="1" applyFont="1" applyBorder="1" applyAlignment="1">
      <alignment horizontal="center" vertical="center"/>
    </xf>
    <xf numFmtId="1" fontId="6" fillId="0" borderId="30" xfId="3" applyNumberFormat="1" applyFont="1" applyBorder="1" applyAlignment="1">
      <alignment horizontal="center" vertical="center"/>
    </xf>
    <xf numFmtId="0" fontId="6" fillId="0" borderId="2" xfId="0" applyFont="1" applyFill="1" applyBorder="1" applyAlignment="1">
      <alignment horizontal="center" vertical="center"/>
    </xf>
    <xf numFmtId="0" fontId="7" fillId="4" borderId="92" xfId="3" applyFont="1" applyFill="1" applyBorder="1" applyAlignment="1">
      <alignment horizontal="right" vertical="center"/>
    </xf>
    <xf numFmtId="0" fontId="6" fillId="0" borderId="104" xfId="3" quotePrefix="1" applyFont="1" applyBorder="1" applyAlignment="1">
      <alignment horizontal="center" vertical="center"/>
    </xf>
    <xf numFmtId="0" fontId="7" fillId="0" borderId="1" xfId="3" applyFont="1" applyFill="1" applyBorder="1" applyAlignment="1">
      <alignment horizontal="right" vertical="center"/>
    </xf>
    <xf numFmtId="0" fontId="10" fillId="2" borderId="4" xfId="0" applyFont="1" applyFill="1" applyBorder="1" applyAlignment="1">
      <alignment horizontal="right" vertical="center"/>
    </xf>
    <xf numFmtId="0" fontId="6" fillId="0" borderId="104" xfId="3" applyFont="1" applyBorder="1" applyAlignment="1">
      <alignment horizontal="center" vertical="center"/>
    </xf>
    <xf numFmtId="0" fontId="10" fillId="0" borderId="1" xfId="3" applyFont="1" applyFill="1" applyBorder="1" applyAlignment="1">
      <alignment horizontal="right" vertical="center"/>
    </xf>
    <xf numFmtId="0" fontId="25" fillId="0" borderId="3" xfId="3" applyNumberFormat="1" applyFont="1" applyFill="1" applyBorder="1" applyAlignment="1">
      <alignment horizontal="center" vertical="center"/>
    </xf>
    <xf numFmtId="0" fontId="60" fillId="4" borderId="105" xfId="3" applyFont="1" applyFill="1" applyBorder="1" applyAlignment="1">
      <alignment horizontal="right" vertical="center"/>
    </xf>
    <xf numFmtId="0" fontId="6" fillId="0" borderId="25" xfId="0" applyFont="1" applyBorder="1" applyAlignment="1">
      <alignment horizontal="center" vertical="center"/>
    </xf>
    <xf numFmtId="0" fontId="25" fillId="0" borderId="25" xfId="3" applyNumberFormat="1" applyFont="1" applyFill="1" applyBorder="1" applyAlignment="1">
      <alignment horizontal="center" vertical="center"/>
    </xf>
    <xf numFmtId="0" fontId="9" fillId="4" borderId="14" xfId="3" applyFont="1" applyFill="1" applyBorder="1" applyAlignment="1">
      <alignment horizontal="right" vertical="center"/>
    </xf>
    <xf numFmtId="0" fontId="6" fillId="0" borderId="41" xfId="3" applyFont="1" applyBorder="1" applyAlignment="1">
      <alignment horizontal="center" vertical="center"/>
    </xf>
    <xf numFmtId="0" fontId="10" fillId="0" borderId="1" xfId="0" applyFont="1" applyFill="1" applyBorder="1" applyAlignment="1">
      <alignment horizontal="right" vertical="center"/>
    </xf>
    <xf numFmtId="0" fontId="1" fillId="0" borderId="0" xfId="0" applyFont="1" applyBorder="1" applyAlignment="1">
      <alignment horizontal="left" vertical="center"/>
    </xf>
    <xf numFmtId="0" fontId="59" fillId="0" borderId="0" xfId="0" applyFont="1" applyBorder="1" applyAlignment="1">
      <alignment vertical="center"/>
    </xf>
    <xf numFmtId="0" fontId="1" fillId="0" borderId="71" xfId="0" applyFont="1" applyBorder="1" applyAlignment="1">
      <alignment horizontal="center" vertical="center" shrinkToFit="1"/>
    </xf>
    <xf numFmtId="0" fontId="1" fillId="0" borderId="52" xfId="0" applyFont="1" applyBorder="1" applyAlignment="1">
      <alignment horizontal="left" vertical="center"/>
    </xf>
    <xf numFmtId="1" fontId="1" fillId="12" borderId="42" xfId="0" applyNumberFormat="1" applyFont="1" applyFill="1" applyBorder="1" applyAlignment="1">
      <alignment horizontal="center" vertical="center" shrinkToFit="1"/>
    </xf>
    <xf numFmtId="165" fontId="4" fillId="0" borderId="0" xfId="0" applyNumberFormat="1" applyFont="1" applyBorder="1" applyAlignment="1">
      <alignment vertical="center"/>
    </xf>
    <xf numFmtId="164" fontId="1" fillId="0" borderId="42" xfId="0" applyNumberFormat="1" applyFont="1" applyBorder="1" applyAlignment="1">
      <alignment horizontal="center" vertical="center" shrinkToFit="1"/>
    </xf>
    <xf numFmtId="0" fontId="1" fillId="0" borderId="49" xfId="0" applyFont="1" applyBorder="1" applyAlignment="1">
      <alignment horizontal="left" vertical="center"/>
    </xf>
    <xf numFmtId="0" fontId="1" fillId="0" borderId="57" xfId="0" applyFont="1" applyBorder="1" applyAlignment="1">
      <alignment horizontal="center" vertical="center"/>
    </xf>
    <xf numFmtId="0" fontId="3" fillId="0" borderId="106" xfId="0" applyFont="1" applyBorder="1" applyAlignment="1">
      <alignment horizontal="right" vertical="center"/>
    </xf>
    <xf numFmtId="0" fontId="1" fillId="0" borderId="107" xfId="0" applyFont="1" applyBorder="1" applyAlignment="1">
      <alignment horizontal="center" vertical="center" wrapText="1"/>
    </xf>
    <xf numFmtId="0" fontId="3" fillId="0" borderId="42" xfId="0" applyFont="1" applyBorder="1" applyAlignment="1">
      <alignment horizontal="right" vertical="center"/>
    </xf>
    <xf numFmtId="0" fontId="1" fillId="0" borderId="94" xfId="0" applyFont="1" applyBorder="1" applyAlignment="1">
      <alignment horizontal="center" vertical="center" wrapText="1"/>
    </xf>
    <xf numFmtId="0" fontId="3" fillId="0" borderId="61" xfId="0" applyFont="1" applyBorder="1" applyAlignment="1">
      <alignment horizontal="right" vertical="center"/>
    </xf>
    <xf numFmtId="0" fontId="65" fillId="0" borderId="5" xfId="0" applyFont="1" applyBorder="1" applyAlignment="1">
      <alignment horizontal="centerContinuous" vertical="center"/>
    </xf>
    <xf numFmtId="0" fontId="65" fillId="0" borderId="6" xfId="0" applyFont="1" applyBorder="1" applyAlignment="1">
      <alignment horizontal="centerContinuous" vertical="center"/>
    </xf>
    <xf numFmtId="0" fontId="66" fillId="0" borderId="6" xfId="0" applyFont="1" applyBorder="1" applyAlignment="1">
      <alignment horizontal="centerContinuous" vertical="center" wrapText="1"/>
    </xf>
    <xf numFmtId="0" fontId="66" fillId="0" borderId="7" xfId="0" applyFont="1" applyBorder="1" applyAlignment="1">
      <alignment horizontal="centerContinuous" vertical="center" wrapText="1"/>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64" fillId="17" borderId="97" xfId="0" applyFont="1" applyFill="1" applyBorder="1" applyAlignment="1">
      <alignment horizontal="center" vertical="center" wrapText="1"/>
    </xf>
    <xf numFmtId="0" fontId="6" fillId="0" borderId="110" xfId="0" applyFont="1" applyFill="1" applyBorder="1" applyAlignment="1">
      <alignment horizontal="center" vertical="center" shrinkToFit="1"/>
    </xf>
    <xf numFmtId="0" fontId="6" fillId="0" borderId="111" xfId="0" applyFont="1" applyFill="1" applyBorder="1" applyAlignment="1">
      <alignment horizontal="center" vertical="center"/>
    </xf>
    <xf numFmtId="0" fontId="35" fillId="9" borderId="112" xfId="2" applyNumberFormat="1" applyFont="1" applyFill="1" applyBorder="1" applyAlignment="1">
      <alignment horizontal="center" vertical="center" shrinkToFit="1"/>
    </xf>
    <xf numFmtId="0" fontId="52" fillId="12" borderId="32" xfId="0" applyFont="1" applyFill="1" applyBorder="1" applyAlignment="1">
      <alignment horizontal="center" vertical="center" shrinkToFit="1"/>
    </xf>
    <xf numFmtId="0" fontId="6" fillId="12" borderId="11" xfId="0" applyFont="1" applyFill="1" applyBorder="1" applyAlignment="1">
      <alignment horizontal="center" vertical="center" wrapText="1"/>
    </xf>
    <xf numFmtId="9" fontId="6" fillId="12" borderId="11" xfId="2" applyFont="1" applyFill="1" applyBorder="1" applyAlignment="1">
      <alignment horizontal="center" vertical="center" shrinkToFit="1"/>
    </xf>
    <xf numFmtId="9" fontId="6" fillId="12" borderId="25" xfId="2" applyFont="1" applyFill="1" applyBorder="1" applyAlignment="1">
      <alignment horizontal="center" vertical="center" shrinkToFit="1"/>
    </xf>
    <xf numFmtId="0" fontId="4" fillId="12" borderId="25" xfId="0" applyFont="1" applyFill="1" applyBorder="1" applyAlignment="1">
      <alignment horizontal="center" vertical="center" wrapText="1"/>
    </xf>
    <xf numFmtId="0" fontId="6" fillId="12" borderId="25" xfId="2" applyNumberFormat="1" applyFont="1" applyFill="1" applyBorder="1" applyAlignment="1">
      <alignment horizontal="center" vertical="center" shrinkToFit="1"/>
    </xf>
    <xf numFmtId="0" fontId="6" fillId="12" borderId="30" xfId="0" applyNumberFormat="1" applyFont="1" applyFill="1" applyBorder="1" applyAlignment="1">
      <alignment horizontal="center" vertical="center" wrapText="1"/>
    </xf>
    <xf numFmtId="0" fontId="6" fillId="0" borderId="39" xfId="0" applyFont="1" applyFill="1" applyBorder="1" applyAlignment="1">
      <alignment horizontal="center" vertical="center"/>
    </xf>
    <xf numFmtId="0" fontId="1" fillId="0" borderId="46" xfId="0" applyFont="1" applyFill="1" applyBorder="1" applyAlignment="1">
      <alignment horizontal="center" vertical="center" wrapText="1"/>
    </xf>
    <xf numFmtId="0" fontId="64" fillId="17" borderId="52" xfId="0" applyFont="1" applyFill="1" applyBorder="1" applyAlignment="1">
      <alignment horizontal="center" vertical="center" wrapText="1"/>
    </xf>
    <xf numFmtId="0" fontId="1" fillId="18" borderId="108" xfId="0" applyFont="1" applyFill="1" applyBorder="1" applyAlignment="1">
      <alignment horizontal="center" vertical="center" wrapText="1"/>
    </xf>
    <xf numFmtId="0" fontId="1" fillId="18" borderId="46" xfId="0" applyFont="1" applyFill="1" applyBorder="1" applyAlignment="1">
      <alignment horizontal="center" vertical="center" wrapText="1"/>
    </xf>
    <xf numFmtId="0" fontId="1" fillId="18" borderId="109" xfId="0" applyFont="1" applyFill="1" applyBorder="1" applyAlignment="1">
      <alignment horizontal="center" vertical="center" wrapText="1"/>
    </xf>
    <xf numFmtId="0" fontId="1" fillId="18" borderId="48" xfId="0" applyFont="1" applyFill="1" applyBorder="1" applyAlignment="1">
      <alignment horizontal="center" vertical="center" wrapText="1"/>
    </xf>
    <xf numFmtId="0" fontId="3" fillId="18" borderId="52" xfId="0" applyFont="1" applyFill="1" applyBorder="1" applyAlignment="1">
      <alignment horizontal="center" vertical="center" wrapText="1"/>
    </xf>
    <xf numFmtId="0" fontId="3" fillId="18" borderId="54" xfId="0" applyFont="1" applyFill="1" applyBorder="1" applyAlignment="1">
      <alignment horizontal="center" vertical="center" wrapText="1"/>
    </xf>
    <xf numFmtId="0" fontId="6" fillId="0" borderId="92" xfId="0" applyFont="1" applyFill="1" applyBorder="1" applyAlignment="1">
      <alignment horizontal="center" vertical="center" shrinkToFit="1"/>
    </xf>
    <xf numFmtId="0" fontId="6" fillId="0" borderId="103" xfId="0" applyFont="1" applyFill="1" applyBorder="1" applyAlignment="1">
      <alignment horizontal="center" vertical="center"/>
    </xf>
    <xf numFmtId="0" fontId="35" fillId="9" borderId="104" xfId="2" applyNumberFormat="1" applyFont="1" applyFill="1" applyBorder="1" applyAlignment="1">
      <alignment horizontal="center" vertical="center" shrinkToFit="1"/>
    </xf>
    <xf numFmtId="0" fontId="51" fillId="0" borderId="42" xfId="0" applyFont="1" applyBorder="1" applyAlignment="1">
      <alignment horizontal="centerContinuous" vertical="center"/>
    </xf>
    <xf numFmtId="0" fontId="51" fillId="0" borderId="42" xfId="0" applyFont="1" applyFill="1" applyBorder="1" applyAlignment="1">
      <alignment horizontal="center" vertical="center" shrinkToFit="1"/>
    </xf>
    <xf numFmtId="1" fontId="6" fillId="0" borderId="111" xfId="0" applyNumberFormat="1" applyFont="1" applyFill="1" applyBorder="1" applyAlignment="1">
      <alignment horizontal="center" vertical="center"/>
    </xf>
    <xf numFmtId="1" fontId="6" fillId="0" borderId="103" xfId="0" applyNumberFormat="1" applyFont="1" applyFill="1" applyBorder="1" applyAlignment="1">
      <alignment horizontal="center" vertical="center"/>
    </xf>
    <xf numFmtId="1" fontId="6" fillId="0" borderId="56" xfId="0" applyNumberFormat="1" applyFont="1" applyFill="1" applyBorder="1" applyAlignment="1">
      <alignment horizontal="center" vertical="center"/>
    </xf>
    <xf numFmtId="1" fontId="54" fillId="11" borderId="52" xfId="0" applyNumberFormat="1" applyFont="1" applyFill="1" applyBorder="1" applyAlignment="1">
      <alignment horizontal="center" vertical="center"/>
    </xf>
    <xf numFmtId="1" fontId="1" fillId="0" borderId="52" xfId="0" applyNumberFormat="1" applyFont="1" applyBorder="1" applyAlignment="1">
      <alignment horizontal="center" vertical="center"/>
    </xf>
    <xf numFmtId="0" fontId="52" fillId="0" borderId="61" xfId="0" applyFont="1" applyFill="1" applyBorder="1" applyAlignment="1">
      <alignment horizontal="centerContinuous" vertical="center"/>
    </xf>
    <xf numFmtId="0" fontId="6" fillId="0" borderId="27" xfId="0" applyNumberFormat="1" applyFont="1" applyFill="1" applyBorder="1" applyAlignment="1">
      <alignment horizontal="center" vertical="center" shrinkToFit="1"/>
    </xf>
    <xf numFmtId="0" fontId="52" fillId="0" borderId="1" xfId="0" applyFont="1" applyFill="1" applyBorder="1" applyAlignment="1">
      <alignment horizontal="center" vertical="center" shrinkToFit="1"/>
    </xf>
    <xf numFmtId="0" fontId="1" fillId="0" borderId="114" xfId="0" applyFont="1" applyFill="1" applyBorder="1" applyAlignment="1">
      <alignment horizontal="center" vertical="center"/>
    </xf>
    <xf numFmtId="0" fontId="1" fillId="0" borderId="115" xfId="0" applyFont="1" applyFill="1" applyBorder="1" applyAlignment="1">
      <alignment horizontal="center" vertical="center"/>
    </xf>
    <xf numFmtId="49" fontId="1" fillId="0" borderId="115" xfId="2" applyNumberFormat="1" applyFont="1" applyBorder="1" applyAlignment="1">
      <alignment horizontal="center" vertical="center"/>
    </xf>
    <xf numFmtId="49" fontId="1" fillId="0" borderId="115" xfId="2" applyNumberFormat="1" applyFont="1" applyFill="1" applyBorder="1" applyAlignment="1">
      <alignment horizontal="center" vertical="center"/>
    </xf>
    <xf numFmtId="0" fontId="1" fillId="0" borderId="115" xfId="0" applyFont="1" applyFill="1" applyBorder="1" applyAlignment="1">
      <alignment horizontal="center" vertical="center" shrinkToFit="1"/>
    </xf>
    <xf numFmtId="164" fontId="4" fillId="0" borderId="115" xfId="0" applyNumberFormat="1" applyFont="1" applyBorder="1" applyAlignment="1">
      <alignment horizontal="center" vertical="center"/>
    </xf>
    <xf numFmtId="1" fontId="54" fillId="11" borderId="115" xfId="0" applyNumberFormat="1" applyFont="1" applyFill="1" applyBorder="1" applyAlignment="1">
      <alignment horizontal="center" vertical="center"/>
    </xf>
    <xf numFmtId="1" fontId="1" fillId="0" borderId="115" xfId="0" applyNumberFormat="1" applyFont="1" applyBorder="1" applyAlignment="1">
      <alignment horizontal="center" vertical="center"/>
    </xf>
    <xf numFmtId="0" fontId="1" fillId="0" borderId="116" xfId="0" applyFont="1" applyFill="1" applyBorder="1" applyAlignment="1">
      <alignment horizontal="center" vertical="center"/>
    </xf>
    <xf numFmtId="0" fontId="1" fillId="0" borderId="117" xfId="0" applyFont="1" applyFill="1" applyBorder="1" applyAlignment="1">
      <alignment horizontal="center" vertical="center"/>
    </xf>
    <xf numFmtId="0" fontId="1" fillId="0" borderId="86" xfId="0" applyFont="1" applyFill="1" applyBorder="1" applyAlignment="1">
      <alignment horizontal="center" vertical="center"/>
    </xf>
    <xf numFmtId="49" fontId="1" fillId="0" borderId="86" xfId="2" applyNumberFormat="1" applyFont="1" applyBorder="1" applyAlignment="1">
      <alignment horizontal="center" vertical="center"/>
    </xf>
    <xf numFmtId="49" fontId="1" fillId="0" borderId="86" xfId="2" applyNumberFormat="1" applyFont="1" applyFill="1" applyBorder="1" applyAlignment="1">
      <alignment horizontal="center" vertical="center"/>
    </xf>
    <xf numFmtId="0" fontId="1" fillId="0" borderId="86" xfId="0" applyFont="1" applyFill="1" applyBorder="1" applyAlignment="1">
      <alignment horizontal="center" vertical="center" shrinkToFit="1"/>
    </xf>
    <xf numFmtId="164" fontId="4" fillId="0" borderId="86" xfId="0" applyNumberFormat="1" applyFont="1" applyFill="1" applyBorder="1" applyAlignment="1">
      <alignment horizontal="center" vertical="center"/>
    </xf>
    <xf numFmtId="164" fontId="4" fillId="0" borderId="86" xfId="0" applyNumberFormat="1" applyFont="1" applyBorder="1" applyAlignment="1">
      <alignment horizontal="center" vertical="center"/>
    </xf>
    <xf numFmtId="1" fontId="54" fillId="11" borderId="86" xfId="0" applyNumberFormat="1" applyFont="1" applyFill="1" applyBorder="1" applyAlignment="1">
      <alignment horizontal="center" vertical="center"/>
    </xf>
    <xf numFmtId="1" fontId="1" fillId="0" borderId="86" xfId="0" applyNumberFormat="1" applyFont="1" applyBorder="1" applyAlignment="1">
      <alignment horizontal="center" vertical="center"/>
    </xf>
    <xf numFmtId="0" fontId="1" fillId="0" borderId="50"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49" fontId="1" fillId="0" borderId="119" xfId="2" applyNumberFormat="1" applyFont="1" applyBorder="1" applyAlignment="1">
      <alignment horizontal="center" vertical="center"/>
    </xf>
    <xf numFmtId="0" fontId="1" fillId="0" borderId="119" xfId="0" applyFont="1" applyFill="1" applyBorder="1" applyAlignment="1">
      <alignment horizontal="center" vertical="center" shrinkToFit="1"/>
    </xf>
    <xf numFmtId="1" fontId="54" fillId="11" borderId="119" xfId="0" applyNumberFormat="1" applyFont="1" applyFill="1" applyBorder="1" applyAlignment="1">
      <alignment horizontal="center" vertical="center"/>
    </xf>
    <xf numFmtId="1" fontId="1" fillId="0" borderId="119" xfId="0" applyNumberFormat="1" applyFont="1" applyBorder="1" applyAlignment="1">
      <alignment horizontal="center" vertical="center"/>
    </xf>
    <xf numFmtId="0" fontId="1" fillId="0" borderId="120" xfId="0" applyFont="1" applyFill="1" applyBorder="1" applyAlignment="1">
      <alignment horizontal="center" vertical="center"/>
    </xf>
    <xf numFmtId="1" fontId="1" fillId="0" borderId="121" xfId="0" applyNumberFormat="1" applyFont="1" applyFill="1" applyBorder="1" applyAlignment="1">
      <alignment horizontal="center" vertical="center"/>
    </xf>
    <xf numFmtId="1" fontId="1" fillId="12" borderId="122" xfId="0" applyNumberFormat="1" applyFont="1" applyFill="1" applyBorder="1" applyAlignment="1">
      <alignment horizontal="center" vertical="center"/>
    </xf>
    <xf numFmtId="1" fontId="1" fillId="12" borderId="61" xfId="0" applyNumberFormat="1" applyFont="1" applyFill="1" applyBorder="1" applyAlignment="1">
      <alignment horizontal="center" vertical="center"/>
    </xf>
    <xf numFmtId="0" fontId="1" fillId="19" borderId="119" xfId="0" quotePrefix="1" applyFont="1" applyFill="1" applyBorder="1" applyAlignment="1">
      <alignment horizontal="center" vertical="center" wrapText="1"/>
    </xf>
    <xf numFmtId="0" fontId="1" fillId="19" borderId="115" xfId="0" quotePrefix="1" applyFont="1" applyFill="1" applyBorder="1" applyAlignment="1">
      <alignment horizontal="center" vertical="center" wrapText="1"/>
    </xf>
    <xf numFmtId="0" fontId="1" fillId="19" borderId="86" xfId="0" quotePrefix="1" applyFont="1" applyFill="1" applyBorder="1" applyAlignment="1">
      <alignment horizontal="center" vertical="center" wrapText="1"/>
    </xf>
    <xf numFmtId="164" fontId="4" fillId="12" borderId="115" xfId="0" applyNumberFormat="1" applyFont="1" applyFill="1" applyBorder="1" applyAlignment="1">
      <alignment horizontal="center" vertical="center"/>
    </xf>
    <xf numFmtId="164" fontId="1" fillId="0" borderId="115" xfId="0" applyNumberFormat="1" applyFont="1" applyBorder="1" applyAlignment="1">
      <alignment horizontal="center" vertical="center"/>
    </xf>
    <xf numFmtId="164" fontId="1" fillId="12" borderId="115" xfId="0" applyNumberFormat="1" applyFont="1" applyFill="1" applyBorder="1" applyAlignment="1">
      <alignment horizontal="center" vertical="center"/>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19" borderId="124" xfId="0" quotePrefix="1" applyFont="1" applyFill="1" applyBorder="1" applyAlignment="1">
      <alignment horizontal="center" vertical="center" wrapText="1"/>
    </xf>
    <xf numFmtId="49" fontId="1" fillId="0" borderId="124" xfId="2" applyNumberFormat="1" applyFont="1" applyBorder="1" applyAlignment="1">
      <alignment horizontal="center" vertical="center"/>
    </xf>
    <xf numFmtId="49" fontId="1" fillId="0" borderId="124" xfId="2" applyNumberFormat="1" applyFont="1" applyFill="1" applyBorder="1" applyAlignment="1">
      <alignment horizontal="center" vertical="center"/>
    </xf>
    <xf numFmtId="0" fontId="1" fillId="0" borderId="124" xfId="0" applyFont="1" applyFill="1" applyBorder="1" applyAlignment="1">
      <alignment horizontal="center" vertical="center" shrinkToFit="1"/>
    </xf>
    <xf numFmtId="164" fontId="4" fillId="0" borderId="124" xfId="0" applyNumberFormat="1" applyFont="1" applyFill="1" applyBorder="1" applyAlignment="1">
      <alignment horizontal="center" vertical="center"/>
    </xf>
    <xf numFmtId="164" fontId="4" fillId="0" borderId="124" xfId="0" applyNumberFormat="1" applyFont="1" applyBorder="1" applyAlignment="1">
      <alignment horizontal="center" vertical="center"/>
    </xf>
    <xf numFmtId="1" fontId="54" fillId="11" borderId="124" xfId="0" applyNumberFormat="1" applyFont="1" applyFill="1" applyBorder="1" applyAlignment="1">
      <alignment horizontal="center" vertical="center"/>
    </xf>
    <xf numFmtId="1" fontId="1" fillId="0" borderId="124" xfId="0" applyNumberFormat="1" applyFont="1" applyBorder="1" applyAlignment="1">
      <alignment horizontal="center" vertical="center"/>
    </xf>
    <xf numFmtId="0" fontId="1" fillId="0" borderId="125" xfId="0" applyFont="1" applyFill="1" applyBorder="1" applyAlignment="1">
      <alignment horizontal="center" vertical="center"/>
    </xf>
    <xf numFmtId="164" fontId="1" fillId="0" borderId="119" xfId="0" applyNumberFormat="1" applyFont="1" applyFill="1" applyBorder="1" applyAlignment="1">
      <alignment horizontal="center" vertical="center"/>
    </xf>
    <xf numFmtId="164" fontId="1" fillId="0" borderId="119" xfId="0" applyNumberFormat="1" applyFont="1" applyBorder="1" applyAlignment="1">
      <alignment horizontal="center" vertical="center"/>
    </xf>
    <xf numFmtId="1" fontId="1" fillId="0" borderId="126" xfId="0" applyNumberFormat="1" applyFont="1" applyFill="1" applyBorder="1" applyAlignment="1">
      <alignment horizontal="center" vertical="center"/>
    </xf>
    <xf numFmtId="0" fontId="51" fillId="0" borderId="61" xfId="0" quotePrefix="1" applyFont="1" applyFill="1" applyBorder="1" applyAlignment="1">
      <alignment horizontal="centerContinuous" vertical="center" shrinkToFit="1"/>
    </xf>
    <xf numFmtId="0" fontId="51" fillId="0" borderId="61" xfId="0" applyFont="1" applyFill="1" applyBorder="1" applyAlignment="1">
      <alignment horizontal="centerContinuous" vertical="center"/>
    </xf>
    <xf numFmtId="49" fontId="1" fillId="15" borderId="119" xfId="2" applyNumberFormat="1" applyFont="1" applyFill="1" applyBorder="1" applyAlignment="1">
      <alignment horizontal="center" vertical="center"/>
    </xf>
    <xf numFmtId="49" fontId="1" fillId="15" borderId="115" xfId="2" applyNumberFormat="1" applyFont="1" applyFill="1" applyBorder="1" applyAlignment="1">
      <alignment horizontal="center" vertical="center"/>
    </xf>
    <xf numFmtId="0" fontId="67" fillId="0" borderId="127" xfId="0" applyFont="1" applyBorder="1" applyAlignment="1">
      <alignment horizontal="centerContinuous" vertical="center"/>
    </xf>
    <xf numFmtId="0" fontId="65" fillId="0" borderId="128" xfId="0" applyFont="1" applyBorder="1" applyAlignment="1">
      <alignment horizontal="centerContinuous" vertical="center"/>
    </xf>
    <xf numFmtId="0" fontId="66" fillId="0" borderId="129" xfId="0" applyFont="1" applyFill="1" applyBorder="1" applyAlignment="1">
      <alignment horizontal="centerContinuous" vertical="center"/>
    </xf>
    <xf numFmtId="0" fontId="3" fillId="0" borderId="92" xfId="0" applyFont="1" applyBorder="1" applyAlignment="1">
      <alignment vertical="center"/>
    </xf>
    <xf numFmtId="0" fontId="3" fillId="0" borderId="93" xfId="0" applyFont="1" applyBorder="1" applyAlignment="1">
      <alignment horizontal="right" vertical="center"/>
    </xf>
    <xf numFmtId="49" fontId="54" fillId="17" borderId="130" xfId="0" applyNumberFormat="1" applyFont="1" applyFill="1" applyBorder="1" applyAlignment="1">
      <alignment vertical="center"/>
    </xf>
    <xf numFmtId="0" fontId="53" fillId="17" borderId="131" xfId="0" applyFont="1" applyFill="1" applyBorder="1" applyAlignment="1">
      <alignment horizontal="right" vertical="center"/>
    </xf>
    <xf numFmtId="49" fontId="1" fillId="0" borderId="92" xfId="0" applyNumberFormat="1" applyFont="1" applyFill="1" applyBorder="1" applyAlignment="1">
      <alignment vertical="center"/>
    </xf>
    <xf numFmtId="0" fontId="3" fillId="0" borderId="93" xfId="0" applyFont="1" applyFill="1" applyBorder="1" applyAlignment="1">
      <alignment horizontal="right" vertical="center"/>
    </xf>
    <xf numFmtId="1" fontId="1" fillId="0" borderId="104" xfId="0" applyNumberFormat="1" applyFont="1" applyFill="1" applyBorder="1" applyAlignment="1">
      <alignment horizontal="centerContinuous" vertical="center"/>
    </xf>
    <xf numFmtId="0" fontId="54" fillId="17" borderId="92" xfId="0" applyNumberFormat="1" applyFont="1" applyFill="1" applyBorder="1" applyAlignment="1">
      <alignment vertical="center"/>
    </xf>
    <xf numFmtId="0" fontId="53" fillId="17" borderId="93" xfId="0" applyFont="1" applyFill="1" applyBorder="1" applyAlignment="1">
      <alignment horizontal="right" vertical="center"/>
    </xf>
    <xf numFmtId="0" fontId="1" fillId="0" borderId="92" xfId="0" applyNumberFormat="1" applyFont="1" applyFill="1" applyBorder="1" applyAlignment="1">
      <alignment vertical="center"/>
    </xf>
    <xf numFmtId="49" fontId="1" fillId="0" borderId="51" xfId="0" applyNumberFormat="1" applyFont="1" applyFill="1" applyBorder="1" applyAlignment="1">
      <alignment vertical="center"/>
    </xf>
    <xf numFmtId="0" fontId="3" fillId="0" borderId="84" xfId="0" applyFont="1" applyFill="1" applyBorder="1" applyAlignment="1">
      <alignment horizontal="right" vertical="center"/>
    </xf>
    <xf numFmtId="1" fontId="1" fillId="0" borderId="112" xfId="0" applyNumberFormat="1" applyFont="1" applyFill="1" applyBorder="1" applyAlignment="1">
      <alignment horizontal="centerContinuous" vertical="center"/>
    </xf>
    <xf numFmtId="1" fontId="54" fillId="17" borderId="132" xfId="0" applyNumberFormat="1" applyFont="1" applyFill="1" applyBorder="1" applyAlignment="1">
      <alignment horizontal="centerContinuous" vertical="center"/>
    </xf>
    <xf numFmtId="1" fontId="54" fillId="17" borderId="104" xfId="0" applyNumberFormat="1" applyFont="1" applyFill="1" applyBorder="1" applyAlignment="1">
      <alignment horizontal="centerContinuous" vertical="center"/>
    </xf>
    <xf numFmtId="1" fontId="1" fillId="20" borderId="133" xfId="0" applyNumberFormat="1" applyFont="1" applyFill="1" applyBorder="1" applyAlignment="1">
      <alignment horizontal="centerContinuous" vertical="center"/>
    </xf>
    <xf numFmtId="0" fontId="6" fillId="12" borderId="8" xfId="0" applyFont="1" applyFill="1" applyBorder="1" applyAlignment="1">
      <alignment horizontal="center" vertical="center" shrinkToFit="1"/>
    </xf>
    <xf numFmtId="0" fontId="6" fillId="12" borderId="57" xfId="0" applyFont="1" applyFill="1" applyBorder="1" applyAlignment="1">
      <alignment horizontal="center" vertical="center"/>
    </xf>
    <xf numFmtId="1" fontId="6" fillId="12" borderId="57" xfId="0" applyNumberFormat="1" applyFont="1" applyFill="1" applyBorder="1" applyAlignment="1">
      <alignment horizontal="center" vertical="center"/>
    </xf>
    <xf numFmtId="1" fontId="1" fillId="12" borderId="126" xfId="0" applyNumberFormat="1" applyFont="1" applyFill="1" applyBorder="1" applyAlignment="1">
      <alignment horizontal="center" vertical="center"/>
    </xf>
    <xf numFmtId="0" fontId="1" fillId="19" borderId="125" xfId="0" applyFont="1" applyFill="1" applyBorder="1" applyAlignment="1">
      <alignment horizontal="center" vertical="center"/>
    </xf>
    <xf numFmtId="0" fontId="6" fillId="5" borderId="28" xfId="0" quotePrefix="1" applyNumberFormat="1" applyFont="1" applyFill="1" applyBorder="1" applyAlignment="1">
      <alignment horizontal="center" vertical="center"/>
    </xf>
    <xf numFmtId="0" fontId="6" fillId="14" borderId="28" xfId="0" quotePrefix="1" applyNumberFormat="1" applyFont="1" applyFill="1" applyBorder="1" applyAlignment="1">
      <alignment horizontal="center" vertical="center"/>
    </xf>
    <xf numFmtId="0" fontId="6" fillId="6" borderId="28" xfId="0" quotePrefix="1" applyNumberFormat="1" applyFont="1" applyFill="1" applyBorder="1" applyAlignment="1">
      <alignment horizontal="center" vertical="center"/>
    </xf>
    <xf numFmtId="0" fontId="8" fillId="19" borderId="13" xfId="0" applyFont="1" applyFill="1" applyBorder="1" applyAlignment="1">
      <alignment horizontal="center" vertical="center"/>
    </xf>
    <xf numFmtId="1" fontId="6" fillId="19" borderId="26" xfId="0" applyNumberFormat="1" applyFont="1" applyFill="1" applyBorder="1" applyAlignment="1">
      <alignment horizontal="center" vertical="center" wrapText="1"/>
    </xf>
    <xf numFmtId="1" fontId="6" fillId="19" borderId="60" xfId="0" applyNumberFormat="1" applyFont="1" applyFill="1" applyBorder="1" applyAlignment="1">
      <alignment horizontal="centerContinuous" vertical="center"/>
    </xf>
    <xf numFmtId="0" fontId="68" fillId="19" borderId="113" xfId="0" applyNumberFormat="1" applyFont="1" applyFill="1" applyBorder="1" applyAlignment="1">
      <alignment horizontal="centerContinuous" vertical="center"/>
    </xf>
    <xf numFmtId="0" fontId="1" fillId="0" borderId="79" xfId="0" quotePrefix="1" applyFont="1" applyBorder="1" applyAlignment="1">
      <alignment horizontal="center" vertical="center"/>
    </xf>
    <xf numFmtId="9" fontId="1" fillId="0" borderId="79" xfId="0" applyNumberFormat="1" applyFont="1" applyBorder="1" applyAlignment="1">
      <alignment horizontal="center" vertical="center"/>
    </xf>
    <xf numFmtId="0" fontId="20" fillId="13" borderId="134" xfId="0" applyFont="1" applyFill="1" applyBorder="1" applyAlignment="1">
      <alignment horizontal="center" vertical="center"/>
    </xf>
    <xf numFmtId="0" fontId="20" fillId="13" borderId="135" xfId="0" applyFont="1" applyFill="1" applyBorder="1" applyAlignment="1">
      <alignment horizontal="center" vertical="center"/>
    </xf>
    <xf numFmtId="49" fontId="20" fillId="13" borderId="135" xfId="0" applyNumberFormat="1" applyFont="1" applyFill="1" applyBorder="1" applyAlignment="1">
      <alignment horizontal="center" vertical="center"/>
    </xf>
    <xf numFmtId="0" fontId="20" fillId="13" borderId="136" xfId="0" applyFont="1" applyFill="1" applyBorder="1" applyAlignment="1">
      <alignment horizontal="center" vertical="center"/>
    </xf>
    <xf numFmtId="0" fontId="53" fillId="11" borderId="136" xfId="0" applyFont="1" applyFill="1" applyBorder="1" applyAlignment="1">
      <alignment horizontal="center" vertical="center"/>
    </xf>
    <xf numFmtId="0" fontId="20" fillId="13" borderId="137" xfId="0" applyFont="1" applyFill="1" applyBorder="1" applyAlignment="1">
      <alignment horizontal="center" vertical="center"/>
    </xf>
    <xf numFmtId="0" fontId="1" fillId="0" borderId="138" xfId="0" applyFont="1" applyFill="1" applyBorder="1" applyAlignment="1">
      <alignment horizontal="center" vertical="center"/>
    </xf>
    <xf numFmtId="0" fontId="1" fillId="0" borderId="108" xfId="0" applyFont="1" applyFill="1" applyBorder="1" applyAlignment="1">
      <alignment horizontal="center" vertical="center"/>
    </xf>
    <xf numFmtId="49" fontId="1" fillId="0" borderId="108" xfId="0" applyNumberFormat="1" applyFont="1" applyFill="1" applyBorder="1" applyAlignment="1">
      <alignment horizontal="center" vertical="center"/>
    </xf>
    <xf numFmtId="164" fontId="1" fillId="0" borderId="108" xfId="0" applyNumberFormat="1" applyFont="1" applyFill="1" applyBorder="1" applyAlignment="1">
      <alignment horizontal="center" vertical="center"/>
    </xf>
    <xf numFmtId="164" fontId="4" fillId="0" borderId="108" xfId="0" applyNumberFormat="1" applyFont="1" applyFill="1" applyBorder="1" applyAlignment="1">
      <alignment horizontal="center" vertical="center"/>
    </xf>
    <xf numFmtId="164" fontId="4" fillId="0" borderId="108" xfId="0" applyNumberFormat="1" applyFont="1" applyBorder="1" applyAlignment="1">
      <alignment horizontal="center" vertical="center"/>
    </xf>
    <xf numFmtId="1" fontId="54" fillId="11" borderId="108" xfId="0" applyNumberFormat="1" applyFont="1" applyFill="1" applyBorder="1" applyAlignment="1">
      <alignment horizontal="center" vertical="center"/>
    </xf>
    <xf numFmtId="1" fontId="1" fillId="0" borderId="108" xfId="0" applyNumberFormat="1" applyFont="1" applyBorder="1" applyAlignment="1">
      <alignment horizontal="center" vertical="center"/>
    </xf>
    <xf numFmtId="0" fontId="4" fillId="0" borderId="109" xfId="0" applyFont="1" applyFill="1" applyBorder="1" applyAlignment="1">
      <alignment horizontal="center" vertical="center"/>
    </xf>
    <xf numFmtId="0" fontId="1" fillId="0" borderId="71" xfId="0" applyFont="1" applyBorder="1" applyAlignment="1">
      <alignment horizontal="center" vertical="center"/>
    </xf>
    <xf numFmtId="49" fontId="68" fillId="0" borderId="52" xfId="0"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52" xfId="0" applyFont="1" applyBorder="1" applyAlignment="1">
      <alignment horizontal="center" vertical="center"/>
    </xf>
    <xf numFmtId="49" fontId="4" fillId="0" borderId="52" xfId="0" applyNumberFormat="1" applyFont="1" applyBorder="1" applyAlignment="1">
      <alignment horizontal="center" vertical="center"/>
    </xf>
    <xf numFmtId="164" fontId="4" fillId="0" borderId="52" xfId="0" applyNumberFormat="1" applyFont="1" applyBorder="1" applyAlignment="1">
      <alignment horizontal="center" vertical="center"/>
    </xf>
    <xf numFmtId="0" fontId="1" fillId="0" borderId="86" xfId="0" quotePrefix="1" applyFont="1" applyFill="1" applyBorder="1" applyAlignment="1">
      <alignment horizontal="center" vertical="center" wrapText="1"/>
    </xf>
    <xf numFmtId="0" fontId="1" fillId="0" borderId="86" xfId="0" applyNumberFormat="1" applyFont="1" applyFill="1" applyBorder="1" applyAlignment="1">
      <alignment horizontal="center" vertical="center"/>
    </xf>
    <xf numFmtId="49" fontId="1" fillId="0" borderId="86" xfId="0" applyNumberFormat="1" applyFont="1" applyFill="1" applyBorder="1" applyAlignment="1">
      <alignment horizontal="center" vertical="center"/>
    </xf>
    <xf numFmtId="164" fontId="1" fillId="0" borderId="86" xfId="0" applyNumberFormat="1" applyFont="1" applyFill="1" applyBorder="1" applyAlignment="1">
      <alignment horizontal="center" vertical="center"/>
    </xf>
    <xf numFmtId="1" fontId="1" fillId="0" borderId="86" xfId="0" applyNumberFormat="1" applyFont="1" applyFill="1" applyBorder="1" applyAlignment="1">
      <alignment horizontal="center" vertical="center"/>
    </xf>
    <xf numFmtId="0" fontId="1" fillId="0" borderId="50" xfId="0" quotePrefix="1" applyFont="1" applyFill="1" applyBorder="1" applyAlignment="1">
      <alignment horizontal="center" vertical="center"/>
    </xf>
    <xf numFmtId="49" fontId="1" fillId="0" borderId="115" xfId="0" applyNumberFormat="1" applyFont="1" applyFill="1" applyBorder="1" applyAlignment="1">
      <alignment horizontal="center" vertical="center"/>
    </xf>
    <xf numFmtId="0" fontId="4" fillId="0" borderId="116" xfId="0" applyFont="1" applyFill="1" applyBorder="1" applyAlignment="1">
      <alignment horizontal="center" vertical="center"/>
    </xf>
    <xf numFmtId="0" fontId="1" fillId="12" borderId="115" xfId="0" applyFont="1" applyFill="1" applyBorder="1" applyAlignment="1">
      <alignment horizontal="center" vertical="center"/>
    </xf>
    <xf numFmtId="0" fontId="1" fillId="0" borderId="54" xfId="0" applyFont="1" applyBorder="1" applyAlignment="1">
      <alignment horizontal="center" vertical="center"/>
    </xf>
    <xf numFmtId="0" fontId="1" fillId="0" borderId="94" xfId="0" applyFont="1" applyBorder="1" applyAlignment="1">
      <alignment horizontal="center" vertical="center" shrinkToFit="1"/>
    </xf>
    <xf numFmtId="0" fontId="4" fillId="0" borderId="94" xfId="0" applyFont="1" applyBorder="1" applyAlignment="1">
      <alignment horizontal="center" vertical="center" shrinkToFit="1"/>
    </xf>
    <xf numFmtId="0" fontId="1" fillId="0" borderId="97"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97" xfId="0" applyFont="1" applyBorder="1" applyAlignment="1">
      <alignment horizontal="center" vertical="center" shrinkToFit="1"/>
    </xf>
    <xf numFmtId="1" fontId="6" fillId="19" borderId="29" xfId="0" applyNumberFormat="1" applyFont="1" applyFill="1" applyBorder="1" applyAlignment="1">
      <alignment horizontal="center" vertical="center"/>
    </xf>
    <xf numFmtId="1" fontId="6" fillId="19" borderId="30"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69" fillId="13" borderId="3" xfId="0" quotePrefix="1" applyFont="1" applyFill="1" applyBorder="1" applyAlignment="1">
      <alignment horizontal="center" vertical="center"/>
    </xf>
  </cellXfs>
  <cellStyles count="9">
    <cellStyle name="Excel Built-in Normal" xfId="4"/>
    <cellStyle name="Hyperlink" xfId="1" builtinId="8"/>
    <cellStyle name="Normal" xfId="0" builtinId="0"/>
    <cellStyle name="Normal 2" xfId="5"/>
    <cellStyle name="Normal 2 2" xfId="6"/>
    <cellStyle name="Normal 4" xfId="3"/>
    <cellStyle name="Percent" xfId="2" builtinId="5"/>
    <cellStyle name="Percent 2" xfId="7"/>
    <cellStyle name="Percent 2 2" xfId="8"/>
  </cellStyles>
  <dxfs count="27">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60960</xdr:colOff>
      <xdr:row>1</xdr:row>
      <xdr:rowOff>91440</xdr:rowOff>
    </xdr:from>
    <xdr:to>
      <xdr:col>6</xdr:col>
      <xdr:colOff>1051560</xdr:colOff>
      <xdr:row>11</xdr:row>
      <xdr:rowOff>144780</xdr:rowOff>
    </xdr:to>
    <xdr:sp macro="" textlink="">
      <xdr:nvSpPr>
        <xdr:cNvPr id="2" name="TextBox 1"/>
        <xdr:cNvSpPr txBox="1"/>
      </xdr:nvSpPr>
      <xdr:spPr>
        <a:xfrm>
          <a:off x="4046220" y="464820"/>
          <a:ext cx="2087880" cy="2209800"/>
        </a:xfrm>
        <a:prstGeom prst="rect">
          <a:avLst/>
        </a:prstGeom>
        <a:solidFill>
          <a:srgbClr val="00B050">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0">
              <a:latin typeface="Times New Roman" panose="02020603050405020304" pitchFamily="18" charset="0"/>
              <a:cs typeface="Times New Roman" panose="02020603050405020304" pitchFamily="18" charset="0"/>
            </a:rPr>
            <a:t>Inspired Greatness</a:t>
          </a:r>
          <a:r>
            <a:rPr lang="en-US" sz="1200" b="0" baseline="0">
              <a:latin typeface="Times New Roman" panose="02020603050405020304" pitchFamily="18" charset="0"/>
              <a:cs typeface="Times New Roman" panose="02020603050405020304" pitchFamily="18" charset="0"/>
            </a:rPr>
            <a:t> </a:t>
          </a:r>
          <a:r>
            <a:rPr lang="en-US" sz="1200" b="0">
              <a:latin typeface="Times New Roman" panose="02020603050405020304" pitchFamily="18" charset="0"/>
              <a:cs typeface="Times New Roman" panose="02020603050405020304" pitchFamily="18" charset="0"/>
            </a:rPr>
            <a:t>(+2 HD)</a:t>
          </a:r>
        </a:p>
        <a:p>
          <a:pPr algn="ctr" rtl="0"/>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algn="ctr" rtl="0"/>
          <a:r>
            <a:rPr lang="en-US" sz="1200" b="0" i="0" baseline="0">
              <a:solidFill>
                <a:schemeClr val="dk1"/>
              </a:solidFill>
              <a:effectLst/>
              <a:latin typeface="Times New Roman" panose="02020603050405020304" pitchFamily="18" charset="0"/>
              <a:ea typeface="+mn-ea"/>
              <a:cs typeface="Times New Roman" panose="02020603050405020304" pitchFamily="18" charset="0"/>
            </a:rPr>
            <a:t>Resistances to</a:t>
          </a:r>
          <a:endParaRPr lang="en-US" sz="1200" b="0">
            <a:effectLst/>
            <a:latin typeface="Times New Roman" panose="02020603050405020304" pitchFamily="18" charset="0"/>
            <a:cs typeface="Times New Roman" panose="02020603050405020304" pitchFamily="18" charset="0"/>
          </a:endParaRPr>
        </a:p>
        <a:p>
          <a:pPr algn="ctr" rtl="0"/>
          <a:r>
            <a:rPr lang="en-US" sz="1200" b="0" i="0" baseline="0">
              <a:solidFill>
                <a:schemeClr val="dk1"/>
              </a:solidFill>
              <a:effectLst/>
              <a:latin typeface="Times New Roman" panose="02020603050405020304" pitchFamily="18" charset="0"/>
              <a:ea typeface="+mn-ea"/>
              <a:cs typeface="Times New Roman" panose="02020603050405020304" pitchFamily="18" charset="0"/>
            </a:rPr>
            <a:t>Acid, Cold, Electricity, Fire, and Negative Energy (20)</a:t>
          </a:r>
        </a:p>
        <a:p>
          <a:pPr algn="ctr" rtl="0"/>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algn="ctr" rtl="0"/>
          <a:r>
            <a:rPr lang="en-US" sz="1200" b="0" i="0" baseline="0">
              <a:solidFill>
                <a:schemeClr val="dk1"/>
              </a:solidFill>
              <a:effectLst/>
              <a:latin typeface="Times New Roman" panose="02020603050405020304" pitchFamily="18" charset="0"/>
              <a:ea typeface="+mn-ea"/>
              <a:cs typeface="Times New Roman" panose="02020603050405020304" pitchFamily="18" charset="0"/>
            </a:rPr>
            <a:t>Protected from Evil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83" name="Rectangle 1"/>
        <xdr:cNvSpPr>
          <a:spLocks noChangeArrowheads="1"/>
        </xdr:cNvSpPr>
      </xdr:nvSpPr>
      <xdr:spPr bwMode="auto">
        <a:xfrm>
          <a:off x="5724525"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18457" name="Rectangle 1"/>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123825</xdr:colOff>
      <xdr:row>1</xdr:row>
      <xdr:rowOff>123825</xdr:rowOff>
    </xdr:from>
    <xdr:to>
      <xdr:col>2</xdr:col>
      <xdr:colOff>161925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bhapp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workbookViewId="0"/>
  </sheetViews>
  <sheetFormatPr defaultColWidth="13" defaultRowHeight="15.6"/>
  <cols>
    <col min="1" max="1" width="14.3984375" style="210" bestFit="1" customWidth="1"/>
    <col min="2" max="2" width="10" style="90" customWidth="1"/>
    <col min="3" max="3" width="5.09765625" style="90" customWidth="1"/>
    <col min="4" max="4" width="13.69921875" style="210" bestFit="1" customWidth="1"/>
    <col min="5" max="5" width="9.09765625" style="90" bestFit="1" customWidth="1"/>
    <col min="6" max="6" width="14.3984375" style="210" customWidth="1"/>
    <col min="7" max="7" width="14.3984375" style="90" customWidth="1"/>
    <col min="8" max="16384" width="13" style="22"/>
  </cols>
  <sheetData>
    <row r="1" spans="1:7" ht="29.4" thickTop="1" thickBot="1">
      <c r="A1" s="216" t="s">
        <v>207</v>
      </c>
      <c r="B1" s="217" t="s">
        <v>210</v>
      </c>
      <c r="C1" s="218"/>
      <c r="D1" s="219"/>
      <c r="E1" s="220"/>
      <c r="F1" s="219"/>
      <c r="G1" s="221" t="s">
        <v>349</v>
      </c>
    </row>
    <row r="2" spans="1:7" ht="17.399999999999999" thickTop="1">
      <c r="A2" s="222" t="s">
        <v>0</v>
      </c>
      <c r="B2" s="223" t="s">
        <v>91</v>
      </c>
      <c r="C2" s="223"/>
      <c r="D2" s="224" t="s">
        <v>1</v>
      </c>
      <c r="E2" s="225" t="s">
        <v>180</v>
      </c>
      <c r="F2" s="226"/>
      <c r="G2" s="227"/>
    </row>
    <row r="3" spans="1:7" ht="16.8">
      <c r="A3" s="222" t="s">
        <v>67</v>
      </c>
      <c r="B3" s="223" t="s">
        <v>208</v>
      </c>
      <c r="C3" s="223"/>
      <c r="D3" s="224" t="s">
        <v>68</v>
      </c>
      <c r="E3" s="225">
        <v>5</v>
      </c>
      <c r="F3" s="224"/>
      <c r="G3" s="227"/>
    </row>
    <row r="4" spans="1:7" ht="16.8">
      <c r="A4" s="222" t="s">
        <v>67</v>
      </c>
      <c r="B4" s="223" t="s">
        <v>211</v>
      </c>
      <c r="C4" s="223"/>
      <c r="D4" s="224" t="s">
        <v>68</v>
      </c>
      <c r="E4" s="225">
        <v>5</v>
      </c>
      <c r="F4" s="224"/>
      <c r="G4" s="227"/>
    </row>
    <row r="5" spans="1:7" ht="17.399999999999999" thickBot="1">
      <c r="A5" s="222" t="s">
        <v>69</v>
      </c>
      <c r="B5" s="223" t="s">
        <v>209</v>
      </c>
      <c r="C5" s="223"/>
      <c r="D5" s="224" t="s">
        <v>238</v>
      </c>
      <c r="E5" s="225" t="s">
        <v>239</v>
      </c>
      <c r="F5" s="224"/>
      <c r="G5" s="227"/>
    </row>
    <row r="6" spans="1:7" ht="17.399999999999999" thickTop="1">
      <c r="A6" s="228" t="s">
        <v>99</v>
      </c>
      <c r="B6" s="508">
        <f>E3+E4+2</f>
        <v>12</v>
      </c>
      <c r="C6" s="509"/>
      <c r="D6" s="267" t="s">
        <v>201</v>
      </c>
      <c r="E6" s="229" t="s">
        <v>197</v>
      </c>
      <c r="F6" s="230"/>
      <c r="G6" s="227"/>
    </row>
    <row r="7" spans="1:7" ht="16.8">
      <c r="A7" s="231" t="s">
        <v>2</v>
      </c>
      <c r="B7" s="506">
        <f>16+4</f>
        <v>20</v>
      </c>
      <c r="C7" s="232" t="str">
        <f t="shared" ref="C7:C12" si="0">IF(B7&gt;9.9,CONCATENATE("+",ROUNDDOWN((B7-10)/2,0)),ROUNDUP((B7-10)/2,0))</f>
        <v>+5</v>
      </c>
      <c r="D7" s="233" t="s">
        <v>77</v>
      </c>
      <c r="E7" s="266" t="s">
        <v>213</v>
      </c>
      <c r="F7" s="230"/>
      <c r="G7" s="227"/>
    </row>
    <row r="8" spans="1:7" ht="16.8">
      <c r="A8" s="234" t="s">
        <v>3</v>
      </c>
      <c r="B8" s="239">
        <f>10+2</f>
        <v>12</v>
      </c>
      <c r="C8" s="235" t="str">
        <f t="shared" si="0"/>
        <v>+1</v>
      </c>
      <c r="D8" s="236" t="s">
        <v>78</v>
      </c>
      <c r="E8" s="237">
        <f>SUM(Martial!G3:G24)+SUM(Equipment!C3:C15)</f>
        <v>115.5</v>
      </c>
      <c r="F8" s="230"/>
      <c r="G8" s="227"/>
    </row>
    <row r="9" spans="1:7" ht="16.8">
      <c r="A9" s="238" t="s">
        <v>15</v>
      </c>
      <c r="B9" s="551">
        <f>14-2</f>
        <v>12</v>
      </c>
      <c r="C9" s="240" t="str">
        <f t="shared" si="0"/>
        <v>+1</v>
      </c>
      <c r="D9" s="241" t="s">
        <v>17</v>
      </c>
      <c r="E9" s="265">
        <f>ROUNDUP(((E3*10)*0.75)+((E4*10)*0.75)+((E3+E4)*C9),0)+(E3+E4)</f>
        <v>95</v>
      </c>
      <c r="F9" s="230"/>
      <c r="G9" s="227"/>
    </row>
    <row r="10" spans="1:7" ht="16.8">
      <c r="A10" s="242" t="s">
        <v>16</v>
      </c>
      <c r="B10" s="239">
        <v>10</v>
      </c>
      <c r="C10" s="235" t="str">
        <f t="shared" si="0"/>
        <v>+0</v>
      </c>
      <c r="D10" s="244" t="s">
        <v>98</v>
      </c>
      <c r="E10" s="548">
        <f>10+C8+2</f>
        <v>13</v>
      </c>
      <c r="F10" s="222"/>
      <c r="G10" s="227"/>
    </row>
    <row r="11" spans="1:7" ht="16.8">
      <c r="A11" s="243" t="s">
        <v>18</v>
      </c>
      <c r="B11" s="239">
        <f>14</f>
        <v>14</v>
      </c>
      <c r="C11" s="235" t="str">
        <f t="shared" si="0"/>
        <v>+2</v>
      </c>
      <c r="D11" s="244" t="s">
        <v>212</v>
      </c>
      <c r="E11" s="548">
        <f>E12-C8</f>
        <v>24</v>
      </c>
      <c r="F11" s="230"/>
      <c r="G11" s="227"/>
    </row>
    <row r="12" spans="1:7" ht="17.399999999999999" thickBot="1">
      <c r="A12" s="245" t="s">
        <v>14</v>
      </c>
      <c r="B12" s="306">
        <f>14+2</f>
        <v>16</v>
      </c>
      <c r="C12" s="246" t="str">
        <f t="shared" si="0"/>
        <v>+3</v>
      </c>
      <c r="D12" s="247" t="s">
        <v>66</v>
      </c>
      <c r="E12" s="549">
        <f>E10+SUM(Martial!B19:B20)</f>
        <v>25</v>
      </c>
      <c r="F12" s="250"/>
      <c r="G12" s="251"/>
    </row>
    <row r="13" spans="1:7" ht="16.2" thickTop="1"/>
  </sheetData>
  <phoneticPr fontId="0" type="noConversion"/>
  <conditionalFormatting sqref="E8">
    <cfRule type="cellIs" dxfId="26" priority="4" stopIfTrue="1" operator="greaterThan">
      <formula>763</formula>
    </cfRule>
    <cfRule type="cellIs" dxfId="25" priority="5" stopIfTrue="1" operator="between">
      <formula>43</formula>
      <formula>86</formula>
    </cfRule>
  </conditionalFormatting>
  <hyperlinks>
    <hyperlink ref="G1" r:id="rId1" display="Played by Jed"/>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6"/>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5.09765625" style="2" bestFit="1" customWidth="1"/>
    <col min="11" max="16384" width="13" style="1"/>
  </cols>
  <sheetData>
    <row r="1" spans="1:10" ht="23.4" thickBot="1">
      <c r="A1" s="108" t="s">
        <v>13</v>
      </c>
      <c r="B1" s="109"/>
      <c r="C1" s="109"/>
      <c r="D1" s="109"/>
      <c r="E1" s="109"/>
      <c r="F1" s="109"/>
      <c r="G1" s="110"/>
      <c r="H1" s="110"/>
      <c r="I1" s="110"/>
      <c r="J1" s="109"/>
    </row>
    <row r="2" spans="1:10" s="19" customFormat="1" ht="34.200000000000003" thickBot="1">
      <c r="A2" s="16" t="s">
        <v>313</v>
      </c>
      <c r="B2" s="17" t="s">
        <v>31</v>
      </c>
      <c r="C2" s="17" t="s">
        <v>38</v>
      </c>
      <c r="D2" s="17" t="s">
        <v>30</v>
      </c>
      <c r="E2" s="17" t="s">
        <v>64</v>
      </c>
      <c r="F2" s="17" t="s">
        <v>39</v>
      </c>
      <c r="G2" s="18" t="s">
        <v>70</v>
      </c>
      <c r="H2" s="13" t="s">
        <v>189</v>
      </c>
      <c r="I2" s="14" t="s">
        <v>88</v>
      </c>
      <c r="J2" s="15" t="s">
        <v>86</v>
      </c>
    </row>
    <row r="3" spans="1:10" s="4" customFormat="1" ht="16.8">
      <c r="A3" s="111" t="s">
        <v>72</v>
      </c>
      <c r="B3" s="112">
        <v>8</v>
      </c>
      <c r="C3" s="112" t="s">
        <v>33</v>
      </c>
      <c r="D3" s="113" t="str">
        <f>IF(C3="Str",'Personal File'!$C$7,IF(C3="Dex",'Personal File'!$C$8,IF(C3="Con",'Personal File'!$C$9,IF(C3="Int",'Personal File'!$C$10,IF(C3="Wis",'Personal File'!$C$11,IF(C3="Cha",'Personal File'!$C$12))))))</f>
        <v>+1</v>
      </c>
      <c r="E3" s="113" t="str">
        <f t="shared" ref="E3" si="0">CONCATENATE(C3," (",D3,")")</f>
        <v>Con (+1)</v>
      </c>
      <c r="F3" s="507">
        <f>'Personal File'!C$12+2+1</f>
        <v>6</v>
      </c>
      <c r="G3" s="115">
        <f t="shared" ref="G3:G43" si="1">B3+D3+F3</f>
        <v>15</v>
      </c>
      <c r="H3" s="116">
        <f t="shared" ref="H3:H5" ca="1" si="2">RANDBETWEEN(1,20)</f>
        <v>4</v>
      </c>
      <c r="I3" s="114">
        <f t="shared" ref="I3" ca="1" si="3">SUM(G3:H3)</f>
        <v>19</v>
      </c>
      <c r="J3" s="358" t="s">
        <v>298</v>
      </c>
    </row>
    <row r="4" spans="1:10" s="4" customFormat="1" ht="16.8">
      <c r="A4" s="117" t="s">
        <v>73</v>
      </c>
      <c r="B4" s="112">
        <v>2</v>
      </c>
      <c r="C4" s="112" t="s">
        <v>36</v>
      </c>
      <c r="D4" s="118" t="str">
        <f>IF(C4="Str",'Personal File'!$C$7,IF(C4="Dex",'Personal File'!$C$8,IF(C4="Con",'Personal File'!$C$9,IF(C4="Int",'Personal File'!$C$10,IF(C4="Wis",'Personal File'!$C$11,IF(C4="Cha",'Personal File'!$C$12))))))</f>
        <v>+1</v>
      </c>
      <c r="E4" s="119" t="str">
        <f t="shared" ref="E4:E5" si="4">CONCATENATE(C4," (",D4,")")</f>
        <v>Dex (+1)</v>
      </c>
      <c r="F4" s="115">
        <f>'Personal File'!C$12+2</f>
        <v>5</v>
      </c>
      <c r="G4" s="115">
        <f t="shared" si="1"/>
        <v>8</v>
      </c>
      <c r="H4" s="116">
        <f t="shared" ca="1" si="2"/>
        <v>4</v>
      </c>
      <c r="I4" s="120">
        <f t="shared" ref="I4:I43" ca="1" si="5">SUM(G4:H4)</f>
        <v>12</v>
      </c>
      <c r="J4" s="121"/>
    </row>
    <row r="5" spans="1:10" s="4" customFormat="1" ht="16.8">
      <c r="A5" s="122" t="s">
        <v>74</v>
      </c>
      <c r="B5" s="123">
        <v>5</v>
      </c>
      <c r="C5" s="123" t="s">
        <v>35</v>
      </c>
      <c r="D5" s="124" t="str">
        <f>IF(C5="Str",'Personal File'!$C$7,IF(C5="Dex",'Personal File'!$C$8,IF(C5="Con",'Personal File'!$C$9,IF(C5="Int",'Personal File'!$C$10,IF(C5="Wis",'Personal File'!$C$11,IF(C5="Cha",'Personal File'!$C$12))))))</f>
        <v>+2</v>
      </c>
      <c r="E5" s="125" t="str">
        <f t="shared" si="4"/>
        <v>Wis (+2)</v>
      </c>
      <c r="F5" s="127">
        <f>'Personal File'!C$12+2</f>
        <v>5</v>
      </c>
      <c r="G5" s="127">
        <f t="shared" si="1"/>
        <v>12</v>
      </c>
      <c r="H5" s="128">
        <f t="shared" ca="1" si="2"/>
        <v>20</v>
      </c>
      <c r="I5" s="126">
        <f t="shared" ca="1" si="5"/>
        <v>32</v>
      </c>
      <c r="J5" s="404" t="s">
        <v>298</v>
      </c>
    </row>
    <row r="6" spans="1:10" s="4" customFormat="1" ht="16.8">
      <c r="A6" s="129" t="s">
        <v>40</v>
      </c>
      <c r="B6" s="130">
        <v>0</v>
      </c>
      <c r="C6" s="131" t="s">
        <v>34</v>
      </c>
      <c r="D6" s="132" t="str">
        <f>IF(C6="Str",'Personal File'!$C$7,IF(C6="Dex",'Personal File'!$C$8,IF(C6="Con",'Personal File'!$C$9,IF(C6="Int",'Personal File'!$C$10,IF(C6="Wis",'Personal File'!$C$11,IF(C6="Cha",'Personal File'!$C$12))))))</f>
        <v>+0</v>
      </c>
      <c r="E6" s="132" t="str">
        <f t="shared" ref="E6" si="6">CONCATENATE(C6," (",D6,")")</f>
        <v>Int (+0)</v>
      </c>
      <c r="F6" s="133" t="s">
        <v>65</v>
      </c>
      <c r="G6" s="134">
        <f t="shared" si="1"/>
        <v>0</v>
      </c>
      <c r="H6" s="116">
        <f ca="1">RANDBETWEEN(1,20)</f>
        <v>16</v>
      </c>
      <c r="I6" s="120">
        <f t="shared" ca="1" si="5"/>
        <v>16</v>
      </c>
      <c r="J6" s="196"/>
    </row>
    <row r="7" spans="1:10" s="8" customFormat="1" ht="16.8">
      <c r="A7" s="135" t="s">
        <v>41</v>
      </c>
      <c r="B7" s="130">
        <v>0</v>
      </c>
      <c r="C7" s="136" t="s">
        <v>36</v>
      </c>
      <c r="D7" s="118" t="str">
        <f>IF(C7="Str",'Personal File'!$C$7,IF(C7="Dex",'Personal File'!$C$8,IF(C7="Con",'Personal File'!$C$9,IF(C7="Int",'Personal File'!$C$10,IF(C7="Wis",'Personal File'!$C$11,IF(C7="Cha",'Personal File'!$C$12))))))</f>
        <v>+1</v>
      </c>
      <c r="E7" s="118" t="str">
        <f t="shared" ref="E7:E43" si="7">CONCATENATE(C7," (",D7,")")</f>
        <v>Dex (+1)</v>
      </c>
      <c r="F7" s="550">
        <f>SUM(Martial!$D$19:$D$20)</f>
        <v>-5</v>
      </c>
      <c r="G7" s="134">
        <f t="shared" si="1"/>
        <v>-4</v>
      </c>
      <c r="H7" s="116">
        <f ca="1">RANDBETWEEN(1,20)</f>
        <v>16</v>
      </c>
      <c r="I7" s="120">
        <f t="shared" ca="1" si="5"/>
        <v>12</v>
      </c>
      <c r="J7" s="196"/>
    </row>
    <row r="8" spans="1:10" s="6" customFormat="1" ht="16.8">
      <c r="A8" s="137" t="s">
        <v>42</v>
      </c>
      <c r="B8" s="130">
        <v>0</v>
      </c>
      <c r="C8" s="138" t="s">
        <v>32</v>
      </c>
      <c r="D8" s="139" t="str">
        <f>IF(C8="Str",'Personal File'!$C$7,IF(C8="Dex",'Personal File'!$C$8,IF(C8="Con",'Personal File'!$C$9,IF(C8="Int",'Personal File'!$C$10,IF(C8="Wis",'Personal File'!$C$11,IF(C8="Cha",'Personal File'!$C$12))))))</f>
        <v>+3</v>
      </c>
      <c r="E8" s="140" t="str">
        <f t="shared" si="7"/>
        <v>Cha (+3)</v>
      </c>
      <c r="F8" s="134" t="s">
        <v>65</v>
      </c>
      <c r="G8" s="134">
        <f t="shared" si="1"/>
        <v>3</v>
      </c>
      <c r="H8" s="116">
        <f t="shared" ref="H8:H43" ca="1" si="8">RANDBETWEEN(1,20)</f>
        <v>12</v>
      </c>
      <c r="I8" s="120">
        <f t="shared" ca="1" si="5"/>
        <v>15</v>
      </c>
      <c r="J8" s="196"/>
    </row>
    <row r="9" spans="1:10" s="5" customFormat="1" ht="16.8">
      <c r="A9" s="141" t="s">
        <v>43</v>
      </c>
      <c r="B9" s="130">
        <v>0</v>
      </c>
      <c r="C9" s="142" t="s">
        <v>37</v>
      </c>
      <c r="D9" s="143" t="str">
        <f>IF(C9="Str",'Personal File'!$C$7,IF(C9="Dex",'Personal File'!$C$8,IF(C9="Con",'Personal File'!$C$9,IF(C9="Int",'Personal File'!$C$10,IF(C9="Wis",'Personal File'!$C$11,IF(C9="Cha",'Personal File'!$C$12))))))</f>
        <v>+5</v>
      </c>
      <c r="E9" s="143" t="str">
        <f t="shared" si="7"/>
        <v>Str (+5)</v>
      </c>
      <c r="F9" s="550">
        <f>SUM(Martial!$D$19:$D$20)</f>
        <v>-5</v>
      </c>
      <c r="G9" s="134">
        <f t="shared" si="1"/>
        <v>0</v>
      </c>
      <c r="H9" s="116">
        <f t="shared" ca="1" si="8"/>
        <v>17</v>
      </c>
      <c r="I9" s="120">
        <f t="shared" ca="1" si="5"/>
        <v>17</v>
      </c>
      <c r="J9" s="196"/>
    </row>
    <row r="10" spans="1:10" s="5" customFormat="1" ht="16.8">
      <c r="A10" s="280" t="s">
        <v>19</v>
      </c>
      <c r="B10" s="130">
        <v>0</v>
      </c>
      <c r="C10" s="281" t="s">
        <v>33</v>
      </c>
      <c r="D10" s="113" t="str">
        <f>IF(C10="Str",'Personal File'!$C$7,IF(C10="Dex",'Personal File'!$C$8,IF(C10="Con",'Personal File'!$C$9,IF(C10="Int",'Personal File'!$C$10,IF(C10="Wis",'Personal File'!$C$11,IF(C10="Cha",'Personal File'!$C$12))))))</f>
        <v>+1</v>
      </c>
      <c r="E10" s="113" t="str">
        <f t="shared" si="7"/>
        <v>Con (+1)</v>
      </c>
      <c r="F10" s="134" t="s">
        <v>65</v>
      </c>
      <c r="G10" s="134">
        <f t="shared" si="1"/>
        <v>1</v>
      </c>
      <c r="H10" s="116">
        <f t="shared" ca="1" si="8"/>
        <v>16</v>
      </c>
      <c r="I10" s="120">
        <f t="shared" ca="1" si="5"/>
        <v>17</v>
      </c>
      <c r="J10" s="196"/>
    </row>
    <row r="11" spans="1:10" s="4" customFormat="1" ht="16.8">
      <c r="A11" s="129" t="s">
        <v>92</v>
      </c>
      <c r="B11" s="130">
        <v>0</v>
      </c>
      <c r="C11" s="131" t="s">
        <v>34</v>
      </c>
      <c r="D11" s="132" t="str">
        <f>IF(C11="Str",'Personal File'!$C$7,IF(C11="Dex",'Personal File'!$C$8,IF(C11="Con",'Personal File'!$C$9,IF(C11="Int",'Personal File'!$C$10,IF(C11="Wis",'Personal File'!$C$11,IF(C11="Cha",'Personal File'!$C$12))))))</f>
        <v>+0</v>
      </c>
      <c r="E11" s="132" t="str">
        <f t="shared" si="7"/>
        <v>Int (+0)</v>
      </c>
      <c r="F11" s="134" t="s">
        <v>65</v>
      </c>
      <c r="G11" s="134">
        <f t="shared" si="1"/>
        <v>0</v>
      </c>
      <c r="H11" s="116">
        <f t="shared" ca="1" si="8"/>
        <v>2</v>
      </c>
      <c r="I11" s="120">
        <f t="shared" ca="1" si="5"/>
        <v>2</v>
      </c>
      <c r="J11" s="196"/>
    </row>
    <row r="12" spans="1:10" s="7" customFormat="1" ht="16.8">
      <c r="A12" s="147" t="s">
        <v>44</v>
      </c>
      <c r="B12" s="148">
        <v>0</v>
      </c>
      <c r="C12" s="149" t="s">
        <v>34</v>
      </c>
      <c r="D12" s="150" t="str">
        <f>IF(C12="Str",'Personal File'!$C$7,IF(C12="Dex",'Personal File'!$C$8,IF(C12="Con",'Personal File'!$C$9,IF(C12="Int",'Personal File'!$C$10,IF(C12="Wis",'Personal File'!$C$11,IF(C12="Cha",'Personal File'!$C$12))))))</f>
        <v>+0</v>
      </c>
      <c r="E12" s="150" t="str">
        <f t="shared" si="7"/>
        <v>Int (+0)</v>
      </c>
      <c r="F12" s="151" t="s">
        <v>65</v>
      </c>
      <c r="G12" s="151">
        <f t="shared" si="1"/>
        <v>0</v>
      </c>
      <c r="H12" s="116">
        <f t="shared" ca="1" si="8"/>
        <v>9</v>
      </c>
      <c r="I12" s="151">
        <f t="shared" ca="1" si="5"/>
        <v>9</v>
      </c>
      <c r="J12" s="503"/>
    </row>
    <row r="13" spans="1:10" s="8" customFormat="1" ht="16.8">
      <c r="A13" s="153" t="s">
        <v>45</v>
      </c>
      <c r="B13" s="144">
        <v>8</v>
      </c>
      <c r="C13" s="154" t="s">
        <v>32</v>
      </c>
      <c r="D13" s="155" t="str">
        <f>IF(C13="Str",'Personal File'!$C$7,IF(C13="Dex",'Personal File'!$C$8,IF(C13="Con",'Personal File'!$C$9,IF(C13="Int",'Personal File'!$C$10,IF(C13="Wis",'Personal File'!$C$11,IF(C13="Cha",'Personal File'!$C$12))))))</f>
        <v>+3</v>
      </c>
      <c r="E13" s="156" t="str">
        <f t="shared" si="7"/>
        <v>Cha (+3)</v>
      </c>
      <c r="F13" s="145" t="s">
        <v>179</v>
      </c>
      <c r="G13" s="145">
        <f t="shared" si="1"/>
        <v>13</v>
      </c>
      <c r="H13" s="116">
        <f t="shared" ca="1" si="8"/>
        <v>6</v>
      </c>
      <c r="I13" s="145">
        <f t="shared" ca="1" si="5"/>
        <v>19</v>
      </c>
      <c r="J13" s="504"/>
    </row>
    <row r="14" spans="1:10" s="8" customFormat="1" ht="16.8">
      <c r="A14" s="147" t="s">
        <v>46</v>
      </c>
      <c r="B14" s="148">
        <v>0</v>
      </c>
      <c r="C14" s="149" t="s">
        <v>34</v>
      </c>
      <c r="D14" s="150" t="str">
        <f>IF(C14="Str",'Personal File'!$C$7,IF(C14="Dex",'Personal File'!$C$8,IF(C14="Con",'Personal File'!$C$9,IF(C14="Int",'Personal File'!$C$10,IF(C14="Wis",'Personal File'!$C$11,IF(C14="Cha",'Personal File'!$C$12))))))</f>
        <v>+0</v>
      </c>
      <c r="E14" s="150" t="str">
        <f t="shared" si="7"/>
        <v>Int (+0)</v>
      </c>
      <c r="F14" s="151" t="s">
        <v>65</v>
      </c>
      <c r="G14" s="151">
        <f t="shared" si="1"/>
        <v>0</v>
      </c>
      <c r="H14" s="116">
        <f t="shared" ca="1" si="8"/>
        <v>19</v>
      </c>
      <c r="I14" s="151">
        <f t="shared" ca="1" si="5"/>
        <v>19</v>
      </c>
      <c r="J14" s="503"/>
    </row>
    <row r="15" spans="1:10" s="8" customFormat="1" ht="16.8">
      <c r="A15" s="137" t="s">
        <v>47</v>
      </c>
      <c r="B15" s="130">
        <v>0</v>
      </c>
      <c r="C15" s="138" t="s">
        <v>32</v>
      </c>
      <c r="D15" s="139" t="str">
        <f>IF(C15="Str",'Personal File'!$C$7,IF(C15="Dex",'Personal File'!$C$8,IF(C15="Con",'Personal File'!$C$9,IF(C15="Int",'Personal File'!$C$10,IF(C15="Wis",'Personal File'!$C$11,IF(C15="Cha",'Personal File'!$C$12))))))</f>
        <v>+3</v>
      </c>
      <c r="E15" s="140" t="str">
        <f t="shared" si="7"/>
        <v>Cha (+3)</v>
      </c>
      <c r="F15" s="134" t="s">
        <v>65</v>
      </c>
      <c r="G15" s="134">
        <f t="shared" si="1"/>
        <v>3</v>
      </c>
      <c r="H15" s="116">
        <f t="shared" ca="1" si="8"/>
        <v>1</v>
      </c>
      <c r="I15" s="134">
        <f t="shared" ca="1" si="5"/>
        <v>4</v>
      </c>
      <c r="J15" s="287"/>
    </row>
    <row r="16" spans="1:10" s="8" customFormat="1" ht="16.8">
      <c r="A16" s="135" t="s">
        <v>48</v>
      </c>
      <c r="B16" s="130">
        <v>0</v>
      </c>
      <c r="C16" s="136" t="s">
        <v>36</v>
      </c>
      <c r="D16" s="118" t="str">
        <f>IF(C16="Str",'Personal File'!$C$7,IF(C16="Dex",'Personal File'!$C$8,IF(C16="Con",'Personal File'!$C$9,IF(C16="Int",'Personal File'!$C$10,IF(C16="Wis",'Personal File'!$C$11,IF(C16="Cha",'Personal File'!$C$12))))))</f>
        <v>+1</v>
      </c>
      <c r="E16" s="119" t="str">
        <f t="shared" si="7"/>
        <v>Dex (+1)</v>
      </c>
      <c r="F16" s="550">
        <f>SUM(Martial!$D$19:$D$20)</f>
        <v>-5</v>
      </c>
      <c r="G16" s="134">
        <f t="shared" si="1"/>
        <v>-4</v>
      </c>
      <c r="H16" s="116">
        <f t="shared" ca="1" si="8"/>
        <v>20</v>
      </c>
      <c r="I16" s="134">
        <f t="shared" ca="1" si="5"/>
        <v>16</v>
      </c>
      <c r="J16" s="196"/>
    </row>
    <row r="17" spans="1:10" s="8" customFormat="1" ht="16.8">
      <c r="A17" s="158" t="s">
        <v>49</v>
      </c>
      <c r="B17" s="159">
        <v>0</v>
      </c>
      <c r="C17" s="160" t="s">
        <v>34</v>
      </c>
      <c r="D17" s="161" t="str">
        <f>IF(C17="Str",'Personal File'!$C$7,IF(C17="Dex",'Personal File'!$C$8,IF(C17="Con",'Personal File'!$C$9,IF(C17="Int",'Personal File'!$C$10,IF(C17="Wis",'Personal File'!$C$11,IF(C17="Cha",'Personal File'!$C$12))))))</f>
        <v>+0</v>
      </c>
      <c r="E17" s="161" t="str">
        <f t="shared" si="7"/>
        <v>Int (+0)</v>
      </c>
      <c r="F17" s="162" t="s">
        <v>65</v>
      </c>
      <c r="G17" s="162">
        <f t="shared" si="1"/>
        <v>0</v>
      </c>
      <c r="H17" s="116">
        <f t="shared" ca="1" si="8"/>
        <v>18</v>
      </c>
      <c r="I17" s="162">
        <f t="shared" ca="1" si="5"/>
        <v>18</v>
      </c>
      <c r="J17" s="505"/>
    </row>
    <row r="18" spans="1:10" s="8" customFormat="1" ht="16.8">
      <c r="A18" s="137" t="s">
        <v>50</v>
      </c>
      <c r="B18" s="130">
        <v>0</v>
      </c>
      <c r="C18" s="138" t="s">
        <v>32</v>
      </c>
      <c r="D18" s="139" t="str">
        <f>IF(C18="Str",'Personal File'!$C$7,IF(C18="Dex",'Personal File'!$C$8,IF(C18="Con",'Personal File'!$C$9,IF(C18="Int",'Personal File'!$C$10,IF(C18="Wis",'Personal File'!$C$11,IF(C18="Cha",'Personal File'!$C$12))))))</f>
        <v>+3</v>
      </c>
      <c r="E18" s="140" t="str">
        <f t="shared" si="7"/>
        <v>Cha (+3)</v>
      </c>
      <c r="F18" s="134" t="s">
        <v>65</v>
      </c>
      <c r="G18" s="134">
        <f t="shared" si="1"/>
        <v>3</v>
      </c>
      <c r="H18" s="116">
        <f t="shared" ca="1" si="8"/>
        <v>8</v>
      </c>
      <c r="I18" s="134">
        <f t="shared" ca="1" si="5"/>
        <v>11</v>
      </c>
      <c r="J18" s="196"/>
    </row>
    <row r="19" spans="1:10" s="8" customFormat="1" ht="16.8">
      <c r="A19" s="137" t="s">
        <v>21</v>
      </c>
      <c r="B19" s="130">
        <v>0</v>
      </c>
      <c r="C19" s="138" t="s">
        <v>32</v>
      </c>
      <c r="D19" s="139" t="str">
        <f>IF(C19="Str",'Personal File'!$C$7,IF(C19="Dex",'Personal File'!$C$8,IF(C19="Con",'Personal File'!$C$9,IF(C19="Int",'Personal File'!$C$10,IF(C19="Wis",'Personal File'!$C$11,IF(C19="Cha",'Personal File'!$C$12))))))</f>
        <v>+3</v>
      </c>
      <c r="E19" s="139" t="str">
        <f t="shared" si="7"/>
        <v>Cha (+3)</v>
      </c>
      <c r="F19" s="134" t="s">
        <v>65</v>
      </c>
      <c r="G19" s="134">
        <f t="shared" si="1"/>
        <v>3</v>
      </c>
      <c r="H19" s="116">
        <f t="shared" ca="1" si="8"/>
        <v>1</v>
      </c>
      <c r="I19" s="134">
        <f t="shared" ca="1" si="5"/>
        <v>4</v>
      </c>
      <c r="J19" s="196"/>
    </row>
    <row r="20" spans="1:10" s="8" customFormat="1" ht="16.8">
      <c r="A20" s="163" t="s">
        <v>51</v>
      </c>
      <c r="B20" s="130">
        <v>8</v>
      </c>
      <c r="C20" s="164" t="s">
        <v>35</v>
      </c>
      <c r="D20" s="165" t="str">
        <f>IF(C20="Str",'Personal File'!$C$7,IF(C20="Dex",'Personal File'!$C$8,IF(C20="Con",'Personal File'!$C$9,IF(C20="Int",'Personal File'!$C$10,IF(C20="Wis",'Personal File'!$C$11,IF(C20="Cha",'Personal File'!$C$12))))))</f>
        <v>+2</v>
      </c>
      <c r="E20" s="165" t="str">
        <f t="shared" si="7"/>
        <v>Wis (+2)</v>
      </c>
      <c r="F20" s="134" t="s">
        <v>65</v>
      </c>
      <c r="G20" s="134">
        <f t="shared" si="1"/>
        <v>10</v>
      </c>
      <c r="H20" s="116">
        <f t="shared" ca="1" si="8"/>
        <v>2</v>
      </c>
      <c r="I20" s="134">
        <f t="shared" ca="1" si="5"/>
        <v>12</v>
      </c>
      <c r="J20" s="196"/>
    </row>
    <row r="21" spans="1:10" s="8" customFormat="1" ht="16.8">
      <c r="A21" s="135" t="s">
        <v>52</v>
      </c>
      <c r="B21" s="130">
        <v>0</v>
      </c>
      <c r="C21" s="136" t="s">
        <v>36</v>
      </c>
      <c r="D21" s="118" t="str">
        <f>IF(C21="Str",'Personal File'!$C$7,IF(C21="Dex",'Personal File'!$C$8,IF(C21="Con",'Personal File'!$C$9,IF(C21="Int",'Personal File'!$C$10,IF(C21="Wis",'Personal File'!$C$11,IF(C21="Cha",'Personal File'!$C$12))))))</f>
        <v>+1</v>
      </c>
      <c r="E21" s="118" t="str">
        <f t="shared" si="7"/>
        <v>Dex (+1)</v>
      </c>
      <c r="F21" s="550">
        <f>SUM(Martial!$D$19:$D$20)</f>
        <v>-5</v>
      </c>
      <c r="G21" s="134">
        <f t="shared" si="1"/>
        <v>-4</v>
      </c>
      <c r="H21" s="116">
        <f t="shared" ca="1" si="8"/>
        <v>13</v>
      </c>
      <c r="I21" s="134">
        <f t="shared" ca="1" si="5"/>
        <v>9</v>
      </c>
      <c r="J21" s="505"/>
    </row>
    <row r="22" spans="1:10" s="8" customFormat="1" ht="16.8">
      <c r="A22" s="166" t="s">
        <v>53</v>
      </c>
      <c r="B22" s="159">
        <v>0</v>
      </c>
      <c r="C22" s="167" t="s">
        <v>32</v>
      </c>
      <c r="D22" s="168" t="str">
        <f>IF(C22="Str",'Personal File'!$C$7,IF(C22="Dex",'Personal File'!$C$8,IF(C22="Con",'Personal File'!$C$9,IF(C22="Int",'Personal File'!$C$10,IF(C22="Wis",'Personal File'!$C$11,IF(C22="Cha",'Personal File'!$C$12))))))</f>
        <v>+3</v>
      </c>
      <c r="E22" s="169" t="str">
        <f t="shared" si="7"/>
        <v>Cha (+3)</v>
      </c>
      <c r="F22" s="162" t="s">
        <v>65</v>
      </c>
      <c r="G22" s="162">
        <f t="shared" si="1"/>
        <v>3</v>
      </c>
      <c r="H22" s="116">
        <f t="shared" ca="1" si="8"/>
        <v>11</v>
      </c>
      <c r="I22" s="162">
        <f t="shared" ca="1" si="5"/>
        <v>14</v>
      </c>
      <c r="J22" s="505"/>
    </row>
    <row r="23" spans="1:10" s="8" customFormat="1" ht="16.8">
      <c r="A23" s="141" t="s">
        <v>54</v>
      </c>
      <c r="B23" s="130">
        <v>0</v>
      </c>
      <c r="C23" s="142" t="s">
        <v>37</v>
      </c>
      <c r="D23" s="143" t="str">
        <f>IF(C23="Str",'Personal File'!$C$7,IF(C23="Dex",'Personal File'!$C$8,IF(C23="Con",'Personal File'!$C$9,IF(C23="Int",'Personal File'!$C$10,IF(C23="Wis",'Personal File'!$C$11,IF(C23="Cha",'Personal File'!$C$12))))))</f>
        <v>+5</v>
      </c>
      <c r="E23" s="143" t="str">
        <f t="shared" si="7"/>
        <v>Str (+5)</v>
      </c>
      <c r="F23" s="550">
        <f>SUM(Martial!$D$19:$D$20)</f>
        <v>-5</v>
      </c>
      <c r="G23" s="134">
        <f t="shared" si="1"/>
        <v>0</v>
      </c>
      <c r="H23" s="116">
        <f t="shared" ca="1" si="8"/>
        <v>13</v>
      </c>
      <c r="I23" s="134">
        <f t="shared" ca="1" si="5"/>
        <v>13</v>
      </c>
      <c r="J23" s="196"/>
    </row>
    <row r="24" spans="1:10" s="8" customFormat="1" ht="16.8">
      <c r="A24" s="170" t="s">
        <v>316</v>
      </c>
      <c r="B24" s="144">
        <v>3</v>
      </c>
      <c r="C24" s="171" t="s">
        <v>34</v>
      </c>
      <c r="D24" s="172" t="str">
        <f>IF(C24="Str",'Personal File'!$C$7,IF(C24="Dex",'Personal File'!$C$8,IF(C24="Con",'Personal File'!$C$9,IF(C24="Int",'Personal File'!$C$10,IF(C24="Wis",'Personal File'!$C$11,IF(C24="Cha",'Personal File'!$C$12))))))</f>
        <v>+0</v>
      </c>
      <c r="E24" s="172" t="str">
        <f>CONCATENATE(C24," (",D24,")")</f>
        <v>Int (+0)</v>
      </c>
      <c r="F24" s="145" t="s">
        <v>65</v>
      </c>
      <c r="G24" s="145">
        <f t="shared" si="1"/>
        <v>3</v>
      </c>
      <c r="H24" s="116">
        <f t="shared" ca="1" si="8"/>
        <v>1</v>
      </c>
      <c r="I24" s="145">
        <f t="shared" ca="1" si="5"/>
        <v>4</v>
      </c>
      <c r="J24" s="146" t="s">
        <v>330</v>
      </c>
    </row>
    <row r="25" spans="1:10" s="8" customFormat="1" ht="16.8">
      <c r="A25" s="170" t="s">
        <v>220</v>
      </c>
      <c r="B25" s="144">
        <v>1</v>
      </c>
      <c r="C25" s="171" t="s">
        <v>34</v>
      </c>
      <c r="D25" s="172" t="str">
        <f>IF(C25="Str",'Personal File'!$C$7,IF(C25="Dex",'Personal File'!$C$8,IF(C25="Con",'Personal File'!$C$9,IF(C25="Int",'Personal File'!$C$10,IF(C25="Wis",'Personal File'!$C$11,IF(C25="Cha",'Personal File'!$C$12))))))</f>
        <v>+0</v>
      </c>
      <c r="E25" s="172" t="str">
        <f>CONCATENATE(C25," (",D25,")")</f>
        <v>Int (+0)</v>
      </c>
      <c r="F25" s="145" t="s">
        <v>65</v>
      </c>
      <c r="G25" s="145">
        <f t="shared" ref="G25" si="9">B25+D25+F25</f>
        <v>1</v>
      </c>
      <c r="H25" s="116">
        <f t="shared" ca="1" si="8"/>
        <v>7</v>
      </c>
      <c r="I25" s="145">
        <f t="shared" ref="I25" ca="1" si="10">SUM(G25:H25)</f>
        <v>8</v>
      </c>
      <c r="J25" s="146"/>
    </row>
    <row r="26" spans="1:10" s="8" customFormat="1" ht="16.8">
      <c r="A26" s="170" t="s">
        <v>94</v>
      </c>
      <c r="B26" s="144">
        <v>8</v>
      </c>
      <c r="C26" s="171" t="s">
        <v>34</v>
      </c>
      <c r="D26" s="172" t="str">
        <f>IF(C26="Str",'Personal File'!$C$7,IF(C26="Dex",'Personal File'!$C$8,IF(C26="Con",'Personal File'!$C$9,IF(C26="Int",'Personal File'!$C$10,IF(C26="Wis",'Personal File'!$C$11,IF(C26="Cha",'Personal File'!$C$12))))))</f>
        <v>+0</v>
      </c>
      <c r="E26" s="172" t="str">
        <f>CONCATENATE(C26," (",D26,")")</f>
        <v>Int (+0)</v>
      </c>
      <c r="F26" s="145" t="s">
        <v>65</v>
      </c>
      <c r="G26" s="145">
        <f t="shared" ref="G26" si="11">B26+D26+F26</f>
        <v>8</v>
      </c>
      <c r="H26" s="116">
        <f t="shared" ca="1" si="8"/>
        <v>3</v>
      </c>
      <c r="I26" s="145">
        <f t="shared" ref="I26" ca="1" si="12">SUM(G26:H26)</f>
        <v>11</v>
      </c>
      <c r="J26" s="146"/>
    </row>
    <row r="27" spans="1:10" s="8" customFormat="1" ht="16.8">
      <c r="A27" s="163" t="s">
        <v>55</v>
      </c>
      <c r="B27" s="130">
        <v>0</v>
      </c>
      <c r="C27" s="164" t="s">
        <v>35</v>
      </c>
      <c r="D27" s="165" t="str">
        <f>IF(C27="Str",'Personal File'!$C$7,IF(C27="Dex",'Personal File'!$C$8,IF(C27="Con",'Personal File'!$C$9,IF(C27="Int",'Personal File'!$C$10,IF(C27="Wis",'Personal File'!$C$11,IF(C27="Cha",'Personal File'!$C$12))))))</f>
        <v>+2</v>
      </c>
      <c r="E27" s="173" t="str">
        <f t="shared" si="7"/>
        <v>Wis (+2)</v>
      </c>
      <c r="F27" s="134" t="s">
        <v>65</v>
      </c>
      <c r="G27" s="134">
        <f t="shared" si="1"/>
        <v>2</v>
      </c>
      <c r="H27" s="116">
        <f t="shared" ca="1" si="8"/>
        <v>10</v>
      </c>
      <c r="I27" s="134">
        <f t="shared" ca="1" si="5"/>
        <v>12</v>
      </c>
      <c r="J27" s="121"/>
    </row>
    <row r="28" spans="1:10" s="8" customFormat="1" ht="16.8">
      <c r="A28" s="135" t="s">
        <v>22</v>
      </c>
      <c r="B28" s="130">
        <v>0</v>
      </c>
      <c r="C28" s="136" t="s">
        <v>36</v>
      </c>
      <c r="D28" s="118" t="str">
        <f>IF(C28="Str",'Personal File'!$C$7,IF(C28="Dex",'Personal File'!$C$8,IF(C28="Con",'Personal File'!$C$9,IF(C28="Int",'Personal File'!$C$10,IF(C28="Wis",'Personal File'!$C$11,IF(C28="Cha",'Personal File'!$C$12))))))</f>
        <v>+1</v>
      </c>
      <c r="E28" s="118" t="str">
        <f t="shared" si="7"/>
        <v>Dex (+1)</v>
      </c>
      <c r="F28" s="550">
        <f>SUM(Martial!$D$19:$D$20)</f>
        <v>-5</v>
      </c>
      <c r="G28" s="134">
        <f t="shared" si="1"/>
        <v>-4</v>
      </c>
      <c r="H28" s="116">
        <f t="shared" ca="1" si="8"/>
        <v>12</v>
      </c>
      <c r="I28" s="134">
        <f t="shared" ca="1" si="5"/>
        <v>8</v>
      </c>
      <c r="J28" s="121"/>
    </row>
    <row r="29" spans="1:10" s="8" customFormat="1" ht="16.8">
      <c r="A29" s="174" t="s">
        <v>56</v>
      </c>
      <c r="B29" s="148">
        <v>0</v>
      </c>
      <c r="C29" s="175" t="s">
        <v>36</v>
      </c>
      <c r="D29" s="176" t="str">
        <f>IF(C29="Str",'Personal File'!$C$7,IF(C29="Dex",'Personal File'!$C$8,IF(C29="Con",'Personal File'!$C$9,IF(C29="Int",'Personal File'!$C$10,IF(C29="Wis",'Personal File'!$C$11,IF(C29="Cha",'Personal File'!$C$12))))))</f>
        <v>+1</v>
      </c>
      <c r="E29" s="176" t="str">
        <f t="shared" si="7"/>
        <v>Dex (+1)</v>
      </c>
      <c r="F29" s="151" t="s">
        <v>65</v>
      </c>
      <c r="G29" s="151">
        <f t="shared" si="1"/>
        <v>1</v>
      </c>
      <c r="H29" s="116">
        <f t="shared" ca="1" si="8"/>
        <v>14</v>
      </c>
      <c r="I29" s="151">
        <f t="shared" ca="1" si="5"/>
        <v>15</v>
      </c>
      <c r="J29" s="152"/>
    </row>
    <row r="30" spans="1:10" ht="16.8">
      <c r="A30" s="137" t="s">
        <v>95</v>
      </c>
      <c r="B30" s="130">
        <v>0</v>
      </c>
      <c r="C30" s="138" t="s">
        <v>32</v>
      </c>
      <c r="D30" s="139" t="str">
        <f>IF(C30="Str",'Personal File'!$C$7,IF(C30="Dex",'Personal File'!$C$8,IF(C30="Con",'Personal File'!$C$9,IF(C30="Int",'Personal File'!$C$10,IF(C30="Wis",'Personal File'!$C$11,IF(C30="Cha",'Personal File'!$C$12))))))</f>
        <v>+3</v>
      </c>
      <c r="E30" s="139" t="str">
        <f t="shared" si="7"/>
        <v>Cha (+3)</v>
      </c>
      <c r="F30" s="134" t="s">
        <v>65</v>
      </c>
      <c r="G30" s="134">
        <f t="shared" si="1"/>
        <v>3</v>
      </c>
      <c r="H30" s="116">
        <f t="shared" ca="1" si="8"/>
        <v>5</v>
      </c>
      <c r="I30" s="134">
        <f t="shared" ca="1" si="5"/>
        <v>8</v>
      </c>
      <c r="J30" s="121"/>
    </row>
    <row r="31" spans="1:10" ht="16.8">
      <c r="A31" s="177" t="s">
        <v>57</v>
      </c>
      <c r="B31" s="148">
        <v>0</v>
      </c>
      <c r="C31" s="178" t="s">
        <v>35</v>
      </c>
      <c r="D31" s="179" t="str">
        <f>IF(C31="Str",'Personal File'!$C$7,IF(C31="Dex",'Personal File'!$C$8,IF(C31="Con",'Personal File'!$C$9,IF(C31="Int",'Personal File'!$C$10,IF(C31="Wis",'Personal File'!$C$11,IF(C31="Cha",'Personal File'!$C$12))))))</f>
        <v>+2</v>
      </c>
      <c r="E31" s="179" t="str">
        <f t="shared" si="7"/>
        <v>Wis (+2)</v>
      </c>
      <c r="F31" s="151" t="s">
        <v>65</v>
      </c>
      <c r="G31" s="151">
        <f t="shared" si="1"/>
        <v>2</v>
      </c>
      <c r="H31" s="116">
        <f t="shared" ca="1" si="8"/>
        <v>7</v>
      </c>
      <c r="I31" s="151">
        <f t="shared" ca="1" si="5"/>
        <v>9</v>
      </c>
      <c r="J31" s="152"/>
    </row>
    <row r="32" spans="1:10" ht="16.8">
      <c r="A32" s="180" t="s">
        <v>23</v>
      </c>
      <c r="B32" s="181">
        <v>2</v>
      </c>
      <c r="C32" s="182" t="s">
        <v>36</v>
      </c>
      <c r="D32" s="183" t="str">
        <f>IF(C32="Str",'Personal File'!$C$7,IF(C32="Dex",'Personal File'!$C$8,IF(C32="Con",'Personal File'!$C$9,IF(C32="Int",'Personal File'!$C$10,IF(C32="Wis",'Personal File'!$C$11,IF(C32="Cha",'Personal File'!$C$12))))))</f>
        <v>+1</v>
      </c>
      <c r="E32" s="184" t="str">
        <f t="shared" si="7"/>
        <v>Dex (+1)</v>
      </c>
      <c r="F32" s="185" t="s">
        <v>65</v>
      </c>
      <c r="G32" s="185">
        <f t="shared" si="1"/>
        <v>3</v>
      </c>
      <c r="H32" s="116">
        <f t="shared" ca="1" si="8"/>
        <v>2</v>
      </c>
      <c r="I32" s="185">
        <f t="shared" ca="1" si="5"/>
        <v>5</v>
      </c>
      <c r="J32" s="186"/>
    </row>
    <row r="33" spans="1:10" ht="16.8">
      <c r="A33" s="129" t="s">
        <v>24</v>
      </c>
      <c r="B33" s="130">
        <v>0</v>
      </c>
      <c r="C33" s="131" t="s">
        <v>34</v>
      </c>
      <c r="D33" s="132" t="str">
        <f>IF(C33="Str",'Personal File'!$C$7,IF(C33="Dex",'Personal File'!$C$8,IF(C33="Con",'Personal File'!$C$9,IF(C33="Int",'Personal File'!$C$10,IF(C33="Wis",'Personal File'!$C$11,IF(C33="Cha",'Personal File'!$C$12))))))</f>
        <v>+0</v>
      </c>
      <c r="E33" s="132" t="str">
        <f t="shared" si="7"/>
        <v>Int (+0)</v>
      </c>
      <c r="F33" s="134" t="s">
        <v>65</v>
      </c>
      <c r="G33" s="134">
        <f t="shared" si="1"/>
        <v>0</v>
      </c>
      <c r="H33" s="116">
        <f t="shared" ca="1" si="8"/>
        <v>12</v>
      </c>
      <c r="I33" s="134">
        <f t="shared" ca="1" si="5"/>
        <v>12</v>
      </c>
      <c r="J33" s="121"/>
    </row>
    <row r="34" spans="1:10" ht="16.8">
      <c r="A34" s="187" t="s">
        <v>58</v>
      </c>
      <c r="B34" s="181">
        <v>5</v>
      </c>
      <c r="C34" s="188" t="s">
        <v>35</v>
      </c>
      <c r="D34" s="189" t="str">
        <f>IF(C34="Str",'Personal File'!$C$7,IF(C34="Dex",'Personal File'!$C$8,IF(C34="Con",'Personal File'!$C$9,IF(C34="Int",'Personal File'!$C$10,IF(C34="Wis",'Personal File'!$C$11,IF(C34="Cha",'Personal File'!$C$12))))))</f>
        <v>+2</v>
      </c>
      <c r="E34" s="189" t="str">
        <f t="shared" si="7"/>
        <v>Wis (+2)</v>
      </c>
      <c r="F34" s="185" t="s">
        <v>65</v>
      </c>
      <c r="G34" s="185">
        <f t="shared" si="1"/>
        <v>7</v>
      </c>
      <c r="H34" s="116">
        <f t="shared" ca="1" si="8"/>
        <v>5</v>
      </c>
      <c r="I34" s="185">
        <f t="shared" ca="1" si="5"/>
        <v>12</v>
      </c>
      <c r="J34" s="186"/>
    </row>
    <row r="35" spans="1:10" ht="16.8">
      <c r="A35" s="174" t="s">
        <v>96</v>
      </c>
      <c r="B35" s="148">
        <v>0</v>
      </c>
      <c r="C35" s="175" t="s">
        <v>36</v>
      </c>
      <c r="D35" s="176" t="str">
        <f>IF(C35="Str",'Personal File'!$C$7,IF(C35="Dex",'Personal File'!$C$8,IF(C35="Con",'Personal File'!$C$9,IF(C35="Int",'Personal File'!$C$10,IF(C35="Wis",'Personal File'!$C$11,IF(C35="Cha",'Personal File'!$C$12))))))</f>
        <v>+1</v>
      </c>
      <c r="E35" s="176" t="str">
        <f t="shared" si="7"/>
        <v>Dex (+1)</v>
      </c>
      <c r="F35" s="194">
        <f>SUM(Martial!$D$19:$D$20)</f>
        <v>-5</v>
      </c>
      <c r="G35" s="151">
        <f t="shared" si="1"/>
        <v>-4</v>
      </c>
      <c r="H35" s="116">
        <f t="shared" ca="1" si="8"/>
        <v>20</v>
      </c>
      <c r="I35" s="151">
        <f t="shared" ca="1" si="5"/>
        <v>16</v>
      </c>
      <c r="J35" s="152"/>
    </row>
    <row r="36" spans="1:10" ht="16.8">
      <c r="A36" s="190" t="s">
        <v>93</v>
      </c>
      <c r="B36" s="191">
        <v>0</v>
      </c>
      <c r="C36" s="192" t="s">
        <v>34</v>
      </c>
      <c r="D36" s="193" t="str">
        <f>IF(C36="Str",'Personal File'!$C$7,IF(C36="Dex",'Personal File'!$C$8,IF(C36="Con",'Personal File'!$C$9,IF(C36="Int",'Personal File'!$C$10,IF(C36="Wis",'Personal File'!$C$11,IF(C36="Cha",'Personal File'!$C$12))))))</f>
        <v>+0</v>
      </c>
      <c r="E36" s="193" t="str">
        <f t="shared" si="7"/>
        <v>Int (+0)</v>
      </c>
      <c r="F36" s="194" t="s">
        <v>65</v>
      </c>
      <c r="G36" s="194">
        <f t="shared" si="1"/>
        <v>0</v>
      </c>
      <c r="H36" s="116">
        <f t="shared" ca="1" si="8"/>
        <v>5</v>
      </c>
      <c r="I36" s="194">
        <f t="shared" ca="1" si="5"/>
        <v>5</v>
      </c>
      <c r="J36" s="195"/>
    </row>
    <row r="37" spans="1:10" ht="16.8">
      <c r="A37" s="190" t="s">
        <v>59</v>
      </c>
      <c r="B37" s="191">
        <v>0</v>
      </c>
      <c r="C37" s="192" t="s">
        <v>34</v>
      </c>
      <c r="D37" s="193" t="str">
        <f>IF(C37="Str",'Personal File'!$C$7,IF(C37="Dex",'Personal File'!$C$8,IF(C37="Con",'Personal File'!$C$9,IF(C37="Int",'Personal File'!$C$10,IF(C37="Wis",'Personal File'!$C$11,IF(C37="Cha",'Personal File'!$C$12))))))</f>
        <v>+0</v>
      </c>
      <c r="E37" s="193" t="str">
        <f t="shared" si="7"/>
        <v>Int (+0)</v>
      </c>
      <c r="F37" s="194" t="s">
        <v>65</v>
      </c>
      <c r="G37" s="194">
        <f t="shared" si="1"/>
        <v>0</v>
      </c>
      <c r="H37" s="116">
        <f t="shared" ca="1" si="8"/>
        <v>13</v>
      </c>
      <c r="I37" s="194">
        <f t="shared" ca="1" si="5"/>
        <v>13</v>
      </c>
      <c r="J37" s="195"/>
    </row>
    <row r="38" spans="1:10" ht="16.8">
      <c r="A38" s="163" t="s">
        <v>60</v>
      </c>
      <c r="B38" s="130">
        <v>0</v>
      </c>
      <c r="C38" s="164" t="s">
        <v>35</v>
      </c>
      <c r="D38" s="165" t="str">
        <f>IF(C38="Str",'Personal File'!$C$7,IF(C38="Dex",'Personal File'!$C$8,IF(C38="Con",'Personal File'!$C$9,IF(C38="Int",'Personal File'!$C$10,IF(C38="Wis",'Personal File'!$C$11,IF(C38="Cha",'Personal File'!$C$12))))))</f>
        <v>+2</v>
      </c>
      <c r="E38" s="165" t="str">
        <f t="shared" si="7"/>
        <v>Wis (+2)</v>
      </c>
      <c r="F38" s="134" t="s">
        <v>65</v>
      </c>
      <c r="G38" s="134">
        <f t="shared" si="1"/>
        <v>2</v>
      </c>
      <c r="H38" s="116">
        <f t="shared" ca="1" si="8"/>
        <v>1</v>
      </c>
      <c r="I38" s="134">
        <f t="shared" ca="1" si="5"/>
        <v>3</v>
      </c>
      <c r="J38" s="121"/>
    </row>
    <row r="39" spans="1:10" ht="16.8">
      <c r="A39" s="163" t="s">
        <v>97</v>
      </c>
      <c r="B39" s="130">
        <v>0</v>
      </c>
      <c r="C39" s="164" t="s">
        <v>35</v>
      </c>
      <c r="D39" s="165" t="str">
        <f>IF(C39="Str",'Personal File'!$C$7,IF(C39="Dex",'Personal File'!$C$8,IF(C39="Con",'Personal File'!$C$9,IF(C39="Int",'Personal File'!$C$10,IF(C39="Wis",'Personal File'!$C$11,IF(C39="Cha",'Personal File'!$C$12))))))</f>
        <v>+2</v>
      </c>
      <c r="E39" s="165" t="str">
        <f t="shared" si="7"/>
        <v>Wis (+2)</v>
      </c>
      <c r="F39" s="134" t="s">
        <v>65</v>
      </c>
      <c r="G39" s="134">
        <f t="shared" si="1"/>
        <v>2</v>
      </c>
      <c r="H39" s="116">
        <f t="shared" ca="1" si="8"/>
        <v>17</v>
      </c>
      <c r="I39" s="134">
        <f t="shared" ca="1" si="5"/>
        <v>19</v>
      </c>
      <c r="J39" s="196"/>
    </row>
    <row r="40" spans="1:10" ht="16.8">
      <c r="A40" s="277" t="s">
        <v>25</v>
      </c>
      <c r="B40" s="144">
        <v>1</v>
      </c>
      <c r="C40" s="278" t="s">
        <v>37</v>
      </c>
      <c r="D40" s="279" t="str">
        <f>IF(C40="Str",'Personal File'!$C$7,IF(C40="Dex",'Personal File'!$C$8,IF(C40="Con",'Personal File'!$C$9,IF(C40="Int",'Personal File'!$C$10,IF(C40="Wis",'Personal File'!$C$11,IF(C40="Cha",'Personal File'!$C$12))))))</f>
        <v>+5</v>
      </c>
      <c r="E40" s="279" t="str">
        <f t="shared" si="7"/>
        <v>Str (+5)</v>
      </c>
      <c r="F40" s="145" t="s">
        <v>65</v>
      </c>
      <c r="G40" s="145">
        <f t="shared" si="1"/>
        <v>6</v>
      </c>
      <c r="H40" s="116">
        <f t="shared" ca="1" si="8"/>
        <v>5</v>
      </c>
      <c r="I40" s="145">
        <f t="shared" ca="1" si="5"/>
        <v>11</v>
      </c>
      <c r="J40" s="146"/>
    </row>
    <row r="41" spans="1:10" ht="16.8">
      <c r="A41" s="197" t="s">
        <v>61</v>
      </c>
      <c r="B41" s="191">
        <v>0</v>
      </c>
      <c r="C41" s="198" t="s">
        <v>36</v>
      </c>
      <c r="D41" s="199" t="str">
        <f>IF(C41="Str",'Personal File'!$C$7,IF(C41="Dex",'Personal File'!$C$8,IF(C41="Con",'Personal File'!$C$9,IF(C41="Int",'Personal File'!$C$10,IF(C41="Wis",'Personal File'!$C$11,IF(C41="Cha",'Personal File'!$C$12))))))</f>
        <v>+1</v>
      </c>
      <c r="E41" s="199" t="str">
        <f t="shared" si="7"/>
        <v>Dex (+1)</v>
      </c>
      <c r="F41" s="194">
        <f>SUM(Martial!$D$19:$D$20)</f>
        <v>-5</v>
      </c>
      <c r="G41" s="194">
        <f t="shared" si="1"/>
        <v>-4</v>
      </c>
      <c r="H41" s="116">
        <f t="shared" ca="1" si="8"/>
        <v>2</v>
      </c>
      <c r="I41" s="194">
        <f t="shared" ca="1" si="5"/>
        <v>-2</v>
      </c>
      <c r="J41" s="195"/>
    </row>
    <row r="42" spans="1:10" ht="16.8">
      <c r="A42" s="200" t="s">
        <v>62</v>
      </c>
      <c r="B42" s="148">
        <v>0</v>
      </c>
      <c r="C42" s="201" t="s">
        <v>32</v>
      </c>
      <c r="D42" s="202" t="str">
        <f>IF(C42="Str",'Personal File'!$C$7,IF(C42="Dex",'Personal File'!$C$8,IF(C42="Con",'Personal File'!$C$9,IF(C42="Int",'Personal File'!$C$10,IF(C42="Wis",'Personal File'!$C$11,IF(C42="Cha",'Personal File'!$C$12))))))</f>
        <v>+3</v>
      </c>
      <c r="E42" s="202" t="str">
        <f t="shared" si="7"/>
        <v>Cha (+3)</v>
      </c>
      <c r="F42" s="151" t="s">
        <v>65</v>
      </c>
      <c r="G42" s="151">
        <f t="shared" si="1"/>
        <v>3</v>
      </c>
      <c r="H42" s="116">
        <f t="shared" ca="1" si="8"/>
        <v>20</v>
      </c>
      <c r="I42" s="151">
        <f t="shared" ca="1" si="5"/>
        <v>23</v>
      </c>
      <c r="J42" s="152"/>
    </row>
    <row r="43" spans="1:10" ht="17.399999999999999" thickBot="1">
      <c r="A43" s="203" t="s">
        <v>63</v>
      </c>
      <c r="B43" s="204">
        <v>0</v>
      </c>
      <c r="C43" s="205" t="s">
        <v>36</v>
      </c>
      <c r="D43" s="206" t="str">
        <f>IF(C43="Str",'Personal File'!$C$7,IF(C43="Dex",'Personal File'!$C$8,IF(C43="Con",'Personal File'!$C$9,IF(C43="Int",'Personal File'!$C$10,IF(C43="Wis",'Personal File'!$C$11,IF(C43="Cha",'Personal File'!$C$12))))))</f>
        <v>+1</v>
      </c>
      <c r="E43" s="206" t="str">
        <f t="shared" si="7"/>
        <v>Dex (+1)</v>
      </c>
      <c r="F43" s="207" t="s">
        <v>65</v>
      </c>
      <c r="G43" s="207">
        <f t="shared" si="1"/>
        <v>1</v>
      </c>
      <c r="H43" s="208">
        <f t="shared" ca="1" si="8"/>
        <v>10</v>
      </c>
      <c r="I43" s="207">
        <f t="shared" ca="1" si="5"/>
        <v>11</v>
      </c>
      <c r="J43" s="209"/>
    </row>
    <row r="44" spans="1:10" ht="16.2" thickTop="1">
      <c r="A44" s="268"/>
      <c r="B44" s="269">
        <f>SUM(B6:B43,B24)</f>
        <v>39</v>
      </c>
      <c r="C44" s="270"/>
      <c r="D44" s="270"/>
      <c r="E44" s="271">
        <f>SUM(E45:E55)</f>
        <v>39</v>
      </c>
      <c r="F44" s="272" t="s">
        <v>70</v>
      </c>
      <c r="G44" s="270"/>
      <c r="H44" s="270"/>
      <c r="I44" s="270"/>
      <c r="J44" s="268"/>
    </row>
    <row r="45" spans="1:10">
      <c r="A45" s="268"/>
      <c r="B45" s="269"/>
      <c r="C45" s="270"/>
      <c r="D45" s="270"/>
      <c r="E45" s="274">
        <f>4*(2+'Personal File'!$C$10)</f>
        <v>8</v>
      </c>
      <c r="F45" s="273" t="s">
        <v>190</v>
      </c>
      <c r="G45" s="270"/>
      <c r="H45" s="270"/>
      <c r="I45" s="270"/>
      <c r="J45" s="268"/>
    </row>
    <row r="46" spans="1:10">
      <c r="A46" s="268"/>
      <c r="B46" s="269"/>
      <c r="C46" s="270"/>
      <c r="D46" s="270"/>
      <c r="E46" s="274">
        <f>2+'Personal File'!$C$10</f>
        <v>2</v>
      </c>
      <c r="F46" s="273" t="s">
        <v>202</v>
      </c>
      <c r="G46" s="270"/>
      <c r="H46" s="270"/>
      <c r="I46" s="270"/>
      <c r="J46" s="268"/>
    </row>
    <row r="47" spans="1:10">
      <c r="A47" s="268"/>
      <c r="B47" s="269"/>
      <c r="C47" s="270"/>
      <c r="D47" s="270"/>
      <c r="E47" s="274">
        <f>2+'Personal File'!$C$10</f>
        <v>2</v>
      </c>
      <c r="F47" s="273" t="s">
        <v>214</v>
      </c>
      <c r="G47" s="270"/>
      <c r="H47" s="270"/>
      <c r="I47" s="270"/>
      <c r="J47" s="268"/>
    </row>
    <row r="48" spans="1:10">
      <c r="A48" s="268"/>
      <c r="B48" s="269"/>
      <c r="C48" s="270"/>
      <c r="D48" s="270"/>
      <c r="E48" s="274">
        <f>2+'Personal File'!$C$10</f>
        <v>2</v>
      </c>
      <c r="F48" s="273" t="s">
        <v>215</v>
      </c>
      <c r="G48" s="270"/>
      <c r="H48" s="270"/>
      <c r="I48" s="270"/>
      <c r="J48" s="268"/>
    </row>
    <row r="49" spans="1:10">
      <c r="A49" s="268"/>
      <c r="B49" s="269"/>
      <c r="C49" s="270"/>
      <c r="D49" s="270"/>
      <c r="E49" s="274">
        <f>2+'Personal File'!$C$10</f>
        <v>2</v>
      </c>
      <c r="F49" s="273" t="s">
        <v>216</v>
      </c>
      <c r="G49" s="270"/>
      <c r="H49" s="270"/>
      <c r="I49" s="270"/>
      <c r="J49" s="268"/>
    </row>
    <row r="50" spans="1:10">
      <c r="A50" s="268"/>
      <c r="B50" s="269"/>
      <c r="C50" s="270"/>
      <c r="D50" s="270"/>
      <c r="E50" s="274">
        <f>2+'Personal File'!$C$10</f>
        <v>2</v>
      </c>
      <c r="F50" s="273" t="s">
        <v>217</v>
      </c>
      <c r="G50" s="270"/>
      <c r="H50" s="270"/>
      <c r="I50" s="270"/>
      <c r="J50" s="268"/>
    </row>
    <row r="51" spans="1:10">
      <c r="A51" s="268"/>
      <c r="B51" s="269"/>
      <c r="C51" s="270"/>
      <c r="D51" s="270"/>
      <c r="E51" s="274">
        <f>2+'Personal File'!$C$10</f>
        <v>2</v>
      </c>
      <c r="F51" s="273" t="s">
        <v>218</v>
      </c>
      <c r="G51" s="270"/>
      <c r="H51" s="270"/>
      <c r="I51" s="270"/>
      <c r="J51" s="268"/>
    </row>
    <row r="52" spans="1:10">
      <c r="A52" s="268"/>
      <c r="B52" s="269"/>
      <c r="C52" s="270"/>
      <c r="D52" s="270"/>
      <c r="E52" s="274">
        <f>2+'Personal File'!$C$10</f>
        <v>2</v>
      </c>
      <c r="F52" s="273" t="s">
        <v>219</v>
      </c>
      <c r="G52" s="270"/>
      <c r="H52" s="270"/>
      <c r="I52" s="270"/>
      <c r="J52" s="268"/>
    </row>
    <row r="53" spans="1:10">
      <c r="A53" s="268"/>
      <c r="B53" s="269"/>
      <c r="C53" s="270"/>
      <c r="D53" s="270"/>
      <c r="E53" s="274">
        <f>2+'Personal File'!$C$10</f>
        <v>2</v>
      </c>
      <c r="F53" s="273" t="s">
        <v>317</v>
      </c>
      <c r="G53" s="270"/>
      <c r="H53" s="270"/>
      <c r="I53" s="270"/>
      <c r="J53" s="268"/>
    </row>
    <row r="54" spans="1:10">
      <c r="A54" s="268"/>
      <c r="B54" s="269"/>
      <c r="C54" s="270"/>
      <c r="D54" s="270"/>
      <c r="E54" s="274">
        <f>2+'Personal File'!$C$10</f>
        <v>2</v>
      </c>
      <c r="F54" s="273" t="s">
        <v>331</v>
      </c>
      <c r="G54" s="270"/>
      <c r="H54" s="270"/>
      <c r="I54" s="270"/>
      <c r="J54" s="268"/>
    </row>
    <row r="55" spans="1:10">
      <c r="A55" s="268"/>
      <c r="B55" s="268"/>
      <c r="C55" s="270"/>
      <c r="D55" s="270"/>
      <c r="E55" s="271">
        <f>3+'Personal File'!E3+'Personal File'!E4</f>
        <v>13</v>
      </c>
      <c r="F55" s="273" t="s">
        <v>91</v>
      </c>
      <c r="G55" s="270"/>
      <c r="H55" s="270"/>
      <c r="I55" s="270"/>
      <c r="J55" s="268"/>
    </row>
    <row r="56" spans="1:10">
      <c r="A56" s="275"/>
      <c r="B56" s="275"/>
      <c r="C56" s="276"/>
      <c r="D56" s="276"/>
      <c r="E56" s="276"/>
      <c r="F56" s="276"/>
      <c r="G56" s="276"/>
      <c r="H56" s="276"/>
      <c r="I56" s="276"/>
      <c r="J56" s="275"/>
    </row>
    <row r="57" spans="1:10">
      <c r="A57" s="275"/>
      <c r="B57" s="275"/>
      <c r="C57" s="276"/>
      <c r="D57" s="276"/>
      <c r="E57" s="276"/>
      <c r="F57" s="276"/>
      <c r="G57" s="276"/>
      <c r="H57" s="276"/>
      <c r="I57" s="276"/>
      <c r="J57" s="275"/>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showGridLines="0" workbookViewId="0">
      <pane ySplit="2" topLeftCell="A3" activePane="bottomLeft" state="frozen"/>
      <selection pane="bottomLeft" activeCell="A3" sqref="A3"/>
    </sheetView>
  </sheetViews>
  <sheetFormatPr defaultColWidth="13" defaultRowHeight="15.6"/>
  <cols>
    <col min="1" max="1" width="20.59765625" style="99" bestFit="1" customWidth="1"/>
    <col min="2" max="2" width="6.19921875" style="99" bestFit="1" customWidth="1"/>
    <col min="3" max="3" width="13.3984375" style="98" bestFit="1" customWidth="1"/>
    <col min="4" max="4" width="11.19921875" style="98" bestFit="1" customWidth="1"/>
    <col min="5" max="5" width="8.59765625" style="98" bestFit="1" customWidth="1"/>
    <col min="6" max="6" width="12.59765625" style="98" bestFit="1" customWidth="1"/>
    <col min="7" max="7" width="9.5" style="98" bestFit="1" customWidth="1"/>
    <col min="8" max="8" width="30.69921875" style="99" customWidth="1"/>
    <col min="9" max="16384" width="13" style="85"/>
  </cols>
  <sheetData>
    <row r="1" spans="1:8" ht="23.4" thickBot="1">
      <c r="A1" s="301" t="s">
        <v>203</v>
      </c>
      <c r="B1" s="211"/>
      <c r="C1" s="211"/>
      <c r="D1" s="211"/>
      <c r="E1" s="211"/>
      <c r="F1" s="211"/>
      <c r="G1" s="211"/>
      <c r="H1" s="211"/>
    </row>
    <row r="2" spans="1:8" s="19" customFormat="1" ht="31.2">
      <c r="A2" s="212" t="s">
        <v>79</v>
      </c>
      <c r="B2" s="213" t="s">
        <v>4</v>
      </c>
      <c r="C2" s="213" t="s">
        <v>105</v>
      </c>
      <c r="D2" s="214" t="s">
        <v>106</v>
      </c>
      <c r="E2" s="214" t="s">
        <v>107</v>
      </c>
      <c r="F2" s="213" t="s">
        <v>108</v>
      </c>
      <c r="G2" s="213" t="s">
        <v>109</v>
      </c>
      <c r="H2" s="215" t="s">
        <v>5</v>
      </c>
    </row>
    <row r="3" spans="1:8" ht="16.8">
      <c r="A3" s="282" t="s">
        <v>191</v>
      </c>
      <c r="B3" s="283">
        <v>1</v>
      </c>
      <c r="C3" s="284" t="s">
        <v>291</v>
      </c>
      <c r="D3" s="285" t="s">
        <v>133</v>
      </c>
      <c r="E3" s="285" t="s">
        <v>113</v>
      </c>
      <c r="F3" s="286" t="s">
        <v>135</v>
      </c>
      <c r="G3" s="286" t="s">
        <v>119</v>
      </c>
      <c r="H3" s="287" t="s">
        <v>136</v>
      </c>
    </row>
    <row r="4" spans="1:8" ht="16.8">
      <c r="A4" s="282" t="s">
        <v>289</v>
      </c>
      <c r="B4" s="283">
        <v>1</v>
      </c>
      <c r="C4" s="284" t="s">
        <v>290</v>
      </c>
      <c r="D4" s="285" t="s">
        <v>112</v>
      </c>
      <c r="E4" s="285" t="s">
        <v>113</v>
      </c>
      <c r="F4" s="286" t="s">
        <v>118</v>
      </c>
      <c r="G4" s="286" t="s">
        <v>119</v>
      </c>
      <c r="H4" s="287" t="s">
        <v>154</v>
      </c>
    </row>
    <row r="5" spans="1:8" ht="16.8">
      <c r="A5" s="282" t="s">
        <v>192</v>
      </c>
      <c r="B5" s="283">
        <v>1</v>
      </c>
      <c r="C5" s="284" t="s">
        <v>290</v>
      </c>
      <c r="D5" s="285" t="s">
        <v>137</v>
      </c>
      <c r="E5" s="285" t="s">
        <v>113</v>
      </c>
      <c r="F5" s="286" t="s">
        <v>118</v>
      </c>
      <c r="G5" s="286" t="s">
        <v>115</v>
      </c>
      <c r="H5" s="288" t="s">
        <v>138</v>
      </c>
    </row>
    <row r="6" spans="1:8" ht="16.8">
      <c r="A6" s="282" t="s">
        <v>193</v>
      </c>
      <c r="B6" s="283">
        <v>1</v>
      </c>
      <c r="C6" s="284" t="s">
        <v>290</v>
      </c>
      <c r="D6" s="285" t="s">
        <v>112</v>
      </c>
      <c r="E6" s="285" t="s">
        <v>113</v>
      </c>
      <c r="F6" s="286" t="s">
        <v>118</v>
      </c>
      <c r="G6" s="286" t="s">
        <v>119</v>
      </c>
      <c r="H6" s="288" t="s">
        <v>154</v>
      </c>
    </row>
    <row r="7" spans="1:8" ht="16.8">
      <c r="A7" s="282" t="s">
        <v>139</v>
      </c>
      <c r="B7" s="283">
        <v>1</v>
      </c>
      <c r="C7" s="284" t="s">
        <v>291</v>
      </c>
      <c r="D7" s="285" t="s">
        <v>140</v>
      </c>
      <c r="E7" s="285" t="s">
        <v>113</v>
      </c>
      <c r="F7" s="286" t="s">
        <v>114</v>
      </c>
      <c r="G7" s="286" t="s">
        <v>141</v>
      </c>
      <c r="H7" s="157" t="s">
        <v>142</v>
      </c>
    </row>
    <row r="8" spans="1:8" ht="16.8">
      <c r="A8" s="282" t="s">
        <v>110</v>
      </c>
      <c r="B8" s="283">
        <v>1</v>
      </c>
      <c r="C8" s="284" t="s">
        <v>111</v>
      </c>
      <c r="D8" s="285" t="s">
        <v>112</v>
      </c>
      <c r="E8" s="285" t="s">
        <v>113</v>
      </c>
      <c r="F8" s="286" t="s">
        <v>114</v>
      </c>
      <c r="G8" s="286" t="s">
        <v>115</v>
      </c>
      <c r="H8" s="157" t="s">
        <v>116</v>
      </c>
    </row>
    <row r="9" spans="1:8" ht="16.8">
      <c r="A9" s="282" t="s">
        <v>143</v>
      </c>
      <c r="B9" s="283">
        <v>1</v>
      </c>
      <c r="C9" s="284" t="s">
        <v>117</v>
      </c>
      <c r="D9" s="285" t="s">
        <v>112</v>
      </c>
      <c r="E9" s="285" t="s">
        <v>113</v>
      </c>
      <c r="F9" s="286" t="s">
        <v>118</v>
      </c>
      <c r="G9" s="286" t="s">
        <v>115</v>
      </c>
      <c r="H9" s="157" t="s">
        <v>144</v>
      </c>
    </row>
    <row r="10" spans="1:8" ht="16.8">
      <c r="A10" s="282" t="s">
        <v>120</v>
      </c>
      <c r="B10" s="283">
        <v>1</v>
      </c>
      <c r="C10" s="284" t="s">
        <v>121</v>
      </c>
      <c r="D10" s="285" t="s">
        <v>112</v>
      </c>
      <c r="E10" s="285" t="s">
        <v>113</v>
      </c>
      <c r="F10" s="286" t="s">
        <v>114</v>
      </c>
      <c r="G10" s="286" t="s">
        <v>115</v>
      </c>
      <c r="H10" s="157" t="s">
        <v>156</v>
      </c>
    </row>
    <row r="11" spans="1:8" ht="16.8">
      <c r="A11" s="282" t="s">
        <v>153</v>
      </c>
      <c r="B11" s="283">
        <v>1</v>
      </c>
      <c r="C11" s="284" t="s">
        <v>121</v>
      </c>
      <c r="D11" s="285" t="s">
        <v>130</v>
      </c>
      <c r="E11" s="289" t="s">
        <v>113</v>
      </c>
      <c r="F11" s="290" t="s">
        <v>299</v>
      </c>
      <c r="G11" s="286" t="s">
        <v>115</v>
      </c>
      <c r="H11" s="157" t="s">
        <v>155</v>
      </c>
    </row>
    <row r="12" spans="1:8" ht="16.8">
      <c r="A12" s="282" t="s">
        <v>145</v>
      </c>
      <c r="B12" s="283">
        <v>1</v>
      </c>
      <c r="C12" s="284" t="s">
        <v>123</v>
      </c>
      <c r="D12" s="285" t="s">
        <v>133</v>
      </c>
      <c r="E12" s="285" t="s">
        <v>113</v>
      </c>
      <c r="F12" s="286" t="s">
        <v>127</v>
      </c>
      <c r="G12" s="286" t="s">
        <v>122</v>
      </c>
      <c r="H12" s="287" t="s">
        <v>146</v>
      </c>
    </row>
    <row r="13" spans="1:8" ht="16.8">
      <c r="A13" s="282" t="s">
        <v>182</v>
      </c>
      <c r="B13" s="283">
        <v>1</v>
      </c>
      <c r="C13" s="284" t="s">
        <v>123</v>
      </c>
      <c r="D13" s="285" t="s">
        <v>112</v>
      </c>
      <c r="E13" s="285" t="s">
        <v>113</v>
      </c>
      <c r="F13" s="286" t="s">
        <v>127</v>
      </c>
      <c r="G13" s="286" t="s">
        <v>165</v>
      </c>
      <c r="H13" s="287" t="s">
        <v>183</v>
      </c>
    </row>
    <row r="14" spans="1:8" ht="16.8">
      <c r="A14" s="282" t="s">
        <v>147</v>
      </c>
      <c r="B14" s="283">
        <v>1</v>
      </c>
      <c r="C14" s="284" t="s">
        <v>129</v>
      </c>
      <c r="D14" s="285" t="s">
        <v>112</v>
      </c>
      <c r="E14" s="285" t="s">
        <v>113</v>
      </c>
      <c r="F14" s="286" t="s">
        <v>118</v>
      </c>
      <c r="G14" s="286" t="s">
        <v>148</v>
      </c>
      <c r="H14" s="157" t="s">
        <v>149</v>
      </c>
    </row>
    <row r="15" spans="1:8" ht="16.8">
      <c r="A15" s="282" t="s">
        <v>150</v>
      </c>
      <c r="B15" s="283">
        <v>1</v>
      </c>
      <c r="C15" s="284" t="s">
        <v>290</v>
      </c>
      <c r="D15" s="285" t="s">
        <v>151</v>
      </c>
      <c r="E15" s="285" t="s">
        <v>113</v>
      </c>
      <c r="F15" s="286" t="s">
        <v>118</v>
      </c>
      <c r="G15" s="286" t="s">
        <v>119</v>
      </c>
      <c r="H15" s="287" t="s">
        <v>152</v>
      </c>
    </row>
    <row r="16" spans="1:8" ht="16.8">
      <c r="A16" s="282" t="s">
        <v>194</v>
      </c>
      <c r="B16" s="283">
        <v>1</v>
      </c>
      <c r="C16" s="284" t="s">
        <v>129</v>
      </c>
      <c r="D16" s="285" t="s">
        <v>130</v>
      </c>
      <c r="E16" s="285" t="s">
        <v>113</v>
      </c>
      <c r="F16" s="286" t="s">
        <v>118</v>
      </c>
      <c r="G16" s="286" t="s">
        <v>119</v>
      </c>
      <c r="H16" s="157" t="s">
        <v>157</v>
      </c>
    </row>
    <row r="17" spans="1:8" ht="16.8">
      <c r="A17" s="282" t="s">
        <v>292</v>
      </c>
      <c r="B17" s="283">
        <v>1</v>
      </c>
      <c r="C17" s="284" t="s">
        <v>129</v>
      </c>
      <c r="D17" s="285" t="s">
        <v>130</v>
      </c>
      <c r="E17" s="285" t="s">
        <v>113</v>
      </c>
      <c r="F17" s="286" t="s">
        <v>118</v>
      </c>
      <c r="G17" s="286" t="s">
        <v>119</v>
      </c>
      <c r="H17" s="157" t="s">
        <v>157</v>
      </c>
    </row>
    <row r="18" spans="1:8" ht="16.8">
      <c r="A18" s="282" t="s">
        <v>125</v>
      </c>
      <c r="B18" s="283">
        <v>1</v>
      </c>
      <c r="C18" s="284" t="s">
        <v>117</v>
      </c>
      <c r="D18" s="285" t="s">
        <v>126</v>
      </c>
      <c r="E18" s="285" t="s">
        <v>113</v>
      </c>
      <c r="F18" s="286" t="s">
        <v>127</v>
      </c>
      <c r="G18" s="286" t="s">
        <v>124</v>
      </c>
      <c r="H18" s="157" t="s">
        <v>158</v>
      </c>
    </row>
    <row r="19" spans="1:8" ht="16.8">
      <c r="A19" s="282" t="s">
        <v>128</v>
      </c>
      <c r="B19" s="283">
        <v>1</v>
      </c>
      <c r="C19" s="284" t="s">
        <v>129</v>
      </c>
      <c r="D19" s="285" t="s">
        <v>130</v>
      </c>
      <c r="E19" s="285" t="s">
        <v>113</v>
      </c>
      <c r="F19" s="286" t="s">
        <v>118</v>
      </c>
      <c r="G19" s="286" t="s">
        <v>122</v>
      </c>
      <c r="H19" s="288" t="s">
        <v>131</v>
      </c>
    </row>
    <row r="20" spans="1:8" ht="16.8">
      <c r="A20" s="282" t="s">
        <v>177</v>
      </c>
      <c r="B20" s="283">
        <v>1</v>
      </c>
      <c r="C20" s="284" t="s">
        <v>111</v>
      </c>
      <c r="D20" s="285" t="s">
        <v>112</v>
      </c>
      <c r="E20" s="289" t="s">
        <v>113</v>
      </c>
      <c r="F20" s="290" t="s">
        <v>118</v>
      </c>
      <c r="G20" s="286" t="s">
        <v>115</v>
      </c>
      <c r="H20" s="157" t="s">
        <v>178</v>
      </c>
    </row>
    <row r="21" spans="1:8" ht="16.8">
      <c r="A21" s="282" t="s">
        <v>167</v>
      </c>
      <c r="B21" s="283">
        <v>1</v>
      </c>
      <c r="C21" s="284" t="s">
        <v>111</v>
      </c>
      <c r="D21" s="285" t="s">
        <v>112</v>
      </c>
      <c r="E21" s="289" t="s">
        <v>113</v>
      </c>
      <c r="F21" s="286" t="s">
        <v>300</v>
      </c>
      <c r="G21" s="286" t="s">
        <v>165</v>
      </c>
      <c r="H21" s="157" t="s">
        <v>168</v>
      </c>
    </row>
    <row r="22" spans="1:8" ht="16.8">
      <c r="A22" s="282" t="s">
        <v>306</v>
      </c>
      <c r="B22" s="283">
        <v>1</v>
      </c>
      <c r="C22" s="284" t="s">
        <v>290</v>
      </c>
      <c r="D22" s="285" t="s">
        <v>112</v>
      </c>
      <c r="E22" s="289" t="s">
        <v>307</v>
      </c>
      <c r="F22" s="286" t="s">
        <v>127</v>
      </c>
      <c r="G22" s="286" t="s">
        <v>141</v>
      </c>
      <c r="H22" s="157" t="s">
        <v>308</v>
      </c>
    </row>
    <row r="23" spans="1:8" ht="16.8">
      <c r="A23" s="291" t="s">
        <v>132</v>
      </c>
      <c r="B23" s="292">
        <v>1</v>
      </c>
      <c r="C23" s="293" t="s">
        <v>290</v>
      </c>
      <c r="D23" s="294" t="s">
        <v>133</v>
      </c>
      <c r="E23" s="294" t="s">
        <v>113</v>
      </c>
      <c r="F23" s="295" t="s">
        <v>118</v>
      </c>
      <c r="G23" s="295" t="s">
        <v>122</v>
      </c>
      <c r="H23" s="296" t="s">
        <v>134</v>
      </c>
    </row>
    <row r="24" spans="1:8" ht="16.8">
      <c r="A24" s="425" t="s">
        <v>160</v>
      </c>
      <c r="B24" s="283">
        <v>2</v>
      </c>
      <c r="C24" s="284" t="s">
        <v>111</v>
      </c>
      <c r="D24" s="285" t="s">
        <v>112</v>
      </c>
      <c r="E24" s="289" t="s">
        <v>113</v>
      </c>
      <c r="F24" s="286" t="s">
        <v>127</v>
      </c>
      <c r="G24" s="286" t="s">
        <v>124</v>
      </c>
      <c r="H24" s="157" t="s">
        <v>161</v>
      </c>
    </row>
    <row r="25" spans="1:8" ht="16.8">
      <c r="A25" s="425" t="s">
        <v>309</v>
      </c>
      <c r="B25" s="283">
        <v>2</v>
      </c>
      <c r="C25" s="284" t="s">
        <v>290</v>
      </c>
      <c r="D25" s="285" t="s">
        <v>130</v>
      </c>
      <c r="E25" s="424" t="s">
        <v>113</v>
      </c>
      <c r="F25" s="286" t="s">
        <v>118</v>
      </c>
      <c r="G25" s="286" t="s">
        <v>119</v>
      </c>
      <c r="H25" s="157" t="s">
        <v>318</v>
      </c>
    </row>
    <row r="26" spans="1:8" ht="16.8">
      <c r="A26" s="425" t="s">
        <v>174</v>
      </c>
      <c r="B26" s="283">
        <v>2</v>
      </c>
      <c r="C26" s="284" t="s">
        <v>129</v>
      </c>
      <c r="D26" s="285" t="s">
        <v>133</v>
      </c>
      <c r="E26" s="289" t="s">
        <v>175</v>
      </c>
      <c r="F26" s="286" t="s">
        <v>118</v>
      </c>
      <c r="G26" s="286" t="s">
        <v>124</v>
      </c>
      <c r="H26" s="157" t="s">
        <v>176</v>
      </c>
    </row>
    <row r="27" spans="1:8" ht="16.8">
      <c r="A27" s="425" t="s">
        <v>162</v>
      </c>
      <c r="B27" s="283">
        <v>2</v>
      </c>
      <c r="C27" s="284" t="s">
        <v>290</v>
      </c>
      <c r="D27" s="285" t="s">
        <v>112</v>
      </c>
      <c r="E27" s="289" t="s">
        <v>113</v>
      </c>
      <c r="F27" s="286" t="s">
        <v>127</v>
      </c>
      <c r="G27" s="286" t="s">
        <v>124</v>
      </c>
      <c r="H27" s="157" t="s">
        <v>163</v>
      </c>
    </row>
    <row r="28" spans="1:8" ht="16.8">
      <c r="A28" s="425" t="s">
        <v>164</v>
      </c>
      <c r="B28" s="283">
        <v>2</v>
      </c>
      <c r="C28" s="284" t="s">
        <v>290</v>
      </c>
      <c r="D28" s="285" t="s">
        <v>112</v>
      </c>
      <c r="E28" s="289" t="s">
        <v>113</v>
      </c>
      <c r="F28" s="286" t="s">
        <v>127</v>
      </c>
      <c r="G28" s="286" t="s">
        <v>165</v>
      </c>
      <c r="H28" s="157" t="s">
        <v>166</v>
      </c>
    </row>
    <row r="29" spans="1:8" ht="16.8">
      <c r="A29" s="425" t="s">
        <v>169</v>
      </c>
      <c r="B29" s="283">
        <v>2</v>
      </c>
      <c r="C29" s="284" t="s">
        <v>111</v>
      </c>
      <c r="D29" s="285" t="s">
        <v>112</v>
      </c>
      <c r="E29" s="289" t="s">
        <v>113</v>
      </c>
      <c r="F29" s="286" t="s">
        <v>127</v>
      </c>
      <c r="G29" s="286" t="s">
        <v>122</v>
      </c>
      <c r="H29" s="157" t="s">
        <v>170</v>
      </c>
    </row>
    <row r="30" spans="1:8" ht="16.8">
      <c r="A30" s="425" t="s">
        <v>171</v>
      </c>
      <c r="B30" s="283">
        <v>2</v>
      </c>
      <c r="C30" s="284" t="s">
        <v>291</v>
      </c>
      <c r="D30" s="285" t="s">
        <v>133</v>
      </c>
      <c r="E30" s="289" t="s">
        <v>113</v>
      </c>
      <c r="F30" s="286" t="s">
        <v>127</v>
      </c>
      <c r="G30" s="286" t="s">
        <v>172</v>
      </c>
      <c r="H30" s="157" t="s">
        <v>170</v>
      </c>
    </row>
    <row r="31" spans="1:8" ht="17.399999999999999" thickBot="1">
      <c r="A31" s="397" t="s">
        <v>173</v>
      </c>
      <c r="B31" s="398">
        <v>3</v>
      </c>
      <c r="C31" s="399" t="s">
        <v>290</v>
      </c>
      <c r="D31" s="400" t="s">
        <v>112</v>
      </c>
      <c r="E31" s="401" t="s">
        <v>113</v>
      </c>
      <c r="F31" s="402" t="s">
        <v>118</v>
      </c>
      <c r="G31" s="402" t="s">
        <v>119</v>
      </c>
      <c r="H31" s="403" t="s">
        <v>170</v>
      </c>
    </row>
    <row r="32" spans="1:8"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GridLines="0" workbookViewId="0"/>
  </sheetViews>
  <sheetFormatPr defaultColWidth="13" defaultRowHeight="15.6"/>
  <cols>
    <col min="1" max="1" width="19.5" style="99" bestFit="1" customWidth="1"/>
    <col min="2" max="2" width="6.19921875" style="99" bestFit="1" customWidth="1"/>
    <col min="3" max="3" width="4.09765625" style="99" bestFit="1" customWidth="1"/>
    <col min="4" max="4" width="6.3984375" style="98" bestFit="1" customWidth="1"/>
    <col min="5" max="5" width="1.8984375" style="98" customWidth="1"/>
    <col min="6" max="6" width="18.59765625" style="98" bestFit="1" customWidth="1"/>
    <col min="7" max="7" width="3.5" style="98" bestFit="1" customWidth="1"/>
    <col min="8" max="8" width="3.3984375" style="98" bestFit="1" customWidth="1"/>
    <col min="9" max="9" width="3.8984375" style="98" bestFit="1" customWidth="1"/>
    <col min="10" max="10" width="3.59765625" style="98" bestFit="1" customWidth="1"/>
    <col min="11" max="14" width="3.5" style="98" bestFit="1" customWidth="1"/>
    <col min="15" max="15" width="1.8984375" style="98" customWidth="1"/>
    <col min="16" max="16" width="33.796875" style="98" bestFit="1" customWidth="1"/>
    <col min="17" max="16384" width="13" style="85"/>
  </cols>
  <sheetData>
    <row r="1" spans="1:17" ht="24" thickTop="1" thickBot="1">
      <c r="A1" s="82" t="s">
        <v>100</v>
      </c>
      <c r="B1" s="83"/>
      <c r="C1" s="83"/>
      <c r="D1" s="84"/>
      <c r="E1" s="85"/>
      <c r="F1" s="93"/>
      <c r="G1" s="386" t="s">
        <v>284</v>
      </c>
      <c r="H1" s="387"/>
      <c r="I1" s="388"/>
      <c r="J1" s="388"/>
      <c r="K1" s="388"/>
      <c r="L1" s="388"/>
      <c r="M1" s="388"/>
      <c r="N1" s="389"/>
      <c r="O1" s="85"/>
      <c r="P1" s="86" t="s">
        <v>102</v>
      </c>
    </row>
    <row r="2" spans="1:17" ht="18" thickTop="1" thickBot="1">
      <c r="A2" s="87" t="s">
        <v>79</v>
      </c>
      <c r="B2" s="88" t="s">
        <v>4</v>
      </c>
      <c r="C2" s="88" t="s">
        <v>103</v>
      </c>
      <c r="D2" s="89" t="s">
        <v>80</v>
      </c>
      <c r="E2" s="90"/>
      <c r="F2" s="93"/>
      <c r="G2" s="390" t="s">
        <v>275</v>
      </c>
      <c r="H2" s="391" t="s">
        <v>276</v>
      </c>
      <c r="I2" s="391" t="s">
        <v>277</v>
      </c>
      <c r="J2" s="391" t="s">
        <v>278</v>
      </c>
      <c r="K2" s="391" t="s">
        <v>279</v>
      </c>
      <c r="L2" s="391" t="s">
        <v>280</v>
      </c>
      <c r="M2" s="391" t="s">
        <v>281</v>
      </c>
      <c r="N2" s="392" t="s">
        <v>282</v>
      </c>
      <c r="O2" s="90"/>
      <c r="P2" s="91" t="s">
        <v>262</v>
      </c>
      <c r="Q2" s="93"/>
    </row>
    <row r="3" spans="1:17" ht="17.399999999999999" thickTop="1">
      <c r="A3" s="394" t="s">
        <v>289</v>
      </c>
      <c r="B3" s="395">
        <v>1</v>
      </c>
      <c r="C3" s="418">
        <f>SUM(10+B3+'Personal File'!$C$12)</f>
        <v>14</v>
      </c>
      <c r="D3" s="396" t="s">
        <v>81</v>
      </c>
      <c r="E3" s="90"/>
      <c r="F3" s="381" t="s">
        <v>285</v>
      </c>
      <c r="G3" s="382">
        <v>0</v>
      </c>
      <c r="H3" s="407">
        <v>0</v>
      </c>
      <c r="I3" s="407">
        <v>0</v>
      </c>
      <c r="J3" s="407">
        <v>0</v>
      </c>
      <c r="K3" s="407">
        <v>0</v>
      </c>
      <c r="L3" s="407">
        <v>0</v>
      </c>
      <c r="M3" s="407">
        <v>0</v>
      </c>
      <c r="N3" s="409">
        <v>0</v>
      </c>
      <c r="O3" s="90"/>
      <c r="P3" s="95" t="s">
        <v>301</v>
      </c>
    </row>
    <row r="4" spans="1:17" ht="16.8">
      <c r="A4" s="413" t="s">
        <v>337</v>
      </c>
      <c r="B4" s="414">
        <v>1</v>
      </c>
      <c r="C4" s="419">
        <f>SUM(10+B4+'Personal File'!$C$12)</f>
        <v>14</v>
      </c>
      <c r="D4" s="415" t="s">
        <v>351</v>
      </c>
      <c r="E4" s="90"/>
      <c r="F4" s="383" t="s">
        <v>287</v>
      </c>
      <c r="G4" s="384">
        <v>1</v>
      </c>
      <c r="H4" s="408">
        <v>0</v>
      </c>
      <c r="I4" s="408">
        <v>0</v>
      </c>
      <c r="J4" s="408">
        <v>0</v>
      </c>
      <c r="K4" s="408">
        <v>0</v>
      </c>
      <c r="L4" s="408">
        <v>0</v>
      </c>
      <c r="M4" s="408">
        <v>0</v>
      </c>
      <c r="N4" s="410">
        <v>0</v>
      </c>
      <c r="O4" s="90"/>
      <c r="P4" s="95" t="s">
        <v>302</v>
      </c>
    </row>
    <row r="5" spans="1:17" ht="16.8">
      <c r="A5" s="297" t="s">
        <v>306</v>
      </c>
      <c r="B5" s="123">
        <v>1</v>
      </c>
      <c r="C5" s="420">
        <f>SUM(10+B5+'Personal File'!$C$12)</f>
        <v>14</v>
      </c>
      <c r="D5" s="94" t="s">
        <v>351</v>
      </c>
      <c r="E5" s="90"/>
      <c r="F5" s="383" t="s">
        <v>286</v>
      </c>
      <c r="G5" s="384">
        <v>1</v>
      </c>
      <c r="H5" s="405">
        <v>1</v>
      </c>
      <c r="I5" s="405">
        <v>0</v>
      </c>
      <c r="J5" s="408">
        <v>0</v>
      </c>
      <c r="K5" s="408">
        <v>0</v>
      </c>
      <c r="L5" s="408">
        <v>0</v>
      </c>
      <c r="M5" s="408">
        <v>0</v>
      </c>
      <c r="N5" s="410">
        <v>0</v>
      </c>
      <c r="O5" s="90"/>
      <c r="P5" s="95" t="s">
        <v>310</v>
      </c>
    </row>
    <row r="6" spans="1:17" ht="17.399999999999999" thickBot="1">
      <c r="A6" s="394" t="s">
        <v>309</v>
      </c>
      <c r="B6" s="395">
        <v>2</v>
      </c>
      <c r="C6" s="418">
        <f>SUM(10+B6+'Personal File'!$C$12)</f>
        <v>15</v>
      </c>
      <c r="D6" s="396" t="s">
        <v>351</v>
      </c>
      <c r="E6" s="90"/>
      <c r="F6" s="383" t="s">
        <v>288</v>
      </c>
      <c r="G6" s="384">
        <v>1</v>
      </c>
      <c r="H6" s="405">
        <v>1</v>
      </c>
      <c r="I6" s="405">
        <v>0</v>
      </c>
      <c r="J6" s="408">
        <v>0</v>
      </c>
      <c r="K6" s="408">
        <v>0</v>
      </c>
      <c r="L6" s="408">
        <v>0</v>
      </c>
      <c r="M6" s="408">
        <v>0</v>
      </c>
      <c r="N6" s="410">
        <v>0</v>
      </c>
      <c r="O6" s="90"/>
      <c r="P6" s="475" t="s">
        <v>314</v>
      </c>
    </row>
    <row r="7" spans="1:17" ht="18" thickTop="1" thickBot="1">
      <c r="A7" s="297" t="s">
        <v>309</v>
      </c>
      <c r="B7" s="123">
        <v>2</v>
      </c>
      <c r="C7" s="420">
        <f>SUM(10+B7+'Personal File'!$C$12)</f>
        <v>15</v>
      </c>
      <c r="D7" s="94" t="s">
        <v>81</v>
      </c>
      <c r="E7" s="90"/>
      <c r="F7" s="385" t="s">
        <v>283</v>
      </c>
      <c r="G7" s="393">
        <f t="shared" ref="G7:N7" si="0">SUM(G3:G6)</f>
        <v>3</v>
      </c>
      <c r="H7" s="406">
        <f t="shared" si="0"/>
        <v>2</v>
      </c>
      <c r="I7" s="406">
        <f t="shared" ref="I7" si="1">SUM(I3:I6)</f>
        <v>0</v>
      </c>
      <c r="J7" s="411">
        <f t="shared" si="0"/>
        <v>0</v>
      </c>
      <c r="K7" s="411">
        <f t="shared" si="0"/>
        <v>0</v>
      </c>
      <c r="L7" s="411">
        <f t="shared" si="0"/>
        <v>0</v>
      </c>
      <c r="M7" s="411">
        <f t="shared" si="0"/>
        <v>0</v>
      </c>
      <c r="N7" s="412">
        <f t="shared" si="0"/>
        <v>0</v>
      </c>
      <c r="O7" s="90"/>
    </row>
    <row r="8" spans="1:17" ht="24" thickTop="1" thickBot="1">
      <c r="A8" s="498"/>
      <c r="B8" s="499">
        <v>3</v>
      </c>
      <c r="C8" s="500">
        <f>SUM(10+B8+'Personal File'!$C$12)</f>
        <v>16</v>
      </c>
      <c r="D8" s="97" t="s">
        <v>81</v>
      </c>
      <c r="E8" s="90"/>
      <c r="F8" s="90"/>
      <c r="G8" s="90"/>
      <c r="H8" s="90"/>
      <c r="I8" s="90"/>
      <c r="J8" s="90"/>
      <c r="K8" s="90"/>
      <c r="L8" s="90"/>
      <c r="M8" s="90"/>
      <c r="N8" s="90"/>
      <c r="O8" s="90"/>
      <c r="P8" s="86" t="s">
        <v>293</v>
      </c>
    </row>
    <row r="9" spans="1:17" ht="24" thickTop="1" thickBot="1">
      <c r="E9" s="90"/>
      <c r="F9" s="479" t="s">
        <v>322</v>
      </c>
      <c r="G9" s="480"/>
      <c r="H9" s="481"/>
      <c r="J9" s="90"/>
      <c r="K9" s="90"/>
      <c r="L9" s="90"/>
      <c r="N9" s="90"/>
      <c r="O9" s="90"/>
      <c r="P9" s="96" t="s">
        <v>221</v>
      </c>
    </row>
    <row r="10" spans="1:17" ht="19.2" thickTop="1" thickBot="1">
      <c r="A10" s="12" t="s">
        <v>104</v>
      </c>
      <c r="B10" s="10"/>
      <c r="C10" s="10"/>
      <c r="D10" s="11"/>
      <c r="E10" s="90"/>
      <c r="F10" s="482"/>
      <c r="G10" s="483" t="s">
        <v>323</v>
      </c>
      <c r="H10" s="494">
        <f>'Personal File'!E3+'Personal File'!E4</f>
        <v>10</v>
      </c>
      <c r="J10" s="90"/>
      <c r="K10" s="90"/>
      <c r="L10" s="90"/>
      <c r="M10" s="90"/>
      <c r="N10" s="90"/>
      <c r="O10" s="90"/>
      <c r="P10" s="96" t="s">
        <v>338</v>
      </c>
    </row>
    <row r="11" spans="1:17" ht="16.8">
      <c r="A11" s="102" t="s">
        <v>195</v>
      </c>
      <c r="B11" s="103"/>
      <c r="C11" s="103"/>
      <c r="D11" s="104"/>
      <c r="E11" s="90"/>
      <c r="F11" s="482"/>
      <c r="G11" s="483" t="s">
        <v>324</v>
      </c>
      <c r="H11" s="488">
        <f>3+'Personal File'!$C$12</f>
        <v>6</v>
      </c>
      <c r="J11" s="90"/>
      <c r="K11" s="90"/>
      <c r="L11" s="90"/>
      <c r="M11" s="90"/>
      <c r="N11" s="90"/>
      <c r="O11" s="90"/>
      <c r="P11" s="96" t="s">
        <v>222</v>
      </c>
      <c r="Q11" s="93"/>
    </row>
    <row r="12" spans="1:17" ht="17.399999999999999" thickBot="1">
      <c r="A12" s="105" t="s">
        <v>196</v>
      </c>
      <c r="B12" s="106"/>
      <c r="C12" s="106"/>
      <c r="D12" s="107"/>
      <c r="E12" s="90"/>
      <c r="F12" s="484"/>
      <c r="G12" s="485" t="s">
        <v>325</v>
      </c>
      <c r="H12" s="495">
        <f ca="1">RANDBETWEEN(1,20)</f>
        <v>20</v>
      </c>
      <c r="J12" s="90"/>
      <c r="K12" s="90"/>
      <c r="L12" s="90"/>
      <c r="M12" s="90"/>
      <c r="N12" s="90"/>
      <c r="O12" s="90"/>
      <c r="P12" s="96" t="s">
        <v>223</v>
      </c>
    </row>
    <row r="13" spans="1:17" ht="18" thickTop="1" thickBot="1">
      <c r="E13" s="90"/>
      <c r="F13" s="486"/>
      <c r="G13" s="487" t="s">
        <v>326</v>
      </c>
      <c r="H13" s="488">
        <f ca="1">H12+'Personal File'!$C$12+2</f>
        <v>25</v>
      </c>
      <c r="J13" s="90"/>
      <c r="K13" s="90"/>
      <c r="L13" s="90"/>
      <c r="M13" s="90"/>
      <c r="N13" s="90"/>
      <c r="O13" s="90"/>
      <c r="P13" s="96" t="s">
        <v>305</v>
      </c>
    </row>
    <row r="14" spans="1:17" ht="24" thickTop="1" thickBot="1">
      <c r="A14" s="100" t="s">
        <v>82</v>
      </c>
      <c r="E14" s="90"/>
      <c r="F14" s="489"/>
      <c r="G14" s="490" t="s">
        <v>327</v>
      </c>
      <c r="H14" s="496">
        <f ca="1">RANDBETWEEN(1,6)+RANDBETWEEN(1,6)</f>
        <v>5</v>
      </c>
      <c r="J14" s="90"/>
      <c r="K14" s="90"/>
      <c r="L14" s="90"/>
      <c r="M14" s="90"/>
      <c r="N14" s="90"/>
      <c r="O14" s="90"/>
      <c r="P14" s="92" t="s">
        <v>200</v>
      </c>
    </row>
    <row r="15" spans="1:17" ht="17.399999999999999" thickBot="1">
      <c r="A15" s="101" t="s">
        <v>261</v>
      </c>
      <c r="E15" s="90"/>
      <c r="F15" s="491"/>
      <c r="G15" s="487" t="s">
        <v>328</v>
      </c>
      <c r="H15" s="488">
        <f ca="1">H10+H14+'Personal File'!C12</f>
        <v>18</v>
      </c>
      <c r="J15" s="90"/>
      <c r="K15" s="90"/>
      <c r="L15" s="90"/>
      <c r="M15" s="90"/>
      <c r="N15" s="90"/>
      <c r="O15" s="90"/>
      <c r="P15" s="298" t="s">
        <v>101</v>
      </c>
    </row>
    <row r="16" spans="1:17" ht="18" thickTop="1" thickBot="1">
      <c r="E16" s="90"/>
      <c r="F16" s="492"/>
      <c r="G16" s="493" t="s">
        <v>329</v>
      </c>
      <c r="H16" s="497">
        <v>0</v>
      </c>
      <c r="J16" s="90"/>
      <c r="K16" s="90"/>
      <c r="L16" s="90"/>
      <c r="M16" s="90"/>
      <c r="N16" s="90"/>
      <c r="O16" s="90"/>
      <c r="P16" s="300" t="s">
        <v>340</v>
      </c>
    </row>
    <row r="17" spans="5:16" ht="17.399999999999999" thickTop="1">
      <c r="E17" s="90"/>
      <c r="F17" s="90"/>
      <c r="G17" s="90"/>
      <c r="H17" s="90"/>
      <c r="I17" s="90"/>
      <c r="J17" s="90"/>
      <c r="K17" s="90"/>
      <c r="L17" s="90"/>
      <c r="M17" s="90"/>
      <c r="N17" s="90"/>
      <c r="O17" s="90"/>
      <c r="P17" s="299" t="s">
        <v>224</v>
      </c>
    </row>
    <row r="18" spans="5:16" ht="16.8">
      <c r="E18" s="90"/>
      <c r="F18" s="90"/>
      <c r="G18" s="90"/>
      <c r="H18" s="90"/>
      <c r="I18" s="90"/>
      <c r="J18" s="90"/>
      <c r="K18" s="90"/>
      <c r="L18" s="90"/>
      <c r="M18" s="90"/>
      <c r="N18" s="90"/>
      <c r="O18" s="90"/>
      <c r="P18" s="298" t="s">
        <v>181</v>
      </c>
    </row>
    <row r="19" spans="5:16" ht="17.399999999999999" thickBot="1">
      <c r="P19" s="423" t="s">
        <v>225</v>
      </c>
    </row>
    <row r="20" spans="5:16" ht="16.8" thickTop="1" thickBot="1">
      <c r="E20" s="90"/>
      <c r="F20" s="90"/>
      <c r="G20" s="90"/>
      <c r="H20" s="90"/>
      <c r="I20" s="90"/>
      <c r="J20" s="90"/>
      <c r="K20" s="90"/>
      <c r="L20" s="90"/>
      <c r="M20" s="90"/>
      <c r="N20" s="90"/>
      <c r="O20" s="90"/>
      <c r="P20" s="85"/>
    </row>
    <row r="21" spans="5:16" ht="24" thickTop="1" thickBot="1">
      <c r="P21" s="86" t="s">
        <v>294</v>
      </c>
    </row>
    <row r="22" spans="5:16" ht="16.8">
      <c r="P22" s="416" t="s">
        <v>295</v>
      </c>
    </row>
    <row r="23" spans="5:16" ht="16.8">
      <c r="P23" s="416" t="s">
        <v>296</v>
      </c>
    </row>
    <row r="24" spans="5:16" ht="16.8">
      <c r="P24" s="417" t="s">
        <v>311</v>
      </c>
    </row>
    <row r="25" spans="5:16" ht="16.8">
      <c r="P25" s="417" t="s">
        <v>297</v>
      </c>
    </row>
    <row r="26" spans="5:16" ht="17.399999999999999" thickBot="1">
      <c r="P26" s="476" t="s">
        <v>315</v>
      </c>
    </row>
    <row r="27" spans="5:16" ht="16.2" thickTop="1"/>
  </sheetData>
  <phoneticPr fontId="0" type="noConversion"/>
  <conditionalFormatting sqref="D3:D5 D8:D9">
    <cfRule type="cellIs" dxfId="24" priority="3" stopIfTrue="1" operator="equal">
      <formula>"þ"</formula>
    </cfRule>
  </conditionalFormatting>
  <conditionalFormatting sqref="D7">
    <cfRule type="cellIs" dxfId="23" priority="2" stopIfTrue="1" operator="equal">
      <formula>"þ"</formula>
    </cfRule>
  </conditionalFormatting>
  <conditionalFormatting sqref="D6">
    <cfRule type="cellIs" dxfId="2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GridLines="0" zoomScaleNormal="100" workbookViewId="0"/>
  </sheetViews>
  <sheetFormatPr defaultColWidth="13" defaultRowHeight="15.6"/>
  <cols>
    <col min="1" max="1" width="30.8984375" style="35" bestFit="1" customWidth="1"/>
    <col min="2" max="2" width="8.59765625" style="35" customWidth="1"/>
    <col min="3" max="3" width="7.09765625" style="35" customWidth="1"/>
    <col min="4" max="4" width="8.19921875" style="35" customWidth="1"/>
    <col min="5" max="5" width="8.3984375" style="35" customWidth="1"/>
    <col min="6" max="6" width="8.3984375" style="35" bestFit="1" customWidth="1"/>
    <col min="7" max="7" width="7.8984375" style="35" bestFit="1" customWidth="1"/>
    <col min="8" max="10" width="5.59765625" style="35" customWidth="1"/>
    <col min="11" max="11" width="26.59765625" style="35" customWidth="1"/>
    <col min="12" max="12" width="2" style="22" customWidth="1"/>
    <col min="13" max="13" width="5.69921875" style="22" bestFit="1" customWidth="1"/>
    <col min="14" max="16384" width="13" style="22"/>
  </cols>
  <sheetData>
    <row r="1" spans="1:13" ht="23.4" thickBot="1">
      <c r="A1" s="21"/>
      <c r="B1" s="21"/>
      <c r="C1" s="21"/>
      <c r="D1" s="21"/>
      <c r="E1" s="21"/>
      <c r="F1" s="21"/>
      <c r="G1" s="21"/>
      <c r="H1" s="21"/>
      <c r="I1" s="21"/>
      <c r="J1" s="21"/>
      <c r="K1" s="21"/>
    </row>
    <row r="2" spans="1:13" ht="16.8" thickTop="1" thickBot="1">
      <c r="A2" s="23" t="s">
        <v>6</v>
      </c>
      <c r="B2" s="24" t="s">
        <v>7</v>
      </c>
      <c r="C2" s="24" t="s">
        <v>27</v>
      </c>
      <c r="D2" s="24" t="s">
        <v>28</v>
      </c>
      <c r="E2" s="25" t="s">
        <v>71</v>
      </c>
      <c r="F2" s="24" t="s">
        <v>26</v>
      </c>
      <c r="G2" s="24" t="s">
        <v>29</v>
      </c>
      <c r="H2" s="26" t="s">
        <v>159</v>
      </c>
      <c r="I2" s="27" t="s">
        <v>189</v>
      </c>
      <c r="J2" s="26" t="s">
        <v>88</v>
      </c>
      <c r="K2" s="28" t="s">
        <v>5</v>
      </c>
      <c r="M2" s="309" t="s">
        <v>233</v>
      </c>
    </row>
    <row r="3" spans="1:13">
      <c r="A3" s="445" t="s">
        <v>303</v>
      </c>
      <c r="B3" s="446" t="s">
        <v>350</v>
      </c>
      <c r="C3" s="455" t="str">
        <f>CONCATENATE("+",'Personal File'!$C$7*2," + 1")</f>
        <v>+10 + 1</v>
      </c>
      <c r="D3" s="447" t="s">
        <v>234</v>
      </c>
      <c r="E3" s="477" t="s">
        <v>321</v>
      </c>
      <c r="F3" s="448" t="s">
        <v>264</v>
      </c>
      <c r="G3" s="472">
        <v>16</v>
      </c>
      <c r="H3" s="473" t="str">
        <f>CONCATENATE("+",'Personal File'!$B$6+'Personal File'!$C$7+D3+1)</f>
        <v>+19</v>
      </c>
      <c r="I3" s="449">
        <f t="shared" ref="I3:I10" ca="1" si="0">RANDBETWEEN(1,20)</f>
        <v>1</v>
      </c>
      <c r="J3" s="450">
        <f t="shared" ref="J3:J10" ca="1" si="1">I3+RIGHT(H3,2)</f>
        <v>20</v>
      </c>
      <c r="K3" s="451" t="s">
        <v>263</v>
      </c>
      <c r="M3" s="452">
        <v>2050</v>
      </c>
    </row>
    <row r="4" spans="1:13">
      <c r="A4" s="426" t="s">
        <v>319</v>
      </c>
      <c r="B4" s="427" t="s">
        <v>350</v>
      </c>
      <c r="C4" s="456" t="str">
        <f>CONCATENATE("+",'Personal File'!$C$7*2," + 1")</f>
        <v>+10 + 1</v>
      </c>
      <c r="D4" s="428" t="s">
        <v>234</v>
      </c>
      <c r="E4" s="478" t="s">
        <v>321</v>
      </c>
      <c r="F4" s="430" t="s">
        <v>264</v>
      </c>
      <c r="G4" s="460"/>
      <c r="H4" s="459" t="str">
        <f>CONCATENATE("+",'Personal File'!$B$6+'Personal File'!$C$7+D4+1-5)</f>
        <v>+14</v>
      </c>
      <c r="I4" s="432">
        <f t="shared" ca="1" si="0"/>
        <v>10</v>
      </c>
      <c r="J4" s="433">
        <f t="shared" ca="1" si="1"/>
        <v>24</v>
      </c>
      <c r="K4" s="434"/>
      <c r="M4" s="453"/>
    </row>
    <row r="5" spans="1:13">
      <c r="A5" s="461" t="s">
        <v>253</v>
      </c>
      <c r="B5" s="462" t="s">
        <v>199</v>
      </c>
      <c r="C5" s="457" t="str">
        <f>CONCATENATE("+",'Personal File'!$C$7*2," - 1")</f>
        <v>+10 - 1</v>
      </c>
      <c r="D5" s="464" t="s">
        <v>234</v>
      </c>
      <c r="E5" s="465" t="s">
        <v>205</v>
      </c>
      <c r="F5" s="466" t="s">
        <v>206</v>
      </c>
      <c r="G5" s="467">
        <v>10</v>
      </c>
      <c r="H5" s="468" t="str">
        <f>CONCATENATE("+",'Personal File'!$B$6+'Personal File'!$C$7+D5)</f>
        <v>+18</v>
      </c>
      <c r="I5" s="469">
        <f t="shared" ca="1" si="0"/>
        <v>8</v>
      </c>
      <c r="J5" s="470">
        <f t="shared" ca="1" si="1"/>
        <v>26</v>
      </c>
      <c r="K5" s="471" t="s">
        <v>266</v>
      </c>
      <c r="M5" s="474">
        <v>405</v>
      </c>
    </row>
    <row r="6" spans="1:13">
      <c r="A6" s="426" t="s">
        <v>319</v>
      </c>
      <c r="B6" s="427" t="s">
        <v>199</v>
      </c>
      <c r="C6" s="456" t="str">
        <f>CONCATENATE("+",'Personal File'!$C$7*2," - 1")</f>
        <v>+10 - 1</v>
      </c>
      <c r="D6" s="428" t="s">
        <v>234</v>
      </c>
      <c r="E6" s="429" t="s">
        <v>205</v>
      </c>
      <c r="F6" s="430" t="s">
        <v>206</v>
      </c>
      <c r="G6" s="458"/>
      <c r="H6" s="431" t="str">
        <f>CONCATENATE("+",'Personal File'!$B$6+'Personal File'!$C$7+D6-5)</f>
        <v>+13</v>
      </c>
      <c r="I6" s="432">
        <f t="shared" ca="1" si="0"/>
        <v>20</v>
      </c>
      <c r="J6" s="433">
        <f t="shared" ca="1" si="1"/>
        <v>33</v>
      </c>
      <c r="K6" s="434"/>
      <c r="M6" s="453"/>
    </row>
    <row r="7" spans="1:13">
      <c r="A7" s="435" t="s">
        <v>227</v>
      </c>
      <c r="B7" s="436" t="s">
        <v>258</v>
      </c>
      <c r="C7" s="463" t="str">
        <f>CONCATENATE("+",'Personal File'!$C$7*2)</f>
        <v>+10</v>
      </c>
      <c r="D7" s="437">
        <v>0</v>
      </c>
      <c r="E7" s="438" t="s">
        <v>259</v>
      </c>
      <c r="F7" s="439" t="s">
        <v>260</v>
      </c>
      <c r="G7" s="440" t="s">
        <v>237</v>
      </c>
      <c r="H7" s="441" t="str">
        <f>CONCATENATE("+",'Personal File'!$B$6+'Personal File'!$C$7+D7)</f>
        <v>+17</v>
      </c>
      <c r="I7" s="442">
        <f t="shared" ca="1" si="0"/>
        <v>1</v>
      </c>
      <c r="J7" s="443">
        <f t="shared" ca="1" si="1"/>
        <v>18</v>
      </c>
      <c r="K7" s="444"/>
      <c r="M7" s="322">
        <v>0</v>
      </c>
    </row>
    <row r="8" spans="1:13">
      <c r="A8" s="426" t="s">
        <v>319</v>
      </c>
      <c r="B8" s="427" t="s">
        <v>258</v>
      </c>
      <c r="C8" s="456" t="str">
        <f>CONCATENATE("+",'Personal File'!$C$7*2)</f>
        <v>+10</v>
      </c>
      <c r="D8" s="428" t="s">
        <v>65</v>
      </c>
      <c r="E8" s="429" t="s">
        <v>259</v>
      </c>
      <c r="F8" s="430" t="s">
        <v>260</v>
      </c>
      <c r="G8" s="458"/>
      <c r="H8" s="431" t="str">
        <f>CONCATENATE("+",'Personal File'!$B$6+'Personal File'!$C$7+D8-5)</f>
        <v>+12</v>
      </c>
      <c r="I8" s="432">
        <f t="shared" ca="1" si="0"/>
        <v>5</v>
      </c>
      <c r="J8" s="433">
        <f t="shared" ca="1" si="1"/>
        <v>17</v>
      </c>
      <c r="K8" s="434"/>
      <c r="M8" s="453"/>
    </row>
    <row r="9" spans="1:13">
      <c r="A9" s="461" t="s">
        <v>335</v>
      </c>
      <c r="B9" s="462" t="s">
        <v>255</v>
      </c>
      <c r="C9" s="463" t="str">
        <f>'Personal File'!$C$7</f>
        <v>+5</v>
      </c>
      <c r="D9" s="428" t="s">
        <v>65</v>
      </c>
      <c r="E9" s="429" t="s">
        <v>256</v>
      </c>
      <c r="F9" s="430" t="s">
        <v>206</v>
      </c>
      <c r="G9" s="440">
        <v>20</v>
      </c>
      <c r="H9" s="431" t="str">
        <f>CONCATENATE("+",'Personal File'!$B$6+'Personal File'!$C$7+D9)</f>
        <v>+17</v>
      </c>
      <c r="I9" s="432">
        <f t="shared" ca="1" si="0"/>
        <v>19</v>
      </c>
      <c r="J9" s="433">
        <f t="shared" ref="J9" ca="1" si="2">I9+RIGHT(H9,2)</f>
        <v>36</v>
      </c>
      <c r="K9" s="502" t="s">
        <v>336</v>
      </c>
      <c r="M9" s="501"/>
    </row>
    <row r="10" spans="1:13" ht="16.2" thickBot="1">
      <c r="A10" s="304" t="s">
        <v>312</v>
      </c>
      <c r="B10" s="29" t="s">
        <v>271</v>
      </c>
      <c r="C10" s="30" t="s">
        <v>271</v>
      </c>
      <c r="D10" s="29">
        <v>0</v>
      </c>
      <c r="E10" s="31" t="s">
        <v>271</v>
      </c>
      <c r="F10" s="29" t="s">
        <v>271</v>
      </c>
      <c r="G10" s="32">
        <v>0</v>
      </c>
      <c r="H10" s="33" t="str">
        <f>CONCATENATE("+",'Personal File'!$B$6+'Personal File'!$C$7+D10)</f>
        <v>+17</v>
      </c>
      <c r="I10" s="421">
        <f t="shared" ca="1" si="0"/>
        <v>13</v>
      </c>
      <c r="J10" s="422">
        <f t="shared" ca="1" si="1"/>
        <v>30</v>
      </c>
      <c r="K10" s="34"/>
      <c r="M10" s="454"/>
    </row>
    <row r="11" spans="1:13" ht="16.8" thickTop="1" thickBot="1"/>
    <row r="12" spans="1:13" ht="16.8" thickTop="1" thickBot="1">
      <c r="A12" s="512" t="s">
        <v>9</v>
      </c>
      <c r="B12" s="513" t="s">
        <v>10</v>
      </c>
      <c r="C12" s="513" t="s">
        <v>27</v>
      </c>
      <c r="D12" s="513" t="s">
        <v>28</v>
      </c>
      <c r="E12" s="514" t="s">
        <v>71</v>
      </c>
      <c r="F12" s="513" t="s">
        <v>11</v>
      </c>
      <c r="G12" s="513" t="s">
        <v>29</v>
      </c>
      <c r="H12" s="515" t="s">
        <v>159</v>
      </c>
      <c r="I12" s="516" t="s">
        <v>189</v>
      </c>
      <c r="J12" s="515" t="s">
        <v>88</v>
      </c>
      <c r="K12" s="517" t="s">
        <v>5</v>
      </c>
      <c r="M12" s="309" t="s">
        <v>233</v>
      </c>
    </row>
    <row r="13" spans="1:13" ht="16.2" thickTop="1">
      <c r="A13" s="518" t="s">
        <v>320</v>
      </c>
      <c r="B13" s="519" t="s">
        <v>255</v>
      </c>
      <c r="C13" s="520" t="s">
        <v>65</v>
      </c>
      <c r="D13" s="520" t="s">
        <v>65</v>
      </c>
      <c r="E13" s="519" t="s">
        <v>256</v>
      </c>
      <c r="F13" s="521" t="s">
        <v>257</v>
      </c>
      <c r="G13" s="522">
        <f>2*RIGHT(A13,1)</f>
        <v>6</v>
      </c>
      <c r="H13" s="523" t="str">
        <f>CONCATENATE("+",'Personal File'!$B$6+'Personal File'!$C$8+D13)</f>
        <v>+13</v>
      </c>
      <c r="I13" s="524">
        <f ca="1">RANDBETWEEN(1,20)</f>
        <v>6</v>
      </c>
      <c r="J13" s="525">
        <f t="shared" ref="J13:J16" ca="1" si="3">I13+RIGHT(H13,2)</f>
        <v>19</v>
      </c>
      <c r="K13" s="526"/>
      <c r="M13" s="316" t="str">
        <f>RIGHT(A13,1)</f>
        <v>3</v>
      </c>
    </row>
    <row r="14" spans="1:13">
      <c r="A14" s="435" t="s">
        <v>345</v>
      </c>
      <c r="B14" s="436" t="s">
        <v>258</v>
      </c>
      <c r="C14" s="533" t="s">
        <v>343</v>
      </c>
      <c r="D14" s="534">
        <v>2</v>
      </c>
      <c r="E14" s="438" t="s">
        <v>259</v>
      </c>
      <c r="F14" s="535" t="s">
        <v>346</v>
      </c>
      <c r="G14" s="536">
        <v>3</v>
      </c>
      <c r="H14" s="536" t="str">
        <f>CONCATENATE("+",'Personal File'!$B$6+'Personal File'!$C$8+D14)</f>
        <v>+15</v>
      </c>
      <c r="I14" s="442">
        <f t="shared" ref="I14" ca="1" si="4">RANDBETWEEN(1,20)</f>
        <v>11</v>
      </c>
      <c r="J14" s="537">
        <f t="shared" ref="J14" ca="1" si="5">(I14+H14)</f>
        <v>26</v>
      </c>
      <c r="K14" s="538"/>
      <c r="M14" s="474"/>
    </row>
    <row r="15" spans="1:13">
      <c r="A15" s="426" t="s">
        <v>342</v>
      </c>
      <c r="B15" s="427" t="s">
        <v>258</v>
      </c>
      <c r="C15" s="539" t="s">
        <v>343</v>
      </c>
      <c r="D15" s="539">
        <v>2</v>
      </c>
      <c r="E15" s="541"/>
      <c r="F15" s="460"/>
      <c r="G15" s="458"/>
      <c r="H15" s="431" t="str">
        <f>CONCATENATE("+",'Personal File'!$B$6+'Personal File'!$C$8+D15-5)</f>
        <v>+10</v>
      </c>
      <c r="I15" s="432">
        <v>12</v>
      </c>
      <c r="J15" s="433">
        <v>19</v>
      </c>
      <c r="K15" s="540"/>
      <c r="M15" s="474"/>
    </row>
    <row r="16" spans="1:13" ht="16.2" thickBot="1">
      <c r="A16" s="527" t="s">
        <v>334</v>
      </c>
      <c r="B16" s="31" t="s">
        <v>255</v>
      </c>
      <c r="C16" s="528" t="s">
        <v>255</v>
      </c>
      <c r="D16" s="529" t="s">
        <v>234</v>
      </c>
      <c r="E16" s="530" t="s">
        <v>256</v>
      </c>
      <c r="F16" s="531" t="s">
        <v>257</v>
      </c>
      <c r="G16" s="532">
        <v>2</v>
      </c>
      <c r="H16" s="532" t="str">
        <f>CONCATENATE("+",'Personal File'!$B$6+'Personal File'!$C$8+D16)</f>
        <v>+14</v>
      </c>
      <c r="I16" s="421">
        <f ca="1">RANDBETWEEN(1,20)</f>
        <v>16</v>
      </c>
      <c r="J16" s="422">
        <f t="shared" ca="1" si="3"/>
        <v>30</v>
      </c>
      <c r="K16" s="542" t="s">
        <v>344</v>
      </c>
      <c r="M16" s="329" t="s">
        <v>333</v>
      </c>
    </row>
    <row r="17" spans="1:13" ht="16.8" thickTop="1" thickBot="1">
      <c r="D17" s="39"/>
      <c r="E17" s="39"/>
      <c r="G17" s="40"/>
      <c r="H17" s="40"/>
      <c r="I17" s="40"/>
      <c r="J17" s="40"/>
    </row>
    <row r="18" spans="1:13" ht="16.8" thickTop="1" thickBot="1">
      <c r="A18" s="23" t="s">
        <v>75</v>
      </c>
      <c r="B18" s="24" t="s">
        <v>20</v>
      </c>
      <c r="C18" s="24" t="s">
        <v>36</v>
      </c>
      <c r="D18" s="24" t="s">
        <v>88</v>
      </c>
      <c r="E18" s="24" t="s">
        <v>89</v>
      </c>
      <c r="F18" s="24" t="s">
        <v>90</v>
      </c>
      <c r="G18" s="24" t="s">
        <v>29</v>
      </c>
      <c r="H18" s="41" t="s">
        <v>5</v>
      </c>
      <c r="I18" s="42"/>
      <c r="J18" s="42"/>
      <c r="K18" s="43"/>
      <c r="M18" s="309" t="s">
        <v>233</v>
      </c>
    </row>
    <row r="19" spans="1:13">
      <c r="A19" s="302" t="s">
        <v>341</v>
      </c>
      <c r="B19" s="44">
        <v>9</v>
      </c>
      <c r="C19" s="510">
        <v>8</v>
      </c>
      <c r="D19" s="44">
        <v>-5</v>
      </c>
      <c r="E19" s="511">
        <v>0.35</v>
      </c>
      <c r="F19" s="44" t="s">
        <v>269</v>
      </c>
      <c r="G19" s="36">
        <v>50</v>
      </c>
      <c r="H19" s="45"/>
      <c r="I19" s="46"/>
      <c r="J19" s="46"/>
      <c r="K19" s="47"/>
      <c r="M19" s="316">
        <v>2500</v>
      </c>
    </row>
    <row r="20" spans="1:13" ht="16.2" thickBot="1">
      <c r="A20" s="303" t="s">
        <v>270</v>
      </c>
      <c r="B20" s="37">
        <v>3</v>
      </c>
      <c r="C20" s="37">
        <v>0</v>
      </c>
      <c r="D20" s="37">
        <v>0</v>
      </c>
      <c r="E20" s="48">
        <v>0.15</v>
      </c>
      <c r="F20" s="380" t="s">
        <v>271</v>
      </c>
      <c r="G20" s="38">
        <v>5</v>
      </c>
      <c r="H20" s="49"/>
      <c r="I20" s="50"/>
      <c r="J20" s="50"/>
      <c r="K20" s="51"/>
      <c r="M20" s="329">
        <v>9257</v>
      </c>
    </row>
    <row r="21" spans="1:13" ht="16.8" thickTop="1" thickBot="1"/>
    <row r="22" spans="1:13" ht="16.8" thickTop="1" thickBot="1">
      <c r="A22" s="52" t="s">
        <v>12</v>
      </c>
      <c r="B22" s="40">
        <f>SUM(G3:G24)</f>
        <v>112</v>
      </c>
      <c r="D22" s="53" t="s">
        <v>76</v>
      </c>
      <c r="E22" s="54"/>
      <c r="F22" s="41" t="s">
        <v>8</v>
      </c>
      <c r="G22" s="24" t="s">
        <v>29</v>
      </c>
      <c r="H22" s="26" t="s">
        <v>159</v>
      </c>
      <c r="I22" s="26"/>
      <c r="J22" s="42"/>
      <c r="K22" s="55" t="s">
        <v>5</v>
      </c>
      <c r="M22" s="309" t="s">
        <v>233</v>
      </c>
    </row>
    <row r="23" spans="1:13">
      <c r="A23" s="52"/>
      <c r="B23" s="40"/>
      <c r="D23" s="56"/>
      <c r="E23" s="57"/>
      <c r="F23" s="58"/>
      <c r="G23" s="59"/>
      <c r="H23" s="60"/>
      <c r="I23" s="60"/>
      <c r="J23" s="46"/>
      <c r="K23" s="61"/>
      <c r="M23" s="316"/>
    </row>
    <row r="24" spans="1:13" ht="16.2" thickBot="1">
      <c r="D24" s="62"/>
      <c r="E24" s="63"/>
      <c r="F24" s="64"/>
      <c r="G24" s="65"/>
      <c r="H24" s="66"/>
      <c r="I24" s="66"/>
      <c r="J24" s="67"/>
      <c r="K24" s="68"/>
      <c r="M24" s="329"/>
    </row>
    <row r="25" spans="1:13" ht="16.8" thickTop="1" thickBot="1"/>
    <row r="26" spans="1:13" ht="16.8" thickTop="1" thickBot="1">
      <c r="D26" s="53" t="s">
        <v>231</v>
      </c>
      <c r="E26" s="42"/>
      <c r="F26" s="42"/>
      <c r="G26" s="42"/>
      <c r="H26" s="307" t="s">
        <v>8</v>
      </c>
      <c r="I26" s="307" t="s">
        <v>4</v>
      </c>
      <c r="J26" s="307" t="s">
        <v>232</v>
      </c>
      <c r="K26" s="43" t="s">
        <v>86</v>
      </c>
      <c r="L26" s="308"/>
      <c r="M26" s="309" t="s">
        <v>233</v>
      </c>
    </row>
    <row r="27" spans="1:13">
      <c r="D27" s="310" t="s">
        <v>339</v>
      </c>
      <c r="E27" s="311"/>
      <c r="F27" s="311"/>
      <c r="G27" s="312"/>
      <c r="H27" s="313">
        <v>0</v>
      </c>
      <c r="I27" s="314">
        <v>2</v>
      </c>
      <c r="J27" s="314">
        <v>4</v>
      </c>
      <c r="K27" s="315"/>
      <c r="L27" s="308"/>
      <c r="M27" s="316"/>
    </row>
    <row r="28" spans="1:13">
      <c r="D28" s="317"/>
      <c r="E28" s="318"/>
      <c r="F28" s="318"/>
      <c r="G28" s="319"/>
      <c r="H28" s="320"/>
      <c r="I28" s="20"/>
      <c r="J28" s="20"/>
      <c r="K28" s="321"/>
      <c r="L28" s="308"/>
      <c r="M28" s="322"/>
    </row>
    <row r="29" spans="1:13" ht="16.2" thickBot="1">
      <c r="D29" s="323"/>
      <c r="E29" s="324"/>
      <c r="F29" s="324"/>
      <c r="G29" s="325"/>
      <c r="H29" s="326"/>
      <c r="I29" s="327"/>
      <c r="J29" s="327"/>
      <c r="K29" s="328"/>
      <c r="L29" s="308"/>
      <c r="M29" s="329"/>
    </row>
    <row r="30" spans="1:13" ht="16.2" thickTop="1"/>
  </sheetData>
  <phoneticPr fontId="0" type="noConversion"/>
  <conditionalFormatting sqref="I13 I15">
    <cfRule type="cellIs" dxfId="21" priority="19" operator="equal">
      <formula>20</formula>
    </cfRule>
    <cfRule type="cellIs" dxfId="20" priority="20" operator="equal">
      <formula>1</formula>
    </cfRule>
  </conditionalFormatting>
  <conditionalFormatting sqref="I16">
    <cfRule type="cellIs" dxfId="19" priority="17" operator="equal">
      <formula>20</formula>
    </cfRule>
    <cfRule type="cellIs" dxfId="18" priority="18" operator="equal">
      <formula>1</formula>
    </cfRule>
  </conditionalFormatting>
  <conditionalFormatting sqref="I7:I8">
    <cfRule type="cellIs" dxfId="17" priority="15" operator="equal">
      <formula>20</formula>
    </cfRule>
    <cfRule type="cellIs" dxfId="16" priority="16" operator="equal">
      <formula>1</formula>
    </cfRule>
  </conditionalFormatting>
  <conditionalFormatting sqref="I10">
    <cfRule type="cellIs" dxfId="15" priority="13" operator="equal">
      <formula>20</formula>
    </cfRule>
    <cfRule type="cellIs" dxfId="14" priority="14" operator="equal">
      <formula>1</formula>
    </cfRule>
  </conditionalFormatting>
  <conditionalFormatting sqref="I7:I8">
    <cfRule type="cellIs" dxfId="13" priority="11" operator="equal">
      <formula>20</formula>
    </cfRule>
    <cfRule type="cellIs" dxfId="12" priority="12" operator="equal">
      <formula>1</formula>
    </cfRule>
  </conditionalFormatting>
  <conditionalFormatting sqref="I5:I6">
    <cfRule type="cellIs" dxfId="11" priority="9" operator="equal">
      <formula>20</formula>
    </cfRule>
    <cfRule type="cellIs" dxfId="10" priority="10" operator="equal">
      <formula>1</formula>
    </cfRule>
  </conditionalFormatting>
  <conditionalFormatting sqref="I3:I4">
    <cfRule type="cellIs" dxfId="9" priority="7" operator="equal">
      <formula>20</formula>
    </cfRule>
    <cfRule type="cellIs" dxfId="8" priority="8" operator="equal">
      <formula>1</formula>
    </cfRule>
  </conditionalFormatting>
  <conditionalFormatting sqref="I9">
    <cfRule type="cellIs" dxfId="7" priority="5" operator="equal">
      <formula>20</formula>
    </cfRule>
    <cfRule type="cellIs" dxfId="6" priority="6" operator="equal">
      <formula>1</formula>
    </cfRule>
  </conditionalFormatting>
  <conditionalFormatting sqref="I9">
    <cfRule type="cellIs" dxfId="5" priority="3" operator="equal">
      <formula>20</formula>
    </cfRule>
    <cfRule type="cellIs" dxfId="4" priority="4" operator="equal">
      <formula>1</formula>
    </cfRule>
  </conditionalFormatting>
  <conditionalFormatting sqref="I14">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workbookViewId="0"/>
  </sheetViews>
  <sheetFormatPr defaultColWidth="13" defaultRowHeight="15.6"/>
  <cols>
    <col min="1" max="1" width="27" style="35" bestFit="1" customWidth="1"/>
    <col min="2" max="2" width="4.69921875" style="35" bestFit="1" customWidth="1"/>
    <col min="3" max="3" width="5.59765625" style="40" bestFit="1" customWidth="1"/>
    <col min="4" max="5" width="26.59765625" style="22" customWidth="1"/>
    <col min="6" max="6" width="2.69921875" style="22" customWidth="1"/>
    <col min="7" max="7" width="8.3984375" style="22" bestFit="1" customWidth="1"/>
    <col min="8" max="16384" width="13" style="22"/>
  </cols>
  <sheetData>
    <row r="1" spans="1:7" ht="23.4" thickBot="1">
      <c r="A1" s="21" t="s">
        <v>83</v>
      </c>
      <c r="B1" s="21"/>
      <c r="C1" s="69"/>
      <c r="D1" s="21"/>
      <c r="E1" s="21"/>
    </row>
    <row r="2" spans="1:7" s="35" customFormat="1" ht="16.8" thickTop="1" thickBot="1">
      <c r="A2" s="70" t="s">
        <v>84</v>
      </c>
      <c r="B2" s="70" t="s">
        <v>8</v>
      </c>
      <c r="C2" s="71" t="s">
        <v>29</v>
      </c>
      <c r="D2" s="72" t="s">
        <v>85</v>
      </c>
      <c r="E2" s="73" t="s">
        <v>86</v>
      </c>
      <c r="G2" s="330" t="s">
        <v>233</v>
      </c>
    </row>
    <row r="3" spans="1:7">
      <c r="A3" s="261" t="s">
        <v>226</v>
      </c>
      <c r="B3" s="546">
        <v>1</v>
      </c>
      <c r="C3" s="75">
        <v>0</v>
      </c>
      <c r="D3" s="76"/>
      <c r="E3" s="77"/>
      <c r="G3" s="331">
        <v>25</v>
      </c>
    </row>
    <row r="4" spans="1:7">
      <c r="A4" s="78" t="s">
        <v>188</v>
      </c>
      <c r="B4" s="544">
        <v>1</v>
      </c>
      <c r="C4" s="79" t="s">
        <v>198</v>
      </c>
      <c r="D4" s="76"/>
      <c r="E4" s="77"/>
      <c r="G4" s="331" t="s">
        <v>267</v>
      </c>
    </row>
    <row r="5" spans="1:7">
      <c r="A5" s="74" t="s">
        <v>186</v>
      </c>
      <c r="B5" s="543">
        <v>1</v>
      </c>
      <c r="C5" s="75">
        <v>0.5</v>
      </c>
      <c r="D5" s="80"/>
      <c r="E5" s="81"/>
      <c r="G5" s="378">
        <v>0.5</v>
      </c>
    </row>
    <row r="6" spans="1:7">
      <c r="A6" s="74" t="s">
        <v>230</v>
      </c>
      <c r="B6" s="543">
        <v>1</v>
      </c>
      <c r="C6" s="305">
        <v>0</v>
      </c>
      <c r="D6" s="379" t="s">
        <v>268</v>
      </c>
      <c r="E6" s="81"/>
      <c r="G6" s="331">
        <v>500</v>
      </c>
    </row>
    <row r="7" spans="1:7">
      <c r="A7" s="74" t="s">
        <v>348</v>
      </c>
      <c r="B7" s="543">
        <v>4</v>
      </c>
      <c r="C7" s="305">
        <v>0</v>
      </c>
      <c r="D7" s="80"/>
      <c r="E7" s="81"/>
      <c r="G7" s="331">
        <f>1000*B7</f>
        <v>4000</v>
      </c>
    </row>
    <row r="8" spans="1:7">
      <c r="A8" s="74" t="s">
        <v>332</v>
      </c>
      <c r="B8" s="543">
        <v>1</v>
      </c>
      <c r="C8" s="305">
        <v>1</v>
      </c>
      <c r="D8" s="80"/>
      <c r="E8" s="81"/>
      <c r="G8" s="331">
        <f>1000*RIGHT(A8,1)</f>
        <v>2000</v>
      </c>
    </row>
    <row r="9" spans="1:7">
      <c r="A9" s="74" t="s">
        <v>228</v>
      </c>
      <c r="B9" s="543">
        <v>1</v>
      </c>
      <c r="C9" s="305">
        <v>2</v>
      </c>
      <c r="D9" s="80"/>
      <c r="E9" s="81"/>
      <c r="G9" s="331">
        <v>4000</v>
      </c>
    </row>
    <row r="10" spans="1:7">
      <c r="A10" s="74" t="s">
        <v>347</v>
      </c>
      <c r="B10" s="543">
        <v>1</v>
      </c>
      <c r="C10" s="305">
        <v>0</v>
      </c>
      <c r="D10" s="80"/>
      <c r="E10" s="81"/>
      <c r="G10" s="331">
        <v>10000</v>
      </c>
    </row>
    <row r="11" spans="1:7" ht="16.2" thickBot="1">
      <c r="A11" s="374" t="s">
        <v>229</v>
      </c>
      <c r="B11" s="545">
        <v>1</v>
      </c>
      <c r="C11" s="252">
        <v>0</v>
      </c>
      <c r="D11" s="253"/>
      <c r="E11" s="254"/>
      <c r="G11" s="332">
        <v>4000</v>
      </c>
    </row>
    <row r="12" spans="1:7" ht="24" thickTop="1" thickBot="1">
      <c r="A12" s="21" t="s">
        <v>87</v>
      </c>
      <c r="B12" s="21"/>
      <c r="C12" s="255"/>
      <c r="D12" s="21"/>
      <c r="E12" s="256"/>
    </row>
    <row r="13" spans="1:7" ht="16.8" thickTop="1" thickBot="1">
      <c r="A13" s="70" t="s">
        <v>84</v>
      </c>
      <c r="B13" s="70" t="s">
        <v>8</v>
      </c>
      <c r="C13" s="71" t="s">
        <v>29</v>
      </c>
      <c r="D13" s="72" t="s">
        <v>85</v>
      </c>
      <c r="E13" s="73" t="s">
        <v>86</v>
      </c>
      <c r="G13" s="330" t="s">
        <v>233</v>
      </c>
    </row>
    <row r="14" spans="1:7">
      <c r="A14" s="78" t="s">
        <v>187</v>
      </c>
      <c r="B14" s="544"/>
      <c r="C14" s="75">
        <v>0</v>
      </c>
      <c r="D14" s="257"/>
      <c r="E14" s="77"/>
      <c r="G14" s="331">
        <v>0</v>
      </c>
    </row>
    <row r="15" spans="1:7" ht="16.2" thickBot="1">
      <c r="A15" s="374" t="s">
        <v>254</v>
      </c>
      <c r="B15" s="545"/>
      <c r="C15" s="252">
        <v>0</v>
      </c>
      <c r="D15" s="375" t="s">
        <v>272</v>
      </c>
      <c r="E15" s="254"/>
      <c r="G15" s="332">
        <v>50</v>
      </c>
    </row>
    <row r="16" spans="1:7" ht="24" thickTop="1" thickBot="1">
      <c r="A16" s="210"/>
      <c r="B16" s="210"/>
      <c r="D16" s="260" t="s">
        <v>235</v>
      </c>
      <c r="E16" s="256"/>
    </row>
    <row r="17" spans="1:7" ht="16.8" thickTop="1" thickBot="1">
      <c r="A17" s="70" t="s">
        <v>84</v>
      </c>
      <c r="B17" s="70" t="s">
        <v>8</v>
      </c>
      <c r="C17" s="71" t="s">
        <v>29</v>
      </c>
      <c r="D17" s="72" t="s">
        <v>85</v>
      </c>
      <c r="E17" s="73" t="s">
        <v>86</v>
      </c>
      <c r="G17" s="330" t="s">
        <v>233</v>
      </c>
    </row>
    <row r="18" spans="1:7">
      <c r="A18" s="261" t="s">
        <v>184</v>
      </c>
      <c r="B18" s="546"/>
      <c r="C18" s="262">
        <v>8</v>
      </c>
      <c r="D18" s="257"/>
      <c r="E18" s="77"/>
      <c r="G18" s="331">
        <v>0</v>
      </c>
    </row>
    <row r="19" spans="1:7">
      <c r="A19" s="78" t="s">
        <v>185</v>
      </c>
      <c r="B19" s="544"/>
      <c r="C19" s="75">
        <v>30</v>
      </c>
      <c r="D19" s="257"/>
      <c r="E19" s="77"/>
      <c r="G19" s="331">
        <v>0</v>
      </c>
    </row>
    <row r="20" spans="1:7">
      <c r="A20" s="74" t="s">
        <v>236</v>
      </c>
      <c r="B20" s="543"/>
      <c r="C20" s="75">
        <v>10</v>
      </c>
      <c r="D20" s="263"/>
      <c r="E20" s="77"/>
      <c r="G20" s="376"/>
    </row>
    <row r="21" spans="1:7" ht="16.2" thickBot="1">
      <c r="A21" s="258"/>
      <c r="B21" s="547"/>
      <c r="C21" s="252"/>
      <c r="D21" s="259"/>
      <c r="E21" s="254"/>
      <c r="G21" s="332"/>
    </row>
    <row r="22" spans="1:7" ht="23.4" thickTop="1">
      <c r="A22" s="210" t="s">
        <v>204</v>
      </c>
      <c r="B22" s="40">
        <f>SUM(C18:C21)</f>
        <v>48</v>
      </c>
      <c r="C22" s="22"/>
      <c r="D22" s="264"/>
      <c r="E22" s="256"/>
    </row>
    <row r="23" spans="1:7">
      <c r="E23" s="210" t="s">
        <v>265</v>
      </c>
      <c r="G23" s="377">
        <f>SUM(Martial!M3:M29,Equipment!G3:G21)</f>
        <v>38787.5</v>
      </c>
    </row>
    <row r="24" spans="1:7">
      <c r="A24" s="22"/>
      <c r="B24" s="22"/>
      <c r="E24" s="210" t="s">
        <v>273</v>
      </c>
      <c r="G24" s="377">
        <v>49000</v>
      </c>
    </row>
    <row r="25" spans="1:7">
      <c r="E25" s="210" t="s">
        <v>274</v>
      </c>
      <c r="G25" s="377">
        <f>G24-G23</f>
        <v>10212.5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8.5" style="210" bestFit="1" customWidth="1"/>
    <col min="2" max="2" width="10.5" style="372" customWidth="1"/>
    <col min="3" max="3" width="5.8984375" style="372" customWidth="1"/>
    <col min="4" max="4" width="13.69921875" style="210" bestFit="1" customWidth="1"/>
    <col min="5" max="5" width="9.59765625" style="372" bestFit="1" customWidth="1"/>
    <col min="6" max="6" width="15.19921875" style="210" bestFit="1" customWidth="1"/>
    <col min="7" max="7" width="6.8984375" style="372" bestFit="1" customWidth="1"/>
    <col min="8" max="16384" width="13" style="308"/>
  </cols>
  <sheetData>
    <row r="1" spans="1:7" ht="29.4" thickTop="1" thickBot="1">
      <c r="A1" s="333" t="s">
        <v>304</v>
      </c>
      <c r="B1" s="334"/>
      <c r="C1" s="334"/>
      <c r="D1" s="335"/>
      <c r="E1" s="336"/>
      <c r="F1" s="337"/>
      <c r="G1" s="338" t="s">
        <v>250</v>
      </c>
    </row>
    <row r="2" spans="1:7" ht="17.399999999999999" thickTop="1">
      <c r="A2" s="222" t="s">
        <v>0</v>
      </c>
      <c r="B2" s="373" t="s">
        <v>252</v>
      </c>
      <c r="C2" s="339"/>
      <c r="D2" s="224" t="s">
        <v>1</v>
      </c>
      <c r="E2" s="225" t="s">
        <v>240</v>
      </c>
      <c r="F2" s="224" t="s">
        <v>241</v>
      </c>
      <c r="G2" s="340" t="s">
        <v>251</v>
      </c>
    </row>
    <row r="3" spans="1:7" ht="17.399999999999999" thickBot="1">
      <c r="A3" s="341" t="s">
        <v>242</v>
      </c>
      <c r="B3" s="342" t="s">
        <v>243</v>
      </c>
      <c r="C3" s="343"/>
      <c r="D3" s="344"/>
      <c r="E3" s="345"/>
      <c r="F3" s="344" t="s">
        <v>244</v>
      </c>
      <c r="G3" s="346" t="s">
        <v>135</v>
      </c>
    </row>
    <row r="4" spans="1:7" ht="17.399999999999999" thickTop="1">
      <c r="A4" s="231" t="s">
        <v>2</v>
      </c>
      <c r="B4" s="347">
        <v>19</v>
      </c>
      <c r="C4" s="348" t="str">
        <f t="shared" ref="C4:C9" si="0">IF(B4&gt;9.9,CONCATENATE("+",ROUNDDOWN((B4-10)/2,0)),ROUNDUP((B4-10)/2,0))</f>
        <v>+4</v>
      </c>
      <c r="D4" s="349" t="s">
        <v>17</v>
      </c>
      <c r="E4" s="350">
        <v>45</v>
      </c>
      <c r="F4" s="351">
        <v>45</v>
      </c>
      <c r="G4" s="352"/>
    </row>
    <row r="5" spans="1:7" ht="17.399999999999999" thickBot="1">
      <c r="A5" s="234" t="s">
        <v>3</v>
      </c>
      <c r="B5" s="353">
        <v>13</v>
      </c>
      <c r="C5" s="354" t="str">
        <f t="shared" si="0"/>
        <v>+1</v>
      </c>
      <c r="D5" s="355" t="s">
        <v>245</v>
      </c>
      <c r="E5" s="356">
        <v>10</v>
      </c>
      <c r="F5" s="357">
        <v>22</v>
      </c>
      <c r="G5" s="358"/>
    </row>
    <row r="6" spans="1:7" ht="17.399999999999999" thickTop="1">
      <c r="A6" s="238" t="s">
        <v>15</v>
      </c>
      <c r="B6" s="353">
        <v>17</v>
      </c>
      <c r="C6" s="354" t="str">
        <f t="shared" si="0"/>
        <v>+3</v>
      </c>
      <c r="D6" s="359" t="s">
        <v>246</v>
      </c>
      <c r="E6" s="360">
        <v>5</v>
      </c>
      <c r="F6" s="361"/>
      <c r="G6" s="358"/>
    </row>
    <row r="7" spans="1:7" ht="16.8">
      <c r="A7" s="362" t="s">
        <v>16</v>
      </c>
      <c r="B7" s="353">
        <v>6</v>
      </c>
      <c r="C7" s="354">
        <f t="shared" si="0"/>
        <v>-2</v>
      </c>
      <c r="D7" s="359" t="s">
        <v>247</v>
      </c>
      <c r="E7" s="363">
        <v>10</v>
      </c>
      <c r="F7" s="364"/>
      <c r="G7" s="358"/>
    </row>
    <row r="8" spans="1:7" ht="16.8">
      <c r="A8" s="243" t="s">
        <v>18</v>
      </c>
      <c r="B8" s="353">
        <v>11</v>
      </c>
      <c r="C8" s="365" t="str">
        <f t="shared" si="0"/>
        <v>+0</v>
      </c>
      <c r="D8" s="366" t="s">
        <v>248</v>
      </c>
      <c r="E8" s="363">
        <v>5</v>
      </c>
      <c r="F8" s="364"/>
      <c r="G8" s="358"/>
    </row>
    <row r="9" spans="1:7" ht="17.399999999999999" thickBot="1">
      <c r="A9" s="245" t="s">
        <v>14</v>
      </c>
      <c r="B9" s="367">
        <v>4</v>
      </c>
      <c r="C9" s="368">
        <f t="shared" si="0"/>
        <v>-3</v>
      </c>
      <c r="D9" s="369" t="s">
        <v>249</v>
      </c>
      <c r="E9" s="370">
        <v>4</v>
      </c>
      <c r="F9" s="364"/>
      <c r="G9" s="358"/>
    </row>
    <row r="10" spans="1:7" ht="17.399999999999999" thickTop="1">
      <c r="A10" s="222"/>
      <c r="B10" s="230"/>
      <c r="C10" s="230"/>
      <c r="D10" s="230"/>
      <c r="E10" s="227"/>
      <c r="F10" s="371"/>
      <c r="G10" s="358"/>
    </row>
    <row r="11" spans="1:7" ht="16.8">
      <c r="A11" s="248"/>
      <c r="B11" s="230"/>
      <c r="C11" s="230"/>
      <c r="D11" s="230"/>
      <c r="E11" s="227"/>
      <c r="F11" s="230"/>
      <c r="G11" s="227"/>
    </row>
    <row r="12" spans="1:7" ht="17.399999999999999" thickBot="1">
      <c r="A12" s="249"/>
      <c r="B12" s="250"/>
      <c r="C12" s="250"/>
      <c r="D12" s="250"/>
      <c r="E12" s="251"/>
      <c r="F12" s="250"/>
      <c r="G12" s="251"/>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Personal File</vt:lpstr>
      <vt:lpstr>Skills</vt:lpstr>
      <vt:lpstr>Spells</vt:lpstr>
      <vt:lpstr>Feats</vt:lpstr>
      <vt:lpstr>Martial</vt:lpstr>
      <vt:lpstr>Equipment</vt:lpstr>
      <vt:lpstr>Mount</vt:lpstr>
      <vt:lpstr>Feats!OLE_LINK1</vt:lpstr>
      <vt:lpstr>Mount!Print_Area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2007-10-12T15:52:45Z</cp:lastPrinted>
  <dcterms:created xsi:type="dcterms:W3CDTF">2000-10-24T15:39:59Z</dcterms:created>
  <dcterms:modified xsi:type="dcterms:W3CDTF">2016-10-07T12:27:10Z</dcterms:modified>
</cp:coreProperties>
</file>