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3">Spells!#REF!</definedName>
  </definedNames>
  <calcPr calcId="145621"/>
</workbook>
</file>

<file path=xl/calcChain.xml><?xml version="1.0" encoding="utf-8"?>
<calcChain xmlns="http://schemas.openxmlformats.org/spreadsheetml/2006/main">
  <c r="B8" i="4" l="1"/>
  <c r="B12" i="4" l="1"/>
  <c r="E13" i="4" l="1"/>
  <c r="B11" i="4" l="1"/>
  <c r="H8" i="6" l="1"/>
  <c r="I8" i="6"/>
  <c r="J8" i="6" s="1"/>
  <c r="I7" i="6"/>
  <c r="H9" i="6"/>
  <c r="I9" i="6"/>
  <c r="J9" i="6" s="1"/>
  <c r="B10" i="4" l="1"/>
  <c r="T14" i="22" l="1"/>
  <c r="T7" i="22"/>
  <c r="T15" i="22"/>
  <c r="T16" i="22"/>
  <c r="T17" i="22"/>
  <c r="T21" i="22"/>
  <c r="T18" i="22"/>
  <c r="T19" i="22"/>
  <c r="T20" i="22"/>
  <c r="T24" i="22"/>
  <c r="T23" i="22"/>
  <c r="T22" i="22"/>
  <c r="T25" i="22"/>
  <c r="T27" i="22"/>
  <c r="T28" i="22"/>
  <c r="T26" i="22"/>
  <c r="E59" i="15"/>
  <c r="J15" i="22" l="1"/>
  <c r="L15" i="22"/>
  <c r="I3" i="22" l="1"/>
  <c r="J5" i="22"/>
  <c r="T13" i="22" l="1"/>
  <c r="T12" i="22"/>
  <c r="T11" i="22"/>
  <c r="T10" i="22"/>
  <c r="T9" i="22"/>
  <c r="T8" i="22"/>
  <c r="T5" i="22"/>
  <c r="T4" i="22"/>
  <c r="I9" i="22" l="1"/>
  <c r="L12" i="22" l="1"/>
  <c r="D5" i="22" l="1"/>
  <c r="D4" i="22"/>
  <c r="D3" i="22"/>
  <c r="I3" i="6" l="1"/>
  <c r="I4" i="6"/>
  <c r="K12" i="22" l="1"/>
  <c r="B59" i="15" l="1"/>
  <c r="H38" i="15"/>
  <c r="A5" i="22" l="1"/>
  <c r="I5" i="22" l="1"/>
  <c r="A4" i="22" s="1"/>
  <c r="H5" i="22"/>
  <c r="A3" i="22" s="1"/>
  <c r="H16" i="22" l="1"/>
  <c r="L16" i="22" s="1"/>
  <c r="J16" i="22" s="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G18" i="19" l="1"/>
  <c r="G28" i="19" s="1"/>
  <c r="C18" i="19"/>
  <c r="C26" i="19" s="1"/>
  <c r="M25" i="6" l="1"/>
  <c r="H4" i="15" l="1"/>
  <c r="H3" i="15"/>
  <c r="J12" i="22" l="1"/>
  <c r="I12" i="22" l="1"/>
  <c r="H12" i="22"/>
  <c r="G29" i="19" l="1"/>
  <c r="H5" i="15"/>
  <c r="H55" i="15" l="1"/>
  <c r="C8" i="19" l="1"/>
  <c r="E11" i="4" s="1"/>
  <c r="C10" i="4" l="1"/>
  <c r="H3" i="6" l="1"/>
  <c r="J3" i="6" s="1"/>
  <c r="H4" i="6"/>
  <c r="J4" i="6" s="1"/>
  <c r="D9" i="15"/>
  <c r="C4" i="6"/>
  <c r="E9" i="15" l="1"/>
  <c r="G9" i="15"/>
  <c r="I9" i="15" s="1"/>
  <c r="C12" i="4"/>
  <c r="E12" i="4" s="1"/>
  <c r="D3" i="15" l="1"/>
  <c r="D10" i="15"/>
  <c r="C11" i="4"/>
  <c r="C13" i="4"/>
  <c r="C14" i="4"/>
  <c r="D5" i="15" s="1"/>
  <c r="C15" i="4"/>
  <c r="T3" i="22" l="1"/>
  <c r="D12" i="22"/>
  <c r="D11" i="22"/>
  <c r="D10" i="22"/>
  <c r="T6" i="22"/>
  <c r="D9" i="22"/>
  <c r="D48" i="15"/>
  <c r="D44" i="15"/>
  <c r="D51" i="15"/>
  <c r="D47" i="15"/>
  <c r="D43" i="15"/>
  <c r="D50" i="15"/>
  <c r="D46" i="15"/>
  <c r="D45" i="15"/>
  <c r="D49" i="15"/>
  <c r="D8" i="15"/>
  <c r="D15" i="15"/>
  <c r="D13" i="15"/>
  <c r="G3" i="15"/>
  <c r="I3" i="15" s="1"/>
  <c r="E3" i="15"/>
  <c r="E10" i="15"/>
  <c r="G10" i="15"/>
  <c r="I10" i="15" s="1"/>
  <c r="E14" i="4"/>
  <c r="E15" i="4"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57"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BAB 4 +1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
-6 weakened</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
-2 fatigued</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[(4 * 4 Ultimate Magus) * 75%]
+ (9 * 2 Con)</t>
        </r>
      </text>
    </comment>
    <comment ref="E13" authorId="0">
      <text>
        <r>
          <rPr>
            <i/>
            <sz val="12"/>
            <color indexed="81"/>
            <rFont val="Times New Roman"/>
            <family val="1"/>
          </rPr>
          <t>+4 mage armor
+6 greater mage armor
+4 shield
+1 haste</t>
        </r>
      </text>
    </comment>
    <comment ref="E14" authorId="0">
      <text>
        <r>
          <rPr>
            <i/>
            <sz val="12"/>
            <color indexed="81"/>
            <rFont val="Times New Roman"/>
            <family val="1"/>
          </rPr>
          <t>+3 dragonskin</t>
        </r>
      </text>
    </comment>
  </commentList>
</comments>
</file>

<file path=xl/comments2.xml><?xml version="1.0" encoding="utf-8"?>
<comments xmlns="http://schemas.openxmlformats.org/spreadsheetml/2006/main">
  <authors>
    <author>Alexis Álvarez</author>
  </authors>
  <commentLis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3" authorId="0">
      <text>
        <r>
          <rPr>
            <sz val="12"/>
            <color indexed="81"/>
            <rFont val="Times New Roman"/>
            <family val="1"/>
          </rPr>
          <t>Cured leather</t>
        </r>
      </text>
    </comment>
    <comment ref="D35" authorId="0">
      <text>
        <r>
          <rPr>
            <sz val="12"/>
            <color indexed="81"/>
            <rFont val="Times New Roman"/>
            <family val="1"/>
          </rPr>
          <t>horse hair</t>
        </r>
      </text>
    </comment>
    <comment ref="D37" authorId="0">
      <text>
        <r>
          <rPr>
            <sz val="12"/>
            <color indexed="81"/>
            <rFont val="Times New Roman"/>
            <family val="1"/>
          </rPr>
          <t>Powdered Iron</t>
        </r>
      </text>
    </comment>
    <comment ref="D40" authorId="0">
      <text>
        <r>
          <rPr>
            <sz val="12"/>
            <color indexed="81"/>
            <rFont val="Times New Roman"/>
            <family val="1"/>
          </rPr>
          <t>Drop of mercury</t>
        </r>
      </text>
    </comment>
    <comment ref="D41" authorId="0">
      <text>
        <r>
          <rPr>
            <sz val="12"/>
            <color indexed="81"/>
            <rFont val="Times New Roman"/>
            <family val="1"/>
          </rPr>
          <t>piece of string &amp; bit of wood</t>
        </r>
      </text>
    </comment>
    <comment ref="D44" authorId="0">
      <text>
        <r>
          <rPr>
            <sz val="12"/>
            <color indexed="81"/>
            <rFont val="Times New Roman"/>
            <family val="1"/>
          </rPr>
          <t>Pinch of cat fur</t>
        </r>
      </text>
    </comment>
    <comment ref="D45" authorId="0">
      <text>
        <r>
          <rPr>
            <sz val="12"/>
            <color indexed="81"/>
            <rFont val="Times New Roman"/>
            <family val="1"/>
          </rPr>
          <t>tallow, bringstone, powdered iron</t>
        </r>
      </text>
    </comment>
    <comment ref="D46" authorId="0">
      <text>
        <r>
          <rPr>
            <sz val="12"/>
            <color indexed="81"/>
            <rFont val="Times New Roman"/>
            <family val="1"/>
          </rPr>
          <t>copper wire &amp; magnet</t>
        </r>
      </text>
    </comment>
    <comment ref="D47" authorId="0">
      <text>
        <r>
          <rPr>
            <sz val="12"/>
            <color indexed="81"/>
            <rFont val="Times New Roman"/>
            <family val="1"/>
          </rPr>
          <t>Salt</t>
        </r>
      </text>
    </comment>
    <comment ref="D49" authorId="0">
      <text>
        <r>
          <rPr>
            <sz val="12"/>
            <color indexed="81"/>
            <rFont val="Times New Roman"/>
            <family val="1"/>
          </rPr>
          <t>Pendulum</t>
        </r>
      </text>
    </comment>
    <comment ref="D54" authorId="0">
      <text>
        <r>
          <rPr>
            <sz val="12"/>
            <color indexed="81"/>
            <rFont val="Times New Roman"/>
            <family val="1"/>
          </rPr>
          <t>Prism, lens, or monocle</t>
        </r>
      </text>
    </comment>
    <comment ref="D55" authorId="0">
      <text>
        <r>
          <rPr>
            <sz val="12"/>
            <rFont val="Times New Roman"/>
            <family val="1"/>
          </rPr>
          <t>Bag and candle</t>
        </r>
      </text>
    </comment>
    <comment ref="D57" authorId="0">
      <text>
        <r>
          <rPr>
            <sz val="12"/>
            <color indexed="81"/>
            <rFont val="Times New Roman"/>
            <family val="1"/>
          </rPr>
          <t>Bat guano &amp; sulfur</t>
        </r>
      </text>
    </comment>
    <comment ref="D58" authorId="0">
      <text>
        <r>
          <rPr>
            <sz val="12"/>
            <color indexed="81"/>
            <rFont val="Times New Roman"/>
            <family val="1"/>
          </rPr>
          <t>Bird's wing feather</t>
        </r>
      </text>
    </comment>
    <comment ref="D59" authorId="0">
      <text>
        <r>
          <rPr>
            <sz val="12"/>
            <color indexed="81"/>
            <rFont val="Times New Roman"/>
            <family val="1"/>
          </rPr>
          <t>Pork rind or butter</t>
        </r>
      </text>
    </comment>
    <comment ref="D60" authorId="0">
      <text>
        <r>
          <rPr>
            <sz val="12"/>
            <color indexed="81"/>
            <rFont val="Times New Roman"/>
            <family val="1"/>
          </rPr>
          <t>tiny platinum shield worth 25 gps</t>
        </r>
      </text>
    </comment>
    <comment ref="D62" authorId="0">
      <text>
        <r>
          <rPr>
            <sz val="12"/>
            <color indexed="81"/>
            <rFont val="Times New Roman"/>
            <family val="1"/>
          </rPr>
          <t>Roots</t>
        </r>
      </text>
    </comment>
    <comment ref="D64" authorId="0">
      <text>
        <r>
          <rPr>
            <sz val="12"/>
            <color indexed="81"/>
            <rFont val="Times New Roman"/>
            <family val="1"/>
          </rPr>
          <t>Fur AND rod of amber or crystal</t>
        </r>
      </text>
    </comment>
    <comment ref="D65" authorId="0">
      <text>
        <r>
          <rPr>
            <sz val="12"/>
            <color indexed="81"/>
            <rFont val="Times New Roman"/>
            <family val="1"/>
          </rPr>
          <t>Metal object with which to outline circle</t>
        </r>
      </text>
    </comment>
    <comment ref="D67" authorId="0">
      <text>
        <r>
          <rPr>
            <sz val="12"/>
            <color indexed="81"/>
            <rFont val="Times New Roman"/>
            <family val="1"/>
          </rPr>
          <t>Molasses</t>
        </r>
      </text>
    </comment>
    <comment ref="D68" authorId="0">
      <text>
        <r>
          <rPr>
            <sz val="12"/>
            <color indexed="81"/>
            <rFont val="Times New Roman"/>
            <family val="1"/>
          </rPr>
          <t>rotten egg or skunk cabbage leaves</t>
        </r>
      </text>
    </comment>
    <comment ref="D69" authorId="0">
      <text>
        <r>
          <rPr>
            <sz val="12"/>
            <rFont val="Times New Roman"/>
            <family val="1"/>
          </rPr>
          <t>Bag and candle</t>
        </r>
      </text>
    </comment>
    <comment ref="D74"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 ref="F21" authorId="0">
      <text>
        <r>
          <rPr>
            <sz val="12"/>
            <color indexed="81"/>
            <rFont val="Times New Roman"/>
            <family val="1"/>
          </rPr>
          <t>The wielder can cast up to three spells per day that are extended as though using the Extend Spell feat.
Strong (no school); CL 17th; Craft Rod, Extend Spell; Price 3,000 gp (lesser), 11,000 gp (normal), 24,500 gp (greater).
DMG 236</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These sleek blue gloves bear tiny golden stars across the knuckles.
When you activate arcanist’s gloves, you add 2 to the caster level of the next 1st level arcane spell you cast before the end of your turn.
Arcanist’s gloves function two times per day.
</t>
        </r>
        <r>
          <rPr>
            <b/>
            <sz val="12"/>
            <color indexed="81"/>
            <rFont val="Times New Roman"/>
            <family val="1"/>
          </rPr>
          <t xml:space="preserve">Prerequisites:  </t>
        </r>
        <r>
          <rPr>
            <sz val="12"/>
            <color indexed="81"/>
            <rFont val="Times New Roman"/>
            <family val="1"/>
          </rPr>
          <t xml:space="preserve">Craft Wondrous Item, </t>
        </r>
        <r>
          <rPr>
            <i/>
            <sz val="12"/>
            <color indexed="81"/>
            <rFont val="Times New Roman"/>
            <family val="1"/>
          </rPr>
          <t>fox’s cunning</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250 gp, 20 XP, 1 day.
MIC 72</t>
        </r>
      </text>
    </comment>
    <comment ref="A6"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7"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 ref="A13"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 ref="A20" authorId="0">
      <text>
        <r>
          <rPr>
            <b/>
            <sz val="12"/>
            <color indexed="81"/>
            <rFont val="Times New Roman"/>
            <family val="1"/>
          </rPr>
          <t xml:space="preserve">Price (Item Level):  </t>
        </r>
        <r>
          <rPr>
            <sz val="12"/>
            <color indexed="81"/>
            <rFont val="Times New Roman"/>
            <family val="1"/>
          </rPr>
          <t xml:space="preserve">1,000 gp (4th)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2 lb.
The iron links and leather grips of these gauntlets are rough and worn from hard use.
Wrestlers and priests of the brawler god Kord prize these gauntlets. When activated, for 1 round, they grant you a +2 bonus on grapple checks and damage rolls when making unarmed attacks.
Brawler’s gauntlets function three times per day.
</t>
        </r>
        <r>
          <rPr>
            <b/>
            <sz val="12"/>
            <color indexed="81"/>
            <rFont val="Times New Roman"/>
            <family val="1"/>
          </rPr>
          <t xml:space="preserve">Prerequisites:  </t>
        </r>
        <r>
          <rPr>
            <sz val="12"/>
            <color indexed="81"/>
            <rFont val="Times New Roman"/>
            <family val="1"/>
          </rPr>
          <t xml:space="preserve">Craft Wondrous Item, </t>
        </r>
        <r>
          <rPr>
            <i/>
            <sz val="12"/>
            <color indexed="81"/>
            <rFont val="Times New Roman"/>
            <family val="1"/>
          </rPr>
          <t>bull’s strength</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500 gp, 40 XP, 1 day.
MIC 82</t>
        </r>
      </text>
    </comment>
    <comment ref="A21" authorId="0">
      <text>
        <r>
          <rPr>
            <b/>
            <sz val="12"/>
            <color indexed="81"/>
            <rFont val="Times New Roman"/>
            <family val="1"/>
          </rPr>
          <t xml:space="preserve">Price (Item Level):  </t>
        </r>
        <r>
          <rPr>
            <sz val="12"/>
            <color indexed="81"/>
            <rFont val="Times New Roman"/>
            <family val="1"/>
          </rPr>
          <t xml:space="preserve">5,302 gp (9th)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Activation:</t>
        </r>
        <r>
          <rPr>
            <sz val="12"/>
            <color indexed="81"/>
            <rFont val="Times New Roman"/>
            <family val="1"/>
          </rPr>
          <t xml:space="preserve">  — and standard (command)
</t>
        </r>
        <r>
          <rPr>
            <b/>
            <sz val="12"/>
            <color indexed="81"/>
            <rFont val="Times New Roman"/>
            <family val="1"/>
          </rPr>
          <t xml:space="preserve">Weight:  </t>
        </r>
        <r>
          <rPr>
            <sz val="12"/>
            <color indexed="81"/>
            <rFont val="Times New Roman"/>
            <family val="1"/>
          </rPr>
          <t xml:space="preserve">1 lb.
Of grotesque design, this seemingly organic dagger appears to be made from sharpened layers of purple-black chitin.  Sinister weblike patterns cover its surface, and the blade occasionally twitches and jerks of its own accord.
This +1 dagger quickly cuts through webs (magical or otherwise) without getting stuck.  As a move action, you can cut through a web entangling you or another creature.  You can move through webs created by a web spell at half your normal speed (although the weapon doesn’t prevent you from being stuck in either of these webs in the fi rst place).  These are continuous effects and require no activation.
Once per day, you can activate a spider fang to create a freestanding 10-foot-by-10-foot vertical curtain of cobwebs.  This curtain doesn’t block movement, but does provide concealment to creatures behind it.  Anyone touching the curtain causes it to collapse, dealing 2d4 points of acid damage to that creature.
</t>
        </r>
        <r>
          <rPr>
            <b/>
            <sz val="12"/>
            <color indexed="81"/>
            <rFont val="Times New Roman"/>
            <family val="1"/>
          </rPr>
          <t xml:space="preserve">Prerequisites:  </t>
        </r>
        <r>
          <rPr>
            <sz val="12"/>
            <color indexed="81"/>
            <rFont val="Times New Roman"/>
            <family val="1"/>
          </rPr>
          <t xml:space="preserve">Craft Magic Arms and Armor, Melf’s acid arrow, web.
</t>
        </r>
        <r>
          <rPr>
            <b/>
            <sz val="12"/>
            <color indexed="81"/>
            <rFont val="Times New Roman"/>
            <family val="1"/>
          </rPr>
          <t xml:space="preserve">Cost to Create:  </t>
        </r>
        <r>
          <rPr>
            <sz val="12"/>
            <color indexed="81"/>
            <rFont val="Times New Roman"/>
            <family val="1"/>
          </rPr>
          <t>2,500 gp (plus 302 gp for masterwork dagger), 200 XP, 5 days.
MIC 60</t>
        </r>
      </text>
    </comment>
    <comment ref="A22" authorId="0">
      <text>
        <r>
          <rPr>
            <b/>
            <sz val="12"/>
            <color indexed="81"/>
            <rFont val="Times New Roman"/>
            <family val="1"/>
          </rPr>
          <t xml:space="preserve">Price (Item Level):  </t>
        </r>
        <r>
          <rPr>
            <sz val="12"/>
            <color indexed="81"/>
            <rFont val="Times New Roman"/>
            <family val="1"/>
          </rPr>
          <t xml:space="preserve">3,600 gp (8th)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color indexed="81"/>
            <rFont val="Times New Roman"/>
            <family val="1"/>
          </rPr>
          <t xml:space="preserve">Craft Wondrous Item, bull’s strength, cat’s grace.
</t>
        </r>
        <r>
          <rPr>
            <b/>
            <sz val="12"/>
            <color indexed="81"/>
            <rFont val="Times New Roman"/>
            <family val="1"/>
          </rPr>
          <t xml:space="preserve">Cost to Create:  </t>
        </r>
        <r>
          <rPr>
            <sz val="12"/>
            <color indexed="81"/>
            <rFont val="Times New Roman"/>
            <family val="1"/>
          </rPr>
          <t>1,800 gp, 144 XP, 4 days.
MIC 75</t>
        </r>
      </text>
    </comment>
    <comment ref="A23" authorId="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Stylized flames rendered in scarlet enamel encircle these steel gauntlets.
Devastation gauntlets are prized by anyone who earns gold by fi ghting in melee, from raging barbarians to wily swashbucklers.
These gauntlets have 3 charges, which are renewed each day at dawn.  Spending 1 or more charges grants you a bonus to the damage dealt by a critical hit you make in melee.  You activate the gauntlets after you have confirmed a critical hit, but before damage is rolled.
</t>
        </r>
        <r>
          <rPr>
            <b/>
            <sz val="12"/>
            <color indexed="81"/>
            <rFont val="Times New Roman"/>
            <family val="1"/>
          </rPr>
          <t xml:space="preserve">1 charge:  </t>
        </r>
        <r>
          <rPr>
            <sz val="12"/>
            <color indexed="81"/>
            <rFont val="Times New Roman"/>
            <family val="1"/>
          </rPr>
          <t xml:space="preserve">+2d6 points of damage.
</t>
        </r>
        <r>
          <rPr>
            <b/>
            <sz val="12"/>
            <color indexed="81"/>
            <rFont val="Times New Roman"/>
            <family val="1"/>
          </rPr>
          <t xml:space="preserve">2 charges:  </t>
        </r>
        <r>
          <rPr>
            <sz val="12"/>
            <color indexed="81"/>
            <rFont val="Times New Roman"/>
            <family val="1"/>
          </rPr>
          <t xml:space="preserve">+3d6 points of damage.
</t>
        </r>
        <r>
          <rPr>
            <b/>
            <sz val="12"/>
            <color indexed="81"/>
            <rFont val="Times New Roman"/>
            <family val="1"/>
          </rPr>
          <t xml:space="preserve">3 charges:  </t>
        </r>
        <r>
          <rPr>
            <sz val="12"/>
            <color indexed="81"/>
            <rFont val="Times New Roman"/>
            <family val="1"/>
          </rPr>
          <t xml:space="preserve">+4d6 points of damage.
</t>
        </r>
        <r>
          <rPr>
            <b/>
            <sz val="12"/>
            <color indexed="81"/>
            <rFont val="Times New Roman"/>
            <family val="1"/>
          </rPr>
          <t xml:space="preserve">Prerequisites:  </t>
        </r>
        <r>
          <rPr>
            <sz val="12"/>
            <color indexed="81"/>
            <rFont val="Times New Roman"/>
            <family val="1"/>
          </rPr>
          <t xml:space="preserve">Craft Wondrous Item, keen edge.
</t>
        </r>
        <r>
          <rPr>
            <b/>
            <sz val="12"/>
            <color indexed="81"/>
            <rFont val="Times New Roman"/>
            <family val="1"/>
          </rPr>
          <t xml:space="preserve">Cost to Create:  </t>
        </r>
        <r>
          <rPr>
            <sz val="12"/>
            <color indexed="81"/>
            <rFont val="Times New Roman"/>
            <family val="1"/>
          </rPr>
          <t>1,000 gp, 80 XP, 2 days.
MIC 72</t>
        </r>
      </text>
    </comment>
  </commentList>
</comments>
</file>

<file path=xl/sharedStrings.xml><?xml version="1.0" encoding="utf-8"?>
<sst xmlns="http://schemas.openxmlformats.org/spreadsheetml/2006/main" count="1019" uniqueCount="385">
  <si>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</si>
  <si>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</si>
  <si>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</si>
  <si>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</si>
  <si>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</si>
  <si>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</si>
  <si>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</si>
  <si>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</si>
  <si>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</si>
  <si>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</si>
  <si>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</si>
  <si>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</si>
  <si>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</si>
  <si>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</si>
  <si>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</si>
  <si>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</si>
  <si>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</si>
  <si>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</si>
  <si>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</si>
  <si>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</si>
  <si>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</si>
  <si>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</si>
  <si>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</si>
  <si>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</si>
  <si>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</si>
  <si>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</si>
  <si>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</si>
  <si>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</si>
  <si>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</si>
  <si>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</si>
  <si>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</si>
  <si>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</si>
  <si>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</si>
  <si>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</si>
  <si>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</si>
  <si>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</si>
  <si>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</si>
  <si>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</si>
  <si>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</si>
  <si>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</si>
  <si>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</si>
  <si>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</si>
  <si>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</si>
  <si>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</si>
  <si>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</si>
  <si>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</si>
  <si>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</si>
  <si>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</si>
  <si>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</si>
  <si>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</si>
  <si>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</si>
  <si>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</si>
  <si>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</si>
  <si>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</si>
  <si>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</si>
  <si>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</si>
  <si>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</si>
  <si>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</si>
  <si>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</si>
  <si>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</si>
  <si>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</si>
  <si>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</si>
  <si>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</si>
  <si>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</si>
  <si>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</si>
  <si>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</si>
  <si>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</si>
  <si>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</si>
  <si>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</si>
  <si>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</si>
  <si>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</si>
  <si>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</si>
  <si>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</si>
  <si>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</si>
  <si>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</si>
  <si>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</si>
  <si>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</si>
  <si>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</si>
  <si>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</si>
  <si>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</si>
  <si>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</si>
  <si>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</si>
  <si>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</si>
  <si>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</si>
  <si>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</si>
  <si>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</si>
  <si>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</si>
  <si>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</si>
  <si>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</si>
  <si>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</si>
  <si>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</si>
  <si>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</si>
  <si>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</si>
  <si>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</si>
  <si>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</si>
  <si>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</si>
  <si>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</si>
  <si>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</si>
  <si>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</si>
  <si>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</si>
  <si>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</si>
  <si>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</si>
  <si>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</si>
  <si>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</si>
  <si>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</si>
  <si>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</si>
  <si>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</si>
  <si>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</si>
  <si>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</si>
  <si>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</si>
  <si>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</si>
  <si>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</si>
  <si>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</si>
  <si>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</si>
  <si>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</si>
  <si>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</si>
  <si>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</si>
  <si>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</si>
  <si>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</si>
  <si>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</si>
  <si>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</si>
  <si>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</si>
  <si>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</si>
  <si>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</si>
  <si>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</si>
  <si>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</si>
  <si>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</si>
  <si>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</si>
  <si>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</si>
  <si>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</si>
  <si>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</si>
  <si>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</si>
  <si>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</si>
  <si>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</si>
  <si>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</si>
  <si>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</si>
  <si>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</si>
  <si>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</si>
  <si>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Played by Bill Kmet</t>
  </si>
  <si>
    <t>Darkvision 60’</t>
  </si>
  <si>
    <t>Low-light Vision</t>
  </si>
  <si>
    <t>Kithre</t>
  </si>
  <si>
    <t>Neutral Good</t>
  </si>
  <si>
    <t>Male</t>
  </si>
  <si>
    <t>30’</t>
  </si>
  <si>
    <t>Mage Hand</t>
  </si>
  <si>
    <t>Message</t>
  </si>
  <si>
    <t>Silence (on self)</t>
  </si>
  <si>
    <t>Scribe Scroll</t>
  </si>
  <si>
    <t>Summon Familiar</t>
  </si>
  <si>
    <t>Wizard Spells</t>
  </si>
  <si>
    <t>Memorized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</si>
  <si>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</si>
  <si>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</si>
  <si>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</si>
  <si>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</si>
  <si>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</si>
  <si>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</si>
  <si>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</si>
  <si>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</si>
  <si>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</si>
  <si>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</si>
  <si>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</si>
  <si>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</si>
  <si>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</si>
  <si>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</si>
  <si>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</si>
  <si>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</si>
  <si>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</si>
  <si>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</si>
  <si>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</si>
  <si>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</si>
  <si>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</si>
  <si>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</si>
  <si>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</si>
  <si>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</si>
  <si>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</si>
  <si>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</si>
  <si>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</si>
  <si>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</si>
  <si>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</si>
  <si>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</si>
  <si>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</si>
  <si>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</si>
  <si>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</si>
  <si>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</si>
  <si>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</si>
  <si>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</si>
  <si>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</si>
  <si>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</si>
  <si>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</si>
  <si>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</si>
  <si>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</si>
  <si>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</si>
  <si>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</si>
  <si>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</si>
  <si>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</si>
  <si>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</si>
  <si>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</si>
  <si>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</si>
  <si>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</si>
  <si>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</si>
  <si>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</si>
  <si>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</si>
  <si>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</si>
  <si>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</si>
  <si>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</si>
  <si>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</si>
  <si>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</si>
  <si>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</si>
  <si>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</si>
  <si>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</si>
  <si>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</si>
  <si>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</si>
  <si>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</si>
  <si>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</si>
  <si>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</si>
  <si>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</si>
  <si>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</si>
  <si>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</si>
  <si>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</si>
  <si>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</si>
  <si>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</si>
  <si>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</si>
  <si>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</si>
  <si>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</si>
  <si>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</si>
  <si>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</si>
  <si>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</si>
  <si>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</si>
  <si>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</si>
  <si>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</si>
  <si>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</si>
  <si>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</si>
  <si>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</si>
  <si>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</si>
  <si>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</si>
  <si>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</si>
  <si>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</si>
  <si>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</si>
  <si>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</si>
  <si>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</si>
  <si>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</si>
  <si>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</si>
  <si>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Haversack Value</t>
  </si>
  <si>
    <t>% of 100-lb limit</t>
  </si>
  <si>
    <t>n.a.</t>
  </si>
  <si>
    <t>Limited to 3rd- or lower-level spells</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</si>
  <si>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</si>
  <si>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</si>
  <si>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</si>
  <si>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</si>
  <si>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</si>
  <si>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</si>
  <si>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</si>
  <si>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</si>
  <si>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</si>
  <si>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</si>
  <si>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</si>
  <si>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</si>
  <si>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</si>
  <si>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Master Features</t>
  </si>
  <si>
    <t>Ultimate Features</t>
  </si>
  <si>
    <t>Skill Focus (Spellcraft)</t>
  </si>
  <si>
    <t>Arcane Spell Power +1</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</si>
  <si>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</si>
  <si>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</si>
  <si>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</si>
  <si>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</si>
  <si>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</si>
  <si>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</si>
  <si>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</si>
  <si>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</si>
  <si>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</si>
  <si>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</si>
  <si>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</si>
  <si>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</si>
  <si>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</si>
  <si>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</si>
  <si>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</si>
  <si>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</si>
  <si>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</si>
  <si>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</si>
  <si>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</si>
  <si>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</si>
  <si>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Perform:    [type]</t>
  </si>
  <si>
    <t>Profession:    [type]</t>
  </si>
  <si>
    <t>Charisma Bonus</t>
  </si>
  <si>
    <t>Warmage Spells</t>
  </si>
  <si>
    <t>Warmage Spells by Level</t>
  </si>
  <si>
    <t>Evoker Spells by Level</t>
  </si>
  <si>
    <t>6th:  Practiced Spellcaster (Warmage)</t>
  </si>
  <si>
    <t>Base</t>
  </si>
  <si>
    <t>Spell Effects</t>
  </si>
  <si>
    <t>CL</t>
  </si>
  <si>
    <t>CROSS-CLASS SKILL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</si>
  <si>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</si>
  <si>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</si>
  <si>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</si>
  <si>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</si>
  <si>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</si>
  <si>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</si>
  <si>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</si>
  <si>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</si>
  <si>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</si>
  <si>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</si>
  <si>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</si>
  <si>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</si>
  <si>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</si>
  <si>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</si>
  <si>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</si>
  <si>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</si>
  <si>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</si>
  <si>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</si>
  <si>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</si>
  <si>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</si>
  <si>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</si>
  <si>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</si>
  <si>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</si>
  <si>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</si>
  <si>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</si>
  <si>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</si>
  <si>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</si>
  <si>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</si>
  <si>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</si>
  <si>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</si>
  <si>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</si>
  <si>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</si>
  <si>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</si>
  <si>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</si>
  <si>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</si>
  <si>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</si>
  <si>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</si>
  <si>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</si>
  <si>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</si>
  <si>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</si>
  <si>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</si>
  <si>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</si>
  <si>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</si>
  <si>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</si>
  <si>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</si>
  <si>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</si>
  <si>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</si>
  <si>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</si>
  <si>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Metamagic Rod of Extend, Lesser</t>
  </si>
  <si>
    <t>Scroll of Daylight</t>
  </si>
  <si>
    <t>Sonic Blast</t>
  </si>
  <si>
    <t>Blast of Force</t>
  </si>
  <si>
    <t>Lightning Bolt</t>
  </si>
  <si>
    <t>120’</t>
  </si>
  <si>
    <t>Dagger</t>
  </si>
  <si>
    <t>19-20, x2</t>
  </si>
  <si>
    <t>Prcg/Slsh</t>
  </si>
  <si>
    <t>SF</t>
  </si>
  <si>
    <t>Ultimate Magus 3</t>
  </si>
  <si>
    <t>Augmented Casting</t>
  </si>
  <si>
    <t>Heart of Earth</t>
  </si>
  <si>
    <t>Vortex of Teeth</t>
  </si>
  <si>
    <t>Ring of Wizardry I</t>
  </si>
  <si>
    <t>9th:  Empower Spell</t>
  </si>
  <si>
    <t>Arcane Spell Power +2 included above</t>
  </si>
  <si>
    <t>Dimension Door</t>
  </si>
  <si>
    <t>Invisibility, Greater</t>
  </si>
  <si>
    <t>Ultimate Magus 4</t>
  </si>
  <si>
    <t>Ring of Protection +2</t>
  </si>
  <si>
    <t>Scroll of Stoneskin</t>
  </si>
  <si>
    <t>Scroll of Slow</t>
  </si>
  <si>
    <t>Greater Invisibility</t>
  </si>
  <si>
    <t>Expanded Spell Knowledge (1st:  Blast of Force)</t>
  </si>
  <si>
    <t>Expanded Spell Knowledge (2nd:  )</t>
  </si>
  <si>
    <t>þ</t>
  </si>
  <si>
    <t>Tome of Worldly Memory</t>
  </si>
  <si>
    <t>bonus</t>
  </si>
  <si>
    <t>Bypass Spell Resistance</t>
  </si>
  <si>
    <t>+1 haste</t>
  </si>
  <si>
    <t>Arcanist’s Gloves</t>
  </si>
  <si>
    <t>Spider Fang</t>
  </si>
  <si>
    <t>Belt of Ultimate Athleticism</t>
  </si>
  <si>
    <t>Devastation Gauntlets</t>
  </si>
  <si>
    <t>desiccation</t>
  </si>
  <si>
    <t>Warmage Features</t>
  </si>
  <si>
    <t>Armored Mage (Light)</t>
  </si>
  <si>
    <t xml:space="preserve">Warmage Edge </t>
  </si>
  <si>
    <t>Simple Weapons, Light Armor</t>
  </si>
  <si>
    <t>Brawler’s Gauntlets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</si>
</sst>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i/>
      <sz val="12"/>
      <color rgb="FFFF0000"/>
      <name val="Times New Roman"/>
      <family val="1"/>
    </font>
    <font>
      <b/>
      <sz val="12"/>
      <color rgb="FFFF0000"/>
      <name val="Times New Roman"/>
      <family val="1"/>
    </font>
    <font>
      <i/>
      <sz val="12"/>
      <color rgb="FF7030A0"/>
      <name val="Times New Roman"/>
      <family val="1"/>
    </font>
    <font>
      <sz val="12"/>
      <name val="Wingdings"/>
      <charset val="2"/>
    </font>
    <font>
      <b/>
      <sz val="12"/>
      <color theme="0"/>
      <name val="Times New Roman"/>
      <family val="1"/>
    </font>
    <font>
      <b/>
      <sz val="12"/>
      <color rgb="FF7030A0"/>
      <name val="Times New Roman"/>
      <family val="1"/>
    </font>
    <font>
      <i/>
      <sz val="14"/>
      <color rgb="FFFF0000"/>
      <name val="Times New Roman"/>
      <family val="1"/>
    </font>
    <font>
      <i/>
      <sz val="14"/>
      <color rgb="FF7030A0"/>
      <name val="Times New Roman"/>
      <family val="1"/>
    </font>
    <font>
      <sz val="12"/>
      <color theme="0"/>
      <name val="Times New Roman"/>
      <family val="1"/>
    </font>
    <font>
      <sz val="13"/>
      <color rgb="FFFF000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cellStyleXfs>
  <cellXfs count="521">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1" fillId="3" borderId="117" xfId="0" applyNumberFormat="1" applyFont="1" applyFill="1" applyBorder="1" applyAlignment="1">
      <alignment horizontal="center" vertical="center"/>
    </xf>
    <xf numFmtId="0" fontId="12" fillId="12" borderId="122" xfId="0" applyFont="1" applyFill="1" applyBorder="1" applyAlignment="1">
      <alignment horizontal="center" vertical="center" wrapText="1"/>
    </xf>
    <xf numFmtId="0" fontId="12" fillId="12" borderId="123"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27" xfId="0" applyFont="1" applyFill="1" applyBorder="1" applyAlignment="1">
      <alignment horizontal="centerContinuous" vertical="center" shrinkToFit="1"/>
    </xf>
    <xf numFmtId="0" fontId="21" fillId="0" borderId="128" xfId="0" applyFont="1" applyFill="1" applyBorder="1" applyAlignment="1">
      <alignment horizontal="centerContinuous" vertical="center"/>
    </xf>
    <xf numFmtId="0" fontId="2" fillId="0" borderId="129" xfId="0" applyFont="1" applyFill="1" applyBorder="1" applyAlignment="1">
      <alignment horizontal="center" vertical="center"/>
    </xf>
    <xf numFmtId="0" fontId="2" fillId="0" borderId="130" xfId="0" applyFont="1" applyFill="1" applyBorder="1" applyAlignment="1">
      <alignment horizontal="centerContinuous" vertical="center"/>
    </xf>
    <xf numFmtId="0" fontId="2" fillId="0" borderId="131"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30" xfId="0" applyNumberFormat="1" applyFont="1" applyFill="1" applyBorder="1" applyAlignment="1">
      <alignment horizontal="center" vertical="center"/>
    </xf>
    <xf numFmtId="1" fontId="48" fillId="10" borderId="130" xfId="0" applyNumberFormat="1" applyFont="1" applyFill="1" applyBorder="1" applyAlignment="1">
      <alignment horizontal="center" vertical="center"/>
    </xf>
    <xf numFmtId="1" fontId="2" fillId="0" borderId="130"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18" xfId="0" applyNumberFormat="1" applyFont="1" applyBorder="1" applyAlignment="1">
      <alignment horizontal="center" vertical="center" shrinkToFit="1"/>
    </xf>
    <xf numFmtId="1" fontId="2" fillId="0" borderId="119" xfId="0" applyNumberFormat="1" applyFont="1" applyBorder="1" applyAlignment="1">
      <alignment horizontal="center" vertical="center" shrinkToFit="1"/>
    </xf>
    <xf numFmtId="1" fontId="5" fillId="0" borderId="119" xfId="0" applyNumberFormat="1" applyFont="1" applyBorder="1" applyAlignment="1">
      <alignment horizontal="center" vertical="center" shrinkToFit="1"/>
    </xf>
    <xf numFmtId="1" fontId="5" fillId="0" borderId="120" xfId="0" applyNumberFormat="1" applyFont="1" applyBorder="1" applyAlignment="1">
      <alignment horizontal="center" vertical="center" shrinkToFit="1"/>
    </xf>
    <xf numFmtId="1" fontId="5" fillId="0" borderId="118" xfId="0" applyNumberFormat="1" applyFont="1" applyBorder="1" applyAlignment="1">
      <alignment horizontal="center" vertical="center" shrinkToFit="1"/>
    </xf>
    <xf numFmtId="1" fontId="5" fillId="0" borderId="121" xfId="0" applyNumberFormat="1" applyFont="1" applyBorder="1" applyAlignment="1">
      <alignment horizontal="center" vertical="center" shrinkToFit="1"/>
    </xf>
    <xf numFmtId="1" fontId="2" fillId="8" borderId="86"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49" fontId="7" fillId="0" borderId="28" xfId="0" applyNumberFormat="1" applyFont="1" applyFill="1" applyBorder="1" applyAlignment="1">
      <alignment horizontal="center"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49" fontId="28" fillId="9" borderId="25" xfId="0" applyNumberFormat="1" applyFont="1" applyFill="1" applyBorder="1" applyAlignment="1">
      <alignment horizontal="center" vertical="center"/>
    </xf>
    <xf numFmtId="0" fontId="28" fillId="9" borderId="26" xfId="0" applyNumberFormat="1" applyFont="1" applyFill="1" applyBorder="1" applyAlignment="1">
      <alignment horizontal="center" vertical="center"/>
    </xf>
    <xf numFmtId="0" fontId="22" fillId="9" borderId="26" xfId="0" applyNumberFormat="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58" fillId="0" borderId="61" xfId="0" applyFont="1" applyBorder="1" applyAlignment="1">
      <alignment horizontal="centerContinuous" wrapText="1"/>
    </xf>
    <xf numFmtId="0" fontId="4" fillId="0" borderId="61" xfId="0" applyFont="1" applyBorder="1" applyAlignment="1">
      <alignment horizontal="centerContinuous" wrapText="1"/>
    </xf>
    <xf numFmtId="0" fontId="4" fillId="0" borderId="62" xfId="0" applyFont="1" applyBorder="1" applyAlignment="1">
      <alignment horizontal="centerContinuous"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59"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60" fillId="0" borderId="61" xfId="0" applyFont="1" applyBorder="1" applyAlignment="1">
      <alignment horizontal="centerContinuous" vertical="center" wrapText="1"/>
    </xf>
    <xf numFmtId="0" fontId="4" fillId="0" borderId="61" xfId="0" applyFont="1" applyBorder="1" applyAlignment="1">
      <alignment horizontal="centerContinuous" vertical="center" wrapText="1"/>
    </xf>
    <xf numFmtId="0" fontId="4" fillId="0" borderId="62" xfId="0" applyFont="1" applyBorder="1" applyAlignment="1">
      <alignment horizontal="centerContinuous" vertical="center" wrapText="1"/>
    </xf>
    <xf numFmtId="0" fontId="21" fillId="7" borderId="58" xfId="0" applyFont="1" applyFill="1" applyBorder="1" applyAlignment="1">
      <alignment horizontal="centerContinuous" wrapText="1"/>
    </xf>
    <xf numFmtId="0" fontId="21" fillId="7" borderId="63" xfId="0" applyFont="1" applyFill="1" applyBorder="1" applyAlignment="1">
      <alignment horizontal="center" wrapText="1"/>
    </xf>
    <xf numFmtId="0" fontId="21" fillId="7" borderId="64" xfId="0" applyFont="1" applyFill="1" applyBorder="1" applyAlignment="1">
      <alignment horizont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21" fillId="10" borderId="58" xfId="0" applyFont="1" applyFill="1" applyBorder="1" applyAlignment="1">
      <alignment horizontal="centerContinuous" vertical="center" wrapText="1"/>
    </xf>
    <xf numFmtId="0" fontId="21" fillId="10" borderId="79" xfId="0" applyFont="1" applyFill="1" applyBorder="1" applyAlignment="1">
      <alignment horizontal="center" vertical="center" wrapText="1"/>
    </xf>
    <xf numFmtId="0" fontId="21" fillId="10" borderId="63" xfId="0" applyFont="1" applyFill="1" applyBorder="1" applyAlignment="1">
      <alignment horizontal="center" vertical="center" wrapText="1"/>
    </xf>
    <xf numFmtId="0" fontId="21" fillId="10" borderId="64" xfId="0" applyFont="1" applyFill="1" applyBorder="1" applyAlignment="1">
      <alignment horizontal="center" vertical="center" wrapText="1"/>
    </xf>
    <xf numFmtId="0" fontId="2" fillId="0" borderId="136" xfId="0" applyFont="1" applyFill="1" applyBorder="1" applyAlignment="1">
      <alignment horizontal="center" shrinkToFit="1"/>
    </xf>
    <xf numFmtId="0" fontId="2" fillId="0" borderId="137" xfId="0" applyNumberFormat="1" applyFont="1" applyBorder="1" applyAlignment="1">
      <alignment horizontal="center"/>
    </xf>
    <xf numFmtId="49" fontId="2" fillId="0" borderId="137" xfId="0" applyNumberFormat="1" applyFont="1" applyBorder="1" applyAlignment="1">
      <alignment horizontal="center"/>
    </xf>
    <xf numFmtId="0" fontId="2" fillId="5" borderId="138" xfId="2" applyNumberFormat="1" applyFont="1" applyFill="1" applyBorder="1" applyAlignment="1">
      <alignment horizontal="center" shrinkToFit="1"/>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25" xfId="0" applyFont="1" applyBorder="1" applyAlignment="1">
      <alignment horizontal="center" vertical="center"/>
    </xf>
    <xf numFmtId="49" fontId="2" fillId="0" borderId="25" xfId="0" applyNumberFormat="1" applyFont="1" applyBorder="1" applyAlignment="1">
      <alignment horizontal="center" vertical="center"/>
    </xf>
    <xf numFmtId="0" fontId="61" fillId="5" borderId="27" xfId="2" applyNumberFormat="1" applyFont="1" applyFill="1" applyBorder="1" applyAlignment="1">
      <alignment horizontal="center" vertical="center" shrinkToFit="1"/>
    </xf>
    <xf numFmtId="0" fontId="2" fillId="0" borderId="57" xfId="0" applyFont="1" applyFill="1" applyBorder="1" applyAlignment="1">
      <alignment horizontal="center" shrinkToFit="1"/>
    </xf>
    <xf numFmtId="0" fontId="2" fillId="0" borderId="38" xfId="0" applyNumberFormat="1" applyFont="1" applyFill="1" applyBorder="1" applyAlignment="1">
      <alignment horizontal="center"/>
    </xf>
    <xf numFmtId="49" fontId="2" fillId="0" borderId="38" xfId="0" applyNumberFormat="1" applyFont="1" applyFill="1" applyBorder="1" applyAlignment="1">
      <alignment horizontal="center"/>
    </xf>
    <xf numFmtId="0" fontId="2" fillId="5" borderId="39" xfId="2" applyNumberFormat="1" applyFont="1" applyFill="1" applyBorder="1" applyAlignment="1">
      <alignment horizontal="center" shrinkToFi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2" fillId="16" borderId="41" xfId="2" applyNumberFormat="1" applyFont="1" applyFill="1" applyBorder="1" applyAlignment="1">
      <alignment horizontal="center" shrinkToFit="1"/>
    </xf>
    <xf numFmtId="0" fontId="4" fillId="0" borderId="47" xfId="0" applyFont="1" applyBorder="1" applyAlignment="1">
      <alignment horizontal="right" vertical="center"/>
    </xf>
    <xf numFmtId="0" fontId="62" fillId="7"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2" fillId="0" borderId="58" xfId="0" applyFont="1" applyBorder="1" applyAlignment="1">
      <alignment horizontal="center" vertical="center" shrinkToFit="1"/>
    </xf>
    <xf numFmtId="0" fontId="2" fillId="0" borderId="59" xfId="0" applyFont="1" applyBorder="1" applyAlignment="1">
      <alignment horizontal="center" vertical="center"/>
    </xf>
    <xf numFmtId="49" fontId="2" fillId="0" borderId="59" xfId="0" applyNumberFormat="1" applyFont="1" applyBorder="1" applyAlignment="1">
      <alignment horizontal="center" vertical="center"/>
    </xf>
    <xf numFmtId="0" fontId="61" fillId="5" borderId="32" xfId="2" applyNumberFormat="1" applyFont="1" applyFill="1" applyBorder="1" applyAlignment="1">
      <alignment horizontal="center" vertical="center" shrinkToFit="1"/>
    </xf>
    <xf numFmtId="0" fontId="63" fillId="0" borderId="5" xfId="0" applyFont="1" applyBorder="1" applyAlignment="1">
      <alignment horizontal="centerContinuous" vertical="center"/>
    </xf>
    <xf numFmtId="0" fontId="4" fillId="0" borderId="1" xfId="0" applyFont="1" applyBorder="1" applyAlignment="1">
      <alignment horizontal="center" vertical="center" shrinkToFi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2" fillId="0" borderId="80" xfId="0" applyFont="1" applyFill="1" applyBorder="1" applyAlignment="1">
      <alignment horizontal="center" vertical="center"/>
    </xf>
    <xf numFmtId="49" fontId="2" fillId="0" borderId="13" xfId="0" applyNumberFormat="1" applyFont="1" applyFill="1" applyBorder="1" applyAlignment="1">
      <alignment horizontal="center" vertical="center"/>
    </xf>
    <xf numFmtId="0" fontId="61" fillId="5" borderId="56" xfId="2" applyNumberFormat="1"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0" fontId="61" fillId="5" borderId="33" xfId="2" applyNumberFormat="1" applyFont="1" applyFill="1" applyBorder="1" applyAlignment="1">
      <alignment horizontal="center" vertical="center" shrinkToFit="1"/>
    </xf>
    <xf numFmtId="0" fontId="62" fillId="10" borderId="72"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24" xfId="0" applyFont="1" applyFill="1" applyBorder="1" applyAlignment="1">
      <alignment horizontal="centerContinuous"/>
    </xf>
    <xf numFmtId="0" fontId="62" fillId="10" borderId="125" xfId="0" applyFont="1" applyFill="1" applyBorder="1" applyAlignment="1">
      <alignment horizontal="centerContinuous"/>
    </xf>
    <xf numFmtId="0" fontId="62" fillId="10" borderId="126" xfId="0" applyFont="1" applyFill="1" applyBorder="1" applyAlignment="1">
      <alignment horizontal="centerContinuous"/>
    </xf>
    <xf numFmtId="0" fontId="4" fillId="0" borderId="132" xfId="0" applyFont="1" applyBorder="1" applyAlignment="1">
      <alignment horizontal="center"/>
    </xf>
    <xf numFmtId="0" fontId="2" fillId="0" borderId="133" xfId="0" applyFont="1" applyBorder="1" applyAlignment="1">
      <alignment horizontal="centerContinuous" wrapText="1"/>
    </xf>
    <xf numFmtId="0" fontId="4" fillId="0" borderId="16" xfId="0" applyFont="1" applyBorder="1" applyAlignment="1">
      <alignment horizontal="center"/>
    </xf>
    <xf numFmtId="0" fontId="2" fillId="0" borderId="9" xfId="0" applyFont="1" applyBorder="1" applyAlignment="1">
      <alignment horizontal="centerContinuous"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49" fontId="2" fillId="0" borderId="25"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xf>
    <xf numFmtId="49" fontId="2" fillId="0" borderId="59"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0" fontId="27" fillId="0" borderId="47" xfId="0" applyFont="1" applyBorder="1" applyAlignment="1">
      <alignment horizontal="centerContinuous" vertical="center" shrinkToFit="1"/>
    </xf>
    <xf numFmtId="0" fontId="2" fillId="0" borderId="96" xfId="0" applyFont="1" applyFill="1" applyBorder="1" applyAlignment="1">
      <alignment horizontal="center" shrinkToFit="1"/>
    </xf>
    <xf numFmtId="0" fontId="2" fillId="0" borderId="40" xfId="0" applyNumberFormat="1" applyFont="1" applyFill="1" applyBorder="1" applyAlignment="1">
      <alignment horizontal="center"/>
    </xf>
    <xf numFmtId="49" fontId="2" fillId="0" borderId="40" xfId="0" applyNumberFormat="1" applyFont="1" applyFill="1" applyBorder="1" applyAlignment="1">
      <alignment horizont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64" fillId="0" borderId="60" xfId="0" applyFont="1" applyBorder="1" applyAlignment="1">
      <alignment horizontal="centerContinuous" wrapText="1"/>
    </xf>
    <xf numFmtId="0" fontId="65" fillId="0" borderId="60" xfId="0" applyFont="1" applyBorder="1" applyAlignment="1">
      <alignment horizontal="centerContinuous" vertical="center" wrapText="1"/>
    </xf>
    <xf numFmtId="1" fontId="7" fillId="14" borderId="28" xfId="0" applyNumberFormat="1" applyFont="1" applyFill="1" applyBorder="1" applyAlignment="1">
      <alignment horizontal="center" vertical="center"/>
    </xf>
    <xf numFmtId="1" fontId="2" fillId="9" borderId="121" xfId="0" applyNumberFormat="1" applyFont="1" applyFill="1" applyBorder="1" applyAlignment="1">
      <alignment horizontal="center" vertical="center" shrinkToFit="1"/>
    </xf>
    <xf numFmtId="0" fontId="2" fillId="0" borderId="112" xfId="0" applyFont="1" applyBorder="1" applyAlignment="1">
      <alignment horizontal="center" shrinkToFit="1"/>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66" fillId="17" borderId="139" xfId="0" applyFont="1" applyFill="1" applyBorder="1" applyAlignment="1">
      <alignment horizontal="center" vertical="center"/>
    </xf>
    <xf numFmtId="0" fontId="66" fillId="17" borderId="82" xfId="0" applyFont="1" applyFill="1" applyBorder="1" applyAlignment="1">
      <alignment horizontal="center" vertical="center"/>
    </xf>
    <xf numFmtId="0" fontId="66" fillId="17" borderId="82" xfId="0" quotePrefix="1" applyFont="1" applyFill="1" applyBorder="1" applyAlignment="1">
      <alignment horizontal="center" vertical="center" wrapText="1"/>
    </xf>
    <xf numFmtId="49" fontId="66" fillId="17" borderId="82" xfId="2" applyNumberFormat="1" applyFont="1" applyFill="1" applyBorder="1" applyAlignment="1">
      <alignment horizontal="center" vertical="center"/>
    </xf>
    <xf numFmtId="0" fontId="66" fillId="17" borderId="82" xfId="0" applyFont="1" applyFill="1" applyBorder="1" applyAlignment="1">
      <alignment horizontal="center" vertical="center" shrinkToFit="1"/>
    </xf>
    <xf numFmtId="164" fontId="66" fillId="17" borderId="82" xfId="0" applyNumberFormat="1" applyFont="1" applyFill="1" applyBorder="1" applyAlignment="1">
      <alignment horizontal="center" vertical="center"/>
    </xf>
    <xf numFmtId="1" fontId="66" fillId="17" borderId="83" xfId="0" applyNumberFormat="1" applyFont="1" applyFill="1" applyBorder="1" applyAlignment="1">
      <alignment horizontal="center" vertical="center"/>
    </xf>
    <xf numFmtId="0" fontId="66" fillId="17" borderId="88" xfId="0" applyFont="1" applyFill="1" applyBorder="1" applyAlignment="1">
      <alignment horizontal="center" vertical="center"/>
    </xf>
    <xf numFmtId="0" fontId="66" fillId="17" borderId="89" xfId="0" applyFont="1" applyFill="1" applyBorder="1" applyAlignment="1">
      <alignment horizontal="center" vertical="center"/>
    </xf>
    <xf numFmtId="49" fontId="66" fillId="17" borderId="89" xfId="0" applyNumberFormat="1" applyFont="1" applyFill="1" applyBorder="1" applyAlignment="1">
      <alignment horizontal="center" vertical="center"/>
    </xf>
    <xf numFmtId="164" fontId="66" fillId="17" borderId="89" xfId="0" applyNumberFormat="1" applyFont="1" applyFill="1" applyBorder="1" applyAlignment="1">
      <alignment horizontal="center" vertical="center"/>
    </xf>
    <xf numFmtId="1" fontId="66" fillId="17" borderId="90" xfId="0" applyNumberFormat="1" applyFont="1" applyFill="1" applyBorder="1" applyAlignment="1">
      <alignment horizontal="center" vertical="center"/>
    </xf>
    <xf numFmtId="0" fontId="66" fillId="17" borderId="140" xfId="0" quotePrefix="1" applyFont="1" applyFill="1" applyBorder="1" applyAlignment="1">
      <alignment horizontal="center" vertical="center"/>
    </xf>
    <xf numFmtId="0" fontId="66" fillId="17" borderId="114" xfId="0" applyFont="1" applyFill="1" applyBorder="1" applyAlignment="1">
      <alignment horizontal="center" vertical="center"/>
    </xf>
    <xf numFmtId="1" fontId="66" fillId="17" borderId="34" xfId="0" applyNumberFormat="1" applyFont="1" applyFill="1" applyBorder="1" applyAlignment="1">
      <alignment horizontal="center" vertical="center"/>
    </xf>
    <xf numFmtId="1" fontId="66" fillId="17" borderId="47" xfId="0" applyNumberFormat="1" applyFont="1" applyFill="1" applyBorder="1" applyAlignment="1">
      <alignment horizontal="center" vertical="center"/>
    </xf>
    <xf numFmtId="0" fontId="4" fillId="0" borderId="134" xfId="0" applyFont="1" applyFill="1" applyBorder="1" applyAlignment="1">
      <alignment horizontal="centerContinuous" wrapText="1"/>
    </xf>
    <xf numFmtId="0" fontId="2" fillId="0" borderId="133" xfId="0" applyFont="1" applyFill="1" applyBorder="1" applyAlignment="1">
      <alignment horizontal="centerContinuous" wrapText="1"/>
    </xf>
    <xf numFmtId="0" fontId="2" fillId="0" borderId="135" xfId="0" applyFont="1" applyFill="1" applyBorder="1" applyAlignment="1">
      <alignment horizontal="centerContinuous" wrapText="1"/>
    </xf>
    <xf numFmtId="0" fontId="4" fillId="0" borderId="46" xfId="0" applyFont="1" applyFill="1" applyBorder="1" applyAlignment="1">
      <alignment horizontal="centerContinuous" wrapText="1"/>
    </xf>
    <xf numFmtId="0" fontId="2" fillId="0" borderId="9" xfId="0" applyFont="1" applyFill="1" applyBorder="1" applyAlignment="1">
      <alignment horizontal="centerContinuous" wrapText="1"/>
    </xf>
    <xf numFmtId="0" fontId="2" fillId="0" borderId="10" xfId="0" applyFont="1" applyFill="1" applyBorder="1" applyAlignment="1">
      <alignment horizontal="centerContinuous" wrapText="1"/>
    </xf>
    <xf numFmtId="0" fontId="9" fillId="14" borderId="3" xfId="0" quotePrefix="1" applyFont="1" applyFill="1" applyBorder="1" applyAlignment="1">
      <alignment horizontal="center" vertical="center"/>
    </xf>
    <xf numFmtId="0" fontId="7" fillId="14" borderId="74" xfId="0" applyNumberFormat="1" applyFont="1" applyFill="1" applyBorder="1" applyAlignment="1">
      <alignment horizontal="centerContinuous" vertical="center"/>
    </xf>
    <xf numFmtId="0" fontId="2" fillId="14" borderId="76" xfId="0" applyNumberFormat="1" applyFont="1" applyFill="1" applyBorder="1" applyAlignment="1">
      <alignment horizontal="centerContinuous" vertical="center"/>
    </xf>
    <xf numFmtId="0" fontId="7" fillId="7" borderId="3" xfId="0" quotePrefix="1" applyFont="1" applyFill="1" applyBorder="1" applyAlignment="1">
      <alignment horizontal="center" vertical="center"/>
    </xf>
    <xf numFmtId="0" fontId="67" fillId="0" borderId="34" xfId="0" applyFont="1" applyFill="1" applyBorder="1" applyAlignment="1">
      <alignment horizontal="center" vertical="center" shrinkToFit="1"/>
    </xf>
    <xf numFmtId="0" fontId="67" fillId="0" borderId="55" xfId="0" applyFont="1" applyFill="1" applyBorder="1" applyAlignment="1">
      <alignment horizontal="center" vertical="center" shrinkToFit="1"/>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6">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6600CC"/>
      <color rgb="FF00FF00"/>
      <color rgb="FFCCFFCC"/>
      <color rgb="FF0000FF"/>
      <color rgb="FF0099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Current Status</a:t>
          </a:r>
        </a:p>
        <a:p>
          <a:pPr algn="ctr" rtl="0">
            <a:defRPr sz="1000"/>
          </a:pPr>
          <a:endParaRPr lang="en-US" sz="14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75"/>
  <cols>
    <col min="1" max="1" width="22.625" style="223" customWidth="1"/>
    <col min="2" max="2" width="10" style="225" customWidth="1"/>
    <col min="3" max="3" width="5.5" style="225" customWidth="1"/>
    <col min="4" max="4" width="13.75" style="223" bestFit="1" customWidth="1"/>
    <col min="5" max="5" width="9.125" style="225" bestFit="1" customWidth="1"/>
    <col min="6" max="6" width="14.75" style="223" customWidth="1"/>
    <col min="7" max="7" width="17.125" style="225" customWidth="1"/>
    <col min="8" max="16384" width="13" style="42"/>
  </cols>
  <sheetData>
    <row r="1" spans="1:7" ht="29.25" thickTop="1" thickBot="1">
      <c r="A1" s="228" t="s">
        <v>248</v>
      </c>
      <c r="B1" s="229" t="s">
        <v>141</v>
      </c>
      <c r="C1" s="230"/>
      <c r="D1" s="231"/>
      <c r="E1" s="232"/>
      <c r="F1" s="231"/>
      <c r="G1" s="233" t="s">
        <v>138</v>
      </c>
    </row>
    <row r="2" spans="1:7" ht="17.25" thickTop="1">
      <c r="A2" s="234" t="s">
        <v>0</v>
      </c>
      <c r="B2" s="235" t="s">
        <v>98</v>
      </c>
      <c r="C2" s="235"/>
      <c r="D2" s="236" t="s">
        <v>113</v>
      </c>
      <c r="E2" s="237" t="s">
        <v>137</v>
      </c>
      <c r="F2" s="238"/>
      <c r="G2" s="239"/>
    </row>
    <row r="3" spans="1:7" ht="16.5">
      <c r="A3" s="234" t="s">
        <v>64</v>
      </c>
      <c r="B3" s="235" t="s">
        <v>249</v>
      </c>
      <c r="C3" s="235"/>
      <c r="D3" s="236" t="s">
        <v>65</v>
      </c>
      <c r="E3" s="237">
        <v>3</v>
      </c>
      <c r="F3" s="236"/>
      <c r="G3" s="239"/>
    </row>
    <row r="4" spans="1:7" ht="16.5">
      <c r="A4" s="234" t="s">
        <v>64</v>
      </c>
      <c r="B4" s="235" t="s">
        <v>256</v>
      </c>
      <c r="C4" s="235"/>
      <c r="D4" s="236" t="s">
        <v>65</v>
      </c>
      <c r="E4" s="237">
        <v>1</v>
      </c>
      <c r="F4" s="236"/>
      <c r="G4" s="239"/>
    </row>
    <row r="5" spans="1:7" ht="16.5">
      <c r="A5" s="234" t="s">
        <v>64</v>
      </c>
      <c r="B5" s="235" t="s">
        <v>257</v>
      </c>
      <c r="C5" s="235"/>
      <c r="D5" s="236" t="s">
        <v>65</v>
      </c>
      <c r="E5" s="237">
        <v>1</v>
      </c>
      <c r="F5" s="236"/>
      <c r="G5" s="239"/>
    </row>
    <row r="6" spans="1:7" ht="16.5">
      <c r="A6" s="234" t="s">
        <v>64</v>
      </c>
      <c r="B6" s="235" t="s">
        <v>258</v>
      </c>
      <c r="C6" s="235"/>
      <c r="D6" s="236" t="s">
        <v>65</v>
      </c>
      <c r="E6" s="237">
        <v>4</v>
      </c>
      <c r="F6" s="236"/>
      <c r="G6" s="239"/>
    </row>
    <row r="7" spans="1:7" ht="17.25" thickBot="1">
      <c r="A7" s="234" t="s">
        <v>66</v>
      </c>
      <c r="B7" s="235" t="s">
        <v>142</v>
      </c>
      <c r="C7" s="235"/>
      <c r="D7" s="236" t="s">
        <v>1</v>
      </c>
      <c r="E7" s="237" t="s">
        <v>143</v>
      </c>
      <c r="F7" s="236"/>
      <c r="G7" s="239"/>
    </row>
    <row r="8" spans="1:7" ht="17.25" thickTop="1">
      <c r="A8" s="240" t="s">
        <v>87</v>
      </c>
      <c r="B8" s="516">
        <f>4+1+1</f>
        <v>6</v>
      </c>
      <c r="C8" s="517"/>
      <c r="D8" s="241" t="s">
        <v>74</v>
      </c>
      <c r="E8" s="242" t="s">
        <v>144</v>
      </c>
      <c r="F8" s="243"/>
      <c r="G8" s="239"/>
    </row>
    <row r="9" spans="1:7" ht="17.25" thickBot="1">
      <c r="A9" s="244" t="s">
        <v>127</v>
      </c>
      <c r="B9" s="245" t="str">
        <f>C11</f>
        <v>+4</v>
      </c>
      <c r="C9" s="246"/>
      <c r="D9" s="247" t="s">
        <v>132</v>
      </c>
      <c r="E9" s="248" t="s">
        <v>144</v>
      </c>
      <c r="F9" s="243"/>
      <c r="G9" s="239"/>
    </row>
    <row r="10" spans="1:7" ht="17.25" thickTop="1">
      <c r="A10" s="249" t="s">
        <v>2</v>
      </c>
      <c r="B10" s="487">
        <f>7</f>
        <v>7</v>
      </c>
      <c r="C10" s="250">
        <f>IF(B10&gt;9.9,CONCATENATE("+",ROUNDDOWN((B10-10)/2,0)),ROUNDUP((B10-10)/2,0))</f>
        <v>-2</v>
      </c>
      <c r="D10" s="251" t="s">
        <v>72</v>
      </c>
      <c r="E10" s="357" t="s">
        <v>255</v>
      </c>
      <c r="F10" s="243"/>
      <c r="G10" s="239"/>
    </row>
    <row r="11" spans="1:7" ht="16.5">
      <c r="A11" s="252" t="s">
        <v>3</v>
      </c>
      <c r="B11" s="515">
        <f>15+4</f>
        <v>19</v>
      </c>
      <c r="C11" s="253" t="str">
        <f t="shared" ref="C11:C15" si="0">IF(B11&gt;9.9,CONCATENATE("+",ROUNDDOWN((B11-10)/2,0)),ROUNDUP((B11-10)/2,0))</f>
        <v>+4</v>
      </c>
      <c r="D11" s="254" t="s">
        <v>73</v>
      </c>
      <c r="E11" s="255">
        <f>SUM(Martial!G4:G17)+SUM(Equipment!C3:C14)+5</f>
        <v>10.25</v>
      </c>
      <c r="F11" s="243"/>
      <c r="G11" s="239"/>
    </row>
    <row r="12" spans="1:7" ht="16.5">
      <c r="A12" s="256" t="s">
        <v>12</v>
      </c>
      <c r="B12" s="518">
        <f>14-1</f>
        <v>13</v>
      </c>
      <c r="C12" s="258" t="str">
        <f t="shared" si="0"/>
        <v>+1</v>
      </c>
      <c r="D12" s="254" t="s">
        <v>14</v>
      </c>
      <c r="E12" s="259">
        <f>ROUNDUP(((E3*4)*0.75)+((E4*6)*0.75)+((E5*4)*0.75)+((E6*4)*0.75)+((E3+E4+E5+E6)*C12),0)</f>
        <v>38</v>
      </c>
      <c r="F12" s="243" t="s">
        <v>379</v>
      </c>
      <c r="G12" s="239"/>
    </row>
    <row r="13" spans="1:7" ht="16.5">
      <c r="A13" s="260" t="s">
        <v>13</v>
      </c>
      <c r="B13" s="356">
        <v>18</v>
      </c>
      <c r="C13" s="253" t="str">
        <f t="shared" si="0"/>
        <v>+4</v>
      </c>
      <c r="D13" s="261" t="s">
        <v>88</v>
      </c>
      <c r="E13" s="484">
        <f>11+C11+1</f>
        <v>16</v>
      </c>
      <c r="F13" s="473"/>
      <c r="G13" s="239"/>
    </row>
    <row r="14" spans="1:7" ht="16.5">
      <c r="A14" s="262" t="s">
        <v>15</v>
      </c>
      <c r="B14" s="257">
        <v>10</v>
      </c>
      <c r="C14" s="253" t="str">
        <f t="shared" si="0"/>
        <v>+0</v>
      </c>
      <c r="D14" s="261" t="s">
        <v>63</v>
      </c>
      <c r="E14" s="355">
        <f>E13+SUM(Martial!B12:B13)</f>
        <v>18</v>
      </c>
      <c r="F14" s="473"/>
      <c r="G14" s="239"/>
    </row>
    <row r="15" spans="1:7" ht="17.25" thickBot="1">
      <c r="A15" s="263" t="s">
        <v>11</v>
      </c>
      <c r="B15" s="264">
        <v>13</v>
      </c>
      <c r="C15" s="265" t="str">
        <f t="shared" si="0"/>
        <v>+1</v>
      </c>
      <c r="D15" s="266" t="s">
        <v>136</v>
      </c>
      <c r="E15" s="267">
        <f>E14-C11</f>
        <v>14</v>
      </c>
      <c r="F15" s="473"/>
      <c r="G15" s="239"/>
    </row>
    <row r="16" spans="1:7" s="7" customFormat="1" ht="17.25" thickTop="1">
      <c r="A16" s="268"/>
      <c r="B16" s="269"/>
      <c r="C16" s="269"/>
      <c r="D16" s="269"/>
      <c r="E16" s="269"/>
      <c r="F16" s="269"/>
      <c r="G16" s="270"/>
    </row>
    <row r="17" spans="1:7" s="7" customFormat="1" ht="16.5">
      <c r="A17" s="271"/>
      <c r="B17" s="272"/>
      <c r="C17" s="272"/>
      <c r="D17" s="272"/>
      <c r="E17" s="272"/>
      <c r="F17" s="272"/>
      <c r="G17" s="273"/>
    </row>
    <row r="18" spans="1:7" s="7" customFormat="1" ht="16.5">
      <c r="A18" s="271"/>
      <c r="B18" s="272"/>
      <c r="C18" s="272"/>
      <c r="D18" s="272"/>
      <c r="E18" s="272"/>
      <c r="F18" s="272"/>
      <c r="G18" s="273"/>
    </row>
    <row r="19" spans="1:7" s="7" customFormat="1" ht="16.5">
      <c r="A19" s="271"/>
      <c r="B19" s="272"/>
      <c r="C19" s="272"/>
      <c r="D19" s="272"/>
      <c r="E19" s="272"/>
      <c r="F19" s="272"/>
      <c r="G19" s="273"/>
    </row>
    <row r="20" spans="1:7" s="7" customFormat="1" ht="16.5">
      <c r="A20" s="271"/>
      <c r="B20" s="272"/>
      <c r="C20" s="272"/>
      <c r="D20" s="272"/>
      <c r="E20" s="272"/>
      <c r="F20" s="272"/>
      <c r="G20" s="273"/>
    </row>
    <row r="21" spans="1:7" s="7" customFormat="1" ht="16.5">
      <c r="A21" s="271"/>
      <c r="B21" s="272"/>
      <c r="C21" s="272"/>
      <c r="D21" s="272"/>
      <c r="E21" s="272"/>
      <c r="F21" s="272"/>
      <c r="G21" s="273"/>
    </row>
    <row r="22" spans="1:7" s="7" customFormat="1" ht="16.5">
      <c r="A22" s="271"/>
      <c r="B22" s="272"/>
      <c r="C22" s="272"/>
      <c r="D22" s="272"/>
      <c r="E22" s="272"/>
      <c r="F22" s="272"/>
      <c r="G22" s="273"/>
    </row>
    <row r="23" spans="1:7" ht="17.25" thickBot="1">
      <c r="A23" s="274"/>
      <c r="B23" s="275"/>
      <c r="C23" s="275"/>
      <c r="D23" s="275"/>
      <c r="E23" s="275"/>
      <c r="F23" s="275"/>
      <c r="G23" s="276"/>
    </row>
    <row r="24" spans="1:7" ht="16.5" thickTop="1"/>
  </sheetData>
  <phoneticPr fontId="0" type="noConversion"/>
  <conditionalFormatting sqref="E11">
    <cfRule type="cellIs" dxfId="35" priority="1" stopIfTrue="1" operator="greaterThan">
      <formula>50</formula>
    </cfRule>
    <cfRule type="cellIs" dxfId="34"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8"/>
  <sheetViews>
    <sheetView showGridLines="0" workbookViewId="0">
      <pane ySplit="2" topLeftCell="A3" activePane="bottomLeft" state="frozen"/>
      <selection pane="bottomLeft" activeCell="A3" sqref="A3"/>
    </sheetView>
  </sheetViews>
  <sheetFormatPr defaultColWidth="13" defaultRowHeight="15.75"/>
  <cols>
    <col min="1" max="1" width="31.5" style="223" bestFit="1" customWidth="1"/>
    <col min="2" max="2" width="5.875" style="223" bestFit="1" customWidth="1"/>
    <col min="3" max="3" width="7.625" style="225" hidden="1" customWidth="1"/>
    <col min="4" max="4" width="7.25" style="225" hidden="1" customWidth="1"/>
    <col min="5" max="5" width="9.25" style="225" bestFit="1" customWidth="1"/>
    <col min="6" max="6" width="7.375" style="225" customWidth="1"/>
    <col min="7" max="7" width="6" style="226" bestFit="1" customWidth="1"/>
    <col min="8" max="8" width="5.25" style="226" bestFit="1" customWidth="1"/>
    <col min="9" max="9" width="7.5" style="226" customWidth="1"/>
    <col min="10" max="10" width="26.625" style="223" customWidth="1"/>
    <col min="11" max="16384" width="13" style="42"/>
  </cols>
  <sheetData>
    <row r="1" spans="1:10" ht="24" thickBot="1">
      <c r="A1" s="152" t="s">
        <v>10</v>
      </c>
      <c r="B1" s="153"/>
      <c r="C1" s="153"/>
      <c r="D1" s="153"/>
      <c r="E1" s="153"/>
      <c r="F1" s="153"/>
      <c r="G1" s="154"/>
      <c r="H1" s="154"/>
      <c r="I1" s="154"/>
      <c r="J1" s="153"/>
    </row>
    <row r="2" spans="1:10" s="7" customFormat="1" ht="33.75" thickBot="1">
      <c r="A2" s="1" t="s">
        <v>105</v>
      </c>
      <c r="B2" s="2" t="s">
        <v>29</v>
      </c>
      <c r="C2" s="2" t="s">
        <v>36</v>
      </c>
      <c r="D2" s="2" t="s">
        <v>28</v>
      </c>
      <c r="E2" s="3" t="s">
        <v>61</v>
      </c>
      <c r="F2" s="3" t="s">
        <v>37</v>
      </c>
      <c r="G2" s="4" t="s">
        <v>67</v>
      </c>
      <c r="H2" s="5" t="s">
        <v>95</v>
      </c>
      <c r="I2" s="4" t="s">
        <v>81</v>
      </c>
      <c r="J2" s="6" t="s">
        <v>79</v>
      </c>
    </row>
    <row r="3" spans="1:10" s="7" customFormat="1" ht="16.5">
      <c r="A3" s="328" t="s">
        <v>240</v>
      </c>
      <c r="B3" s="329">
        <v>2</v>
      </c>
      <c r="C3" s="129" t="s">
        <v>31</v>
      </c>
      <c r="D3" s="129" t="str">
        <f>IF(C3="Str",'Personal File'!$C$10,IF(C3="Dex",'Personal File'!$C$11,IF(C3="Con",'Personal File'!$C$12,IF(C3="Int",'Personal File'!$C$13,IF(C3="Wis",'Personal File'!$C$14,IF(C3="Cha",'Personal File'!$C$15))))))</f>
        <v>+1</v>
      </c>
      <c r="E3" s="335" t="str">
        <f t="shared" ref="E3" si="0">CONCATENATE(C3," (",D3,")")</f>
        <v>Con (+1)</v>
      </c>
      <c r="F3" s="330">
        <v>0</v>
      </c>
      <c r="G3" s="331">
        <f t="shared" ref="G3:G4" si="1">B3+D3+F3</f>
        <v>3</v>
      </c>
      <c r="H3" s="155">
        <f t="shared" ref="H3:H56" ca="1" si="2">RANDBETWEEN(1,20)</f>
        <v>8</v>
      </c>
      <c r="I3" s="332">
        <f t="shared" ref="I3:I4" ca="1" si="3">SUM(G3:H3)</f>
        <v>11</v>
      </c>
      <c r="J3" s="474"/>
    </row>
    <row r="4" spans="1:10" s="7" customFormat="1" ht="16.5">
      <c r="A4" s="333" t="s">
        <v>241</v>
      </c>
      <c r="B4" s="329">
        <v>2</v>
      </c>
      <c r="C4" s="129" t="s">
        <v>34</v>
      </c>
      <c r="D4" s="129" t="str">
        <f>IF(C4="Str",'Personal File'!$C$10,IF(C4="Dex",'Personal File'!$C$11,IF(C4="Con",'Personal File'!$C$12,IF(C4="Int",'Personal File'!$C$13,IF(C4="Wis",'Personal File'!$C$14,IF(C4="Cha",'Personal File'!$C$15))))))</f>
        <v>+4</v>
      </c>
      <c r="E4" s="156" t="str">
        <f t="shared" ref="E4" si="4">CONCATENATE(C4," (",D4,")")</f>
        <v>Dex (+4)</v>
      </c>
      <c r="F4" s="330">
        <v>0</v>
      </c>
      <c r="G4" s="331">
        <f t="shared" si="1"/>
        <v>6</v>
      </c>
      <c r="H4" s="155">
        <f t="shared" ca="1" si="2"/>
        <v>19</v>
      </c>
      <c r="I4" s="332">
        <f t="shared" ca="1" si="3"/>
        <v>25</v>
      </c>
      <c r="J4" s="214" t="s">
        <v>374</v>
      </c>
    </row>
    <row r="5" spans="1:10" s="7" customFormat="1" ht="16.5">
      <c r="A5" s="157" t="s">
        <v>69</v>
      </c>
      <c r="B5" s="158">
        <v>11</v>
      </c>
      <c r="C5" s="159" t="s">
        <v>33</v>
      </c>
      <c r="D5" s="159" t="str">
        <f>IF(C5="Str",'Personal File'!$C$10,IF(C5="Dex",'Personal File'!$C$11,IF(C5="Con",'Personal File'!$C$12,IF(C5="Int",'Personal File'!$C$13,IF(C5="Wis",'Personal File'!$C$14,IF(C5="Cha",'Personal File'!$C$15))))))</f>
        <v>+0</v>
      </c>
      <c r="E5" s="160" t="str">
        <f t="shared" ref="E5:E6" si="5">CONCATENATE(C5," (",D5,")")</f>
        <v>Wis (+0)</v>
      </c>
      <c r="F5" s="161">
        <v>0</v>
      </c>
      <c r="G5" s="162">
        <f t="shared" ref="G5:G58" si="6">B5+D5+F5</f>
        <v>11</v>
      </c>
      <c r="H5" s="163">
        <f t="shared" ca="1" si="2"/>
        <v>17</v>
      </c>
      <c r="I5" s="164">
        <f t="shared" ref="I5" ca="1" si="7">SUM(G5:H5)</f>
        <v>28</v>
      </c>
      <c r="J5" s="334"/>
    </row>
    <row r="6" spans="1:10" s="172" customFormat="1" ht="16.5">
      <c r="A6" s="190" t="s">
        <v>38</v>
      </c>
      <c r="B6" s="130">
        <v>0</v>
      </c>
      <c r="C6" s="191" t="s">
        <v>32</v>
      </c>
      <c r="D6" s="192" t="str">
        <f>IF(C6="Str",'Personal File'!$C$10,IF(C6="Dex",'Personal File'!$C$11,IF(C6="Con",'Personal File'!$C$12,IF(C6="Int",'Personal File'!$C$13,IF(C6="Wis",'Personal File'!$C$14,IF(C6="Cha",'Personal File'!$C$15))))))</f>
        <v>+4</v>
      </c>
      <c r="E6" s="193" t="str">
        <f t="shared" si="5"/>
        <v>Int (+4)</v>
      </c>
      <c r="F6" s="178" t="s">
        <v>62</v>
      </c>
      <c r="G6" s="178">
        <f t="shared" si="6"/>
        <v>4</v>
      </c>
      <c r="H6" s="372">
        <f t="shared" ca="1" si="2"/>
        <v>9</v>
      </c>
      <c r="I6" s="178">
        <f ca="1">SUM(G6:H6)</f>
        <v>13</v>
      </c>
      <c r="J6" s="214"/>
    </row>
    <row r="7" spans="1:10" s="173" customFormat="1" ht="16.5">
      <c r="A7" s="187" t="s">
        <v>39</v>
      </c>
      <c r="B7" s="130">
        <v>0</v>
      </c>
      <c r="C7" s="188" t="s">
        <v>34</v>
      </c>
      <c r="D7" s="189" t="str">
        <f>IF(C7="Str",'Personal File'!$C$10,IF(C7="Dex",'Personal File'!$C$11,IF(C7="Con",'Personal File'!$C$12,IF(C7="Int",'Personal File'!$C$13,IF(C7="Wis",'Personal File'!$C$14,IF(C7="Cha",'Personal File'!$C$15))))))</f>
        <v>+4</v>
      </c>
      <c r="E7" s="156" t="str">
        <f t="shared" ref="E7:E58" si="8">CONCATENATE(C7," (",D7,")")</f>
        <v>Dex (+4)</v>
      </c>
      <c r="F7" s="178" t="s">
        <v>62</v>
      </c>
      <c r="G7" s="178">
        <f t="shared" si="6"/>
        <v>4</v>
      </c>
      <c r="H7" s="155">
        <f t="shared" ca="1" si="2"/>
        <v>2</v>
      </c>
      <c r="I7" s="178">
        <f t="shared" ref="I7" ca="1" si="9">SUM(G7:H7)</f>
        <v>6</v>
      </c>
      <c r="J7" s="214"/>
    </row>
    <row r="8" spans="1:10" s="180" customFormat="1" ht="16.5">
      <c r="A8" s="174" t="s">
        <v>40</v>
      </c>
      <c r="B8" s="130">
        <v>0</v>
      </c>
      <c r="C8" s="175" t="s">
        <v>30</v>
      </c>
      <c r="D8" s="176" t="str">
        <f>IF(C8="Str",'Personal File'!$C$10,IF(C8="Dex",'Personal File'!$C$11,IF(C8="Con",'Personal File'!$C$12,IF(C8="Int",'Personal File'!$C$13,IF(C8="Wis",'Personal File'!$C$14,IF(C8="Cha",'Personal File'!$C$15))))))</f>
        <v>+1</v>
      </c>
      <c r="E8" s="177" t="str">
        <f t="shared" si="8"/>
        <v>Cha (+1)</v>
      </c>
      <c r="F8" s="178" t="s">
        <v>62</v>
      </c>
      <c r="G8" s="178">
        <f t="shared" si="6"/>
        <v>1</v>
      </c>
      <c r="H8" s="155">
        <f t="shared" ca="1" si="2"/>
        <v>10</v>
      </c>
      <c r="I8" s="178">
        <f t="shared" ref="I8:I58" ca="1" si="10">SUM(G8:H8)</f>
        <v>11</v>
      </c>
      <c r="J8" s="214"/>
    </row>
    <row r="9" spans="1:10" s="181" customFormat="1" ht="16.5">
      <c r="A9" s="205" t="s">
        <v>41</v>
      </c>
      <c r="B9" s="130">
        <v>0</v>
      </c>
      <c r="C9" s="206" t="s">
        <v>35</v>
      </c>
      <c r="D9" s="207">
        <f>IF(C9="Str",'Personal File'!$C$10,IF(C9="Dex",'Personal File'!$C$11,IF(C9="Con",'Personal File'!$C$12,IF(C9="Int",'Personal File'!$C$13,IF(C9="Wis",'Personal File'!$C$14,IF(C9="Cha",'Personal File'!$C$15))))))</f>
        <v>-2</v>
      </c>
      <c r="E9" s="208" t="str">
        <f t="shared" si="8"/>
        <v>Str (-2)</v>
      </c>
      <c r="F9" s="178" t="s">
        <v>62</v>
      </c>
      <c r="G9" s="178">
        <f t="shared" si="6"/>
        <v>-2</v>
      </c>
      <c r="H9" s="155">
        <f t="shared" ca="1" si="2"/>
        <v>8</v>
      </c>
      <c r="I9" s="178">
        <f t="shared" ca="1" si="10"/>
        <v>6</v>
      </c>
      <c r="J9" s="214"/>
    </row>
    <row r="10" spans="1:10" s="181" customFormat="1" ht="16.5">
      <c r="A10" s="182" t="s">
        <v>16</v>
      </c>
      <c r="B10" s="166">
        <v>9</v>
      </c>
      <c r="C10" s="183" t="s">
        <v>31</v>
      </c>
      <c r="D10" s="184" t="str">
        <f>IF(C10="Str",'Personal File'!$C$10,IF(C10="Dex",'Personal File'!$C$11,IF(C10="Con",'Personal File'!$C$12,IF(C10="Int",'Personal File'!$C$13,IF(C10="Wis",'Personal File'!$C$14,IF(C10="Cha",'Personal File'!$C$15))))))</f>
        <v>+1</v>
      </c>
      <c r="E10" s="185" t="str">
        <f t="shared" si="8"/>
        <v>Con (+1)</v>
      </c>
      <c r="F10" s="170" t="s">
        <v>62</v>
      </c>
      <c r="G10" s="170">
        <f t="shared" si="6"/>
        <v>10</v>
      </c>
      <c r="H10" s="155">
        <f t="shared" ca="1" si="2"/>
        <v>9</v>
      </c>
      <c r="I10" s="170">
        <f t="shared" ca="1" si="10"/>
        <v>19</v>
      </c>
      <c r="J10" s="213"/>
    </row>
    <row r="11" spans="1:10" s="172" customFormat="1" ht="16.5">
      <c r="A11" s="190" t="s">
        <v>284</v>
      </c>
      <c r="B11" s="130">
        <v>0</v>
      </c>
      <c r="C11" s="191" t="s">
        <v>32</v>
      </c>
      <c r="D11" s="192" t="str">
        <f>IF(C11="Str",'Personal File'!$C$10,IF(C11="Dex",'Personal File'!$C$11,IF(C11="Con",'Personal File'!$C$12,IF(C11="Int",'Personal File'!$C$13,IF(C11="Wis",'Personal File'!$C$14,IF(C11="Cha",'Personal File'!$C$15))))))</f>
        <v>+4</v>
      </c>
      <c r="E11" s="193" t="str">
        <f t="shared" si="8"/>
        <v>Int (+4)</v>
      </c>
      <c r="F11" s="178" t="s">
        <v>62</v>
      </c>
      <c r="G11" s="178">
        <f t="shared" si="6"/>
        <v>4</v>
      </c>
      <c r="H11" s="155">
        <f t="shared" ca="1" si="2"/>
        <v>6</v>
      </c>
      <c r="I11" s="277">
        <f t="shared" ca="1" si="10"/>
        <v>10</v>
      </c>
      <c r="J11" s="364"/>
    </row>
    <row r="12" spans="1:10" s="186" customFormat="1" ht="16.5">
      <c r="A12" s="209" t="s">
        <v>42</v>
      </c>
      <c r="B12" s="195">
        <v>0</v>
      </c>
      <c r="C12" s="210" t="s">
        <v>32</v>
      </c>
      <c r="D12" s="211" t="str">
        <f>IF(C12="Str",'Personal File'!$C$10,IF(C12="Dex",'Personal File'!$C$11,IF(C12="Con",'Personal File'!$C$12,IF(C12="Int",'Personal File'!$C$13,IF(C12="Wis",'Personal File'!$C$14,IF(C12="Cha",'Personal File'!$C$15))))))</f>
        <v>+4</v>
      </c>
      <c r="E12" s="212" t="str">
        <f t="shared" si="8"/>
        <v>Int (+4)</v>
      </c>
      <c r="F12" s="199" t="s">
        <v>62</v>
      </c>
      <c r="G12" s="199">
        <f t="shared" si="6"/>
        <v>4</v>
      </c>
      <c r="H12" s="155">
        <f t="shared" ca="1" si="2"/>
        <v>16</v>
      </c>
      <c r="I12" s="199">
        <f t="shared" ca="1" si="10"/>
        <v>20</v>
      </c>
      <c r="J12" s="475"/>
    </row>
    <row r="13" spans="1:10" s="173" customFormat="1" ht="16.5">
      <c r="A13" s="174" t="s">
        <v>43</v>
      </c>
      <c r="B13" s="130">
        <v>0</v>
      </c>
      <c r="C13" s="175" t="s">
        <v>30</v>
      </c>
      <c r="D13" s="176" t="str">
        <f>IF(C13="Str",'Personal File'!$C$10,IF(C13="Dex",'Personal File'!$C$11,IF(C13="Con",'Personal File'!$C$12,IF(C13="Int",'Personal File'!$C$13,IF(C13="Wis",'Personal File'!$C$14,IF(C13="Cha",'Personal File'!$C$15))))))</f>
        <v>+1</v>
      </c>
      <c r="E13" s="177" t="str">
        <f t="shared" si="8"/>
        <v>Cha (+1)</v>
      </c>
      <c r="F13" s="178" t="s">
        <v>62</v>
      </c>
      <c r="G13" s="178">
        <f t="shared" si="6"/>
        <v>1</v>
      </c>
      <c r="H13" s="155">
        <f t="shared" ca="1" si="2"/>
        <v>1</v>
      </c>
      <c r="I13" s="178">
        <f t="shared" ca="1" si="10"/>
        <v>2</v>
      </c>
      <c r="J13" s="214"/>
    </row>
    <row r="14" spans="1:10" s="173" customFormat="1" ht="16.5">
      <c r="A14" s="209" t="s">
        <v>44</v>
      </c>
      <c r="B14" s="195">
        <v>0</v>
      </c>
      <c r="C14" s="210" t="s">
        <v>32</v>
      </c>
      <c r="D14" s="211" t="str">
        <f>IF(C14="Str",'Personal File'!$C$10,IF(C14="Dex",'Personal File'!$C$11,IF(C14="Con",'Personal File'!$C$12,IF(C14="Int",'Personal File'!$C$13,IF(C14="Wis",'Personal File'!$C$14,IF(C14="Cha",'Personal File'!$C$15))))))</f>
        <v>+4</v>
      </c>
      <c r="E14" s="212" t="str">
        <f t="shared" si="8"/>
        <v>Int (+4)</v>
      </c>
      <c r="F14" s="199" t="s">
        <v>62</v>
      </c>
      <c r="G14" s="199">
        <f t="shared" si="6"/>
        <v>4</v>
      </c>
      <c r="H14" s="155">
        <f t="shared" ca="1" si="2"/>
        <v>7</v>
      </c>
      <c r="I14" s="199">
        <f t="shared" ca="1" si="10"/>
        <v>11</v>
      </c>
      <c r="J14" s="200"/>
    </row>
    <row r="15" spans="1:10" s="173" customFormat="1" ht="16.5">
      <c r="A15" s="174" t="s">
        <v>45</v>
      </c>
      <c r="B15" s="130">
        <v>0</v>
      </c>
      <c r="C15" s="175" t="s">
        <v>30</v>
      </c>
      <c r="D15" s="176" t="str">
        <f>IF(C15="Str",'Personal File'!$C$10,IF(C15="Dex",'Personal File'!$C$11,IF(C15="Con",'Personal File'!$C$12,IF(C15="Int",'Personal File'!$C$13,IF(C15="Wis",'Personal File'!$C$14,IF(C15="Cha",'Personal File'!$C$15))))))</f>
        <v>+1</v>
      </c>
      <c r="E15" s="177" t="str">
        <f t="shared" si="8"/>
        <v>Cha (+1)</v>
      </c>
      <c r="F15" s="178" t="s">
        <v>62</v>
      </c>
      <c r="G15" s="178">
        <f t="shared" si="6"/>
        <v>1</v>
      </c>
      <c r="H15" s="155">
        <f t="shared" ca="1" si="2"/>
        <v>18</v>
      </c>
      <c r="I15" s="178">
        <f t="shared" ca="1" si="10"/>
        <v>19</v>
      </c>
      <c r="J15" s="179"/>
    </row>
    <row r="16" spans="1:10" s="173" customFormat="1" ht="16.5">
      <c r="A16" s="187" t="s">
        <v>46</v>
      </c>
      <c r="B16" s="130">
        <v>0</v>
      </c>
      <c r="C16" s="188" t="s">
        <v>34</v>
      </c>
      <c r="D16" s="189" t="str">
        <f>IF(C16="Str",'Personal File'!$C$10,IF(C16="Dex",'Personal File'!$C$11,IF(C16="Con",'Personal File'!$C$12,IF(C16="Int",'Personal File'!$C$13,IF(C16="Wis",'Personal File'!$C$14,IF(C16="Cha",'Personal File'!$C$15))))))</f>
        <v>+4</v>
      </c>
      <c r="E16" s="156" t="str">
        <f t="shared" si="8"/>
        <v>Dex (+4)</v>
      </c>
      <c r="F16" s="178" t="s">
        <v>62</v>
      </c>
      <c r="G16" s="178">
        <f t="shared" si="6"/>
        <v>4</v>
      </c>
      <c r="H16" s="155">
        <f t="shared" ca="1" si="2"/>
        <v>6</v>
      </c>
      <c r="I16" s="178">
        <f t="shared" ca="1" si="10"/>
        <v>10</v>
      </c>
      <c r="J16" s="179"/>
    </row>
    <row r="17" spans="1:10" s="173" customFormat="1" ht="16.5">
      <c r="A17" s="190" t="s">
        <v>47</v>
      </c>
      <c r="B17" s="130">
        <v>0</v>
      </c>
      <c r="C17" s="191" t="s">
        <v>32</v>
      </c>
      <c r="D17" s="192" t="str">
        <f>IF(C17="Str",'Personal File'!$C$10,IF(C17="Dex",'Personal File'!$C$11,IF(C17="Con",'Personal File'!$C$12,IF(C17="Int",'Personal File'!$C$13,IF(C17="Wis",'Personal File'!$C$14,IF(C17="Cha",'Personal File'!$C$15))))))</f>
        <v>+4</v>
      </c>
      <c r="E17" s="193" t="str">
        <f t="shared" si="8"/>
        <v>Int (+4)</v>
      </c>
      <c r="F17" s="178" t="s">
        <v>62</v>
      </c>
      <c r="G17" s="178">
        <f t="shared" si="6"/>
        <v>4</v>
      </c>
      <c r="H17" s="155">
        <f t="shared" ca="1" si="2"/>
        <v>17</v>
      </c>
      <c r="I17" s="178">
        <f t="shared" ca="1" si="10"/>
        <v>21</v>
      </c>
      <c r="J17" s="179"/>
    </row>
    <row r="18" spans="1:10" s="173" customFormat="1" ht="16.5">
      <c r="A18" s="174" t="s">
        <v>48</v>
      </c>
      <c r="B18" s="130">
        <v>0</v>
      </c>
      <c r="C18" s="175" t="s">
        <v>30</v>
      </c>
      <c r="D18" s="176" t="str">
        <f>IF(C18="Str",'Personal File'!$C$10,IF(C18="Dex",'Personal File'!$C$11,IF(C18="Con",'Personal File'!$C$12,IF(C18="Int",'Personal File'!$C$13,IF(C18="Wis",'Personal File'!$C$14,IF(C18="Cha",'Personal File'!$C$15))))))</f>
        <v>+1</v>
      </c>
      <c r="E18" s="177" t="str">
        <f t="shared" si="8"/>
        <v>Cha (+1)</v>
      </c>
      <c r="F18" s="178" t="s">
        <v>62</v>
      </c>
      <c r="G18" s="178">
        <f t="shared" si="6"/>
        <v>1</v>
      </c>
      <c r="H18" s="155">
        <f t="shared" ca="1" si="2"/>
        <v>7</v>
      </c>
      <c r="I18" s="178">
        <f t="shared" ca="1" si="10"/>
        <v>8</v>
      </c>
      <c r="J18" s="179"/>
    </row>
    <row r="19" spans="1:10" s="173" customFormat="1" ht="16.5">
      <c r="A19" s="194" t="s">
        <v>18</v>
      </c>
      <c r="B19" s="195">
        <v>0</v>
      </c>
      <c r="C19" s="196" t="s">
        <v>30</v>
      </c>
      <c r="D19" s="197" t="str">
        <f>IF(C19="Str",'Personal File'!$C$10,IF(C19="Dex",'Personal File'!$C$11,IF(C19="Con",'Personal File'!$C$12,IF(C19="Int",'Personal File'!$C$13,IF(C19="Wis",'Personal File'!$C$14,IF(C19="Cha",'Personal File'!$C$15))))))</f>
        <v>+1</v>
      </c>
      <c r="E19" s="198" t="str">
        <f t="shared" si="8"/>
        <v>Cha (+1)</v>
      </c>
      <c r="F19" s="199" t="s">
        <v>62</v>
      </c>
      <c r="G19" s="199">
        <f t="shared" si="6"/>
        <v>1</v>
      </c>
      <c r="H19" s="155">
        <f t="shared" ca="1" si="2"/>
        <v>15</v>
      </c>
      <c r="I19" s="199">
        <f t="shared" ca="1" si="10"/>
        <v>16</v>
      </c>
      <c r="J19" s="200"/>
    </row>
    <row r="20" spans="1:10" s="173" customFormat="1" ht="16.5">
      <c r="A20" s="201" t="s">
        <v>49</v>
      </c>
      <c r="B20" s="130">
        <v>0</v>
      </c>
      <c r="C20" s="202" t="s">
        <v>33</v>
      </c>
      <c r="D20" s="203" t="str">
        <f>IF(C20="Str",'Personal File'!$C$10,IF(C20="Dex",'Personal File'!$C$11,IF(C20="Con",'Personal File'!$C$12,IF(C20="Int",'Personal File'!$C$13,IF(C20="Wis",'Personal File'!$C$14,IF(C20="Cha",'Personal File'!$C$15))))))</f>
        <v>+0</v>
      </c>
      <c r="E20" s="204" t="str">
        <f t="shared" si="8"/>
        <v>Wis (+0)</v>
      </c>
      <c r="F20" s="178" t="s">
        <v>62</v>
      </c>
      <c r="G20" s="178">
        <f t="shared" si="6"/>
        <v>0</v>
      </c>
      <c r="H20" s="155">
        <f t="shared" ca="1" si="2"/>
        <v>19</v>
      </c>
      <c r="I20" s="178">
        <f t="shared" ca="1" si="10"/>
        <v>19</v>
      </c>
      <c r="J20" s="179"/>
    </row>
    <row r="21" spans="1:10" s="173" customFormat="1" ht="16.5">
      <c r="A21" s="187" t="s">
        <v>50</v>
      </c>
      <c r="B21" s="130">
        <v>0</v>
      </c>
      <c r="C21" s="188" t="s">
        <v>34</v>
      </c>
      <c r="D21" s="189" t="str">
        <f>IF(C21="Str",'Personal File'!$C$10,IF(C21="Dex",'Personal File'!$C$11,IF(C21="Con",'Personal File'!$C$12,IF(C21="Int",'Personal File'!$C$13,IF(C21="Wis",'Personal File'!$C$14,IF(C21="Cha",'Personal File'!$C$15))))))</f>
        <v>+4</v>
      </c>
      <c r="E21" s="156" t="str">
        <f t="shared" si="8"/>
        <v>Dex (+4)</v>
      </c>
      <c r="F21" s="178" t="s">
        <v>163</v>
      </c>
      <c r="G21" s="178">
        <f t="shared" si="6"/>
        <v>12</v>
      </c>
      <c r="H21" s="155">
        <f t="shared" ca="1" si="2"/>
        <v>14</v>
      </c>
      <c r="I21" s="178">
        <f t="shared" ca="1" si="10"/>
        <v>26</v>
      </c>
      <c r="J21" s="179"/>
    </row>
    <row r="22" spans="1:10" s="173" customFormat="1" ht="16.5">
      <c r="A22" s="174" t="s">
        <v>51</v>
      </c>
      <c r="B22" s="130">
        <v>0</v>
      </c>
      <c r="C22" s="175" t="s">
        <v>30</v>
      </c>
      <c r="D22" s="176" t="str">
        <f>IF(C22="Str",'Personal File'!$C$10,IF(C22="Dex",'Personal File'!$C$11,IF(C22="Con",'Personal File'!$C$12,IF(C22="Int",'Personal File'!$C$13,IF(C22="Wis",'Personal File'!$C$14,IF(C22="Cha",'Personal File'!$C$15))))))</f>
        <v>+1</v>
      </c>
      <c r="E22" s="177" t="str">
        <f t="shared" si="8"/>
        <v>Cha (+1)</v>
      </c>
      <c r="F22" s="178" t="s">
        <v>62</v>
      </c>
      <c r="G22" s="178">
        <f t="shared" si="6"/>
        <v>1</v>
      </c>
      <c r="H22" s="155">
        <f t="shared" ca="1" si="2"/>
        <v>1</v>
      </c>
      <c r="I22" s="178">
        <f t="shared" ca="1" si="10"/>
        <v>2</v>
      </c>
      <c r="J22" s="179"/>
    </row>
    <row r="23" spans="1:10" s="173" customFormat="1" ht="16.5">
      <c r="A23" s="205" t="s">
        <v>52</v>
      </c>
      <c r="B23" s="130">
        <v>0</v>
      </c>
      <c r="C23" s="206" t="s">
        <v>35</v>
      </c>
      <c r="D23" s="207">
        <f>IF(C23="Str",'Personal File'!$C$10,IF(C23="Dex",'Personal File'!$C$11,IF(C23="Con",'Personal File'!$C$12,IF(C23="Int",'Personal File'!$C$13,IF(C23="Wis",'Personal File'!$C$14,IF(C23="Cha",'Personal File'!$C$15))))))</f>
        <v>-2</v>
      </c>
      <c r="E23" s="208" t="str">
        <f t="shared" si="8"/>
        <v>Str (-2)</v>
      </c>
      <c r="F23" s="178" t="s">
        <v>62</v>
      </c>
      <c r="G23" s="178">
        <f t="shared" si="6"/>
        <v>-2</v>
      </c>
      <c r="H23" s="155">
        <f t="shared" ca="1" si="2"/>
        <v>7</v>
      </c>
      <c r="I23" s="178">
        <f t="shared" ca="1" si="10"/>
        <v>5</v>
      </c>
      <c r="J23" s="179"/>
    </row>
    <row r="24" spans="1:10" s="173" customFormat="1" ht="16.5">
      <c r="A24" s="165" t="s">
        <v>84</v>
      </c>
      <c r="B24" s="166">
        <v>12</v>
      </c>
      <c r="C24" s="167" t="s">
        <v>32</v>
      </c>
      <c r="D24" s="168" t="str">
        <f>IF(C24="Str",'Personal File'!$C$10,IF(C24="Dex",'Personal File'!$C$11,IF(C24="Con",'Personal File'!$C$12,IF(C24="Int",'Personal File'!$C$13,IF(C24="Wis",'Personal File'!$C$14,IF(C24="Cha",'Personal File'!$C$15))))))</f>
        <v>+4</v>
      </c>
      <c r="E24" s="169" t="str">
        <f t="shared" si="8"/>
        <v>Int (+4)</v>
      </c>
      <c r="F24" s="170" t="s">
        <v>62</v>
      </c>
      <c r="G24" s="170">
        <f t="shared" si="6"/>
        <v>16</v>
      </c>
      <c r="H24" s="155">
        <f t="shared" ca="1" si="2"/>
        <v>19</v>
      </c>
      <c r="I24" s="170">
        <f t="shared" ca="1" si="10"/>
        <v>35</v>
      </c>
      <c r="J24" s="171"/>
    </row>
    <row r="25" spans="1:10" s="173" customFormat="1" ht="16.5">
      <c r="A25" s="209" t="s">
        <v>123</v>
      </c>
      <c r="B25" s="195">
        <v>0</v>
      </c>
      <c r="C25" s="210" t="s">
        <v>32</v>
      </c>
      <c r="D25" s="211" t="str">
        <f>IF(C25="Str",'Personal File'!$C$10,IF(C25="Dex",'Personal File'!$C$11,IF(C25="Con",'Personal File'!$C$12,IF(C25="Int",'Personal File'!$C$13,IF(C25="Wis",'Personal File'!$C$14,IF(C25="Cha",'Personal File'!$C$15))))))</f>
        <v>+4</v>
      </c>
      <c r="E25" s="212" t="str">
        <f t="shared" si="8"/>
        <v>Int (+4)</v>
      </c>
      <c r="F25" s="199" t="s">
        <v>62</v>
      </c>
      <c r="G25" s="199">
        <f t="shared" si="6"/>
        <v>4</v>
      </c>
      <c r="H25" s="155">
        <f t="shared" ca="1" si="2"/>
        <v>8</v>
      </c>
      <c r="I25" s="199">
        <f t="shared" ref="I25" ca="1" si="11">SUM(G25:H25)</f>
        <v>12</v>
      </c>
      <c r="J25" s="200"/>
    </row>
    <row r="26" spans="1:10" s="173" customFormat="1" ht="16.5">
      <c r="A26" s="209" t="s">
        <v>104</v>
      </c>
      <c r="B26" s="195">
        <v>0</v>
      </c>
      <c r="C26" s="210" t="s">
        <v>32</v>
      </c>
      <c r="D26" s="211" t="str">
        <f>IF(C26="Str",'Personal File'!$C$10,IF(C26="Dex",'Personal File'!$C$11,IF(C26="Con",'Personal File'!$C$12,IF(C26="Int",'Personal File'!$C$13,IF(C26="Wis",'Personal File'!$C$14,IF(C26="Cha",'Personal File'!$C$15))))))</f>
        <v>+4</v>
      </c>
      <c r="E26" s="212" t="str">
        <f t="shared" ref="E26:E27" si="12">CONCATENATE(C26," (",D26,")")</f>
        <v>Int (+4)</v>
      </c>
      <c r="F26" s="199" t="s">
        <v>62</v>
      </c>
      <c r="G26" s="199">
        <f t="shared" si="6"/>
        <v>4</v>
      </c>
      <c r="H26" s="155">
        <f t="shared" ca="1" si="2"/>
        <v>19</v>
      </c>
      <c r="I26" s="199">
        <f t="shared" ref="I26" ca="1" si="13">SUM(G26:H26)</f>
        <v>23</v>
      </c>
      <c r="J26" s="200"/>
    </row>
    <row r="27" spans="1:10" s="173" customFormat="1" ht="16.5">
      <c r="A27" s="209" t="s">
        <v>124</v>
      </c>
      <c r="B27" s="195">
        <v>0</v>
      </c>
      <c r="C27" s="210" t="s">
        <v>32</v>
      </c>
      <c r="D27" s="211" t="str">
        <f>IF(C27="Str",'Personal File'!$C$10,IF(C27="Dex",'Personal File'!$C$11,IF(C27="Con",'Personal File'!$C$12,IF(C27="Int",'Personal File'!$C$13,IF(C27="Wis",'Personal File'!$C$14,IF(C27="Cha",'Personal File'!$C$15))))))</f>
        <v>+4</v>
      </c>
      <c r="E27" s="212" t="str">
        <f t="shared" si="12"/>
        <v>Int (+4)</v>
      </c>
      <c r="F27" s="199" t="s">
        <v>62</v>
      </c>
      <c r="G27" s="199">
        <f t="shared" si="6"/>
        <v>4</v>
      </c>
      <c r="H27" s="155">
        <f t="shared" ca="1" si="2"/>
        <v>4</v>
      </c>
      <c r="I27" s="199">
        <f t="shared" ref="I27" ca="1" si="14">SUM(G27:H27)</f>
        <v>8</v>
      </c>
      <c r="J27" s="200"/>
    </row>
    <row r="28" spans="1:10" s="173" customFormat="1" ht="16.5">
      <c r="A28" s="209" t="s">
        <v>92</v>
      </c>
      <c r="B28" s="195">
        <v>0</v>
      </c>
      <c r="C28" s="210" t="s">
        <v>32</v>
      </c>
      <c r="D28" s="211" t="str">
        <f>IF(C28="Str",'Personal File'!$C$10,IF(C28="Dex",'Personal File'!$C$11,IF(C28="Con",'Personal File'!$C$12,IF(C28="Int",'Personal File'!$C$13,IF(C28="Wis",'Personal File'!$C$14,IF(C28="Cha",'Personal File'!$C$15))))))</f>
        <v>+4</v>
      </c>
      <c r="E28" s="212" t="str">
        <f t="shared" ref="E28:E32" si="15">CONCATENATE(C28," (",D28,")")</f>
        <v>Int (+4)</v>
      </c>
      <c r="F28" s="199" t="s">
        <v>62</v>
      </c>
      <c r="G28" s="199">
        <f t="shared" si="6"/>
        <v>4</v>
      </c>
      <c r="H28" s="155">
        <f t="shared" ca="1" si="2"/>
        <v>3</v>
      </c>
      <c r="I28" s="199">
        <f t="shared" ca="1" si="10"/>
        <v>7</v>
      </c>
      <c r="J28" s="200"/>
    </row>
    <row r="29" spans="1:10" s="173" customFormat="1" ht="16.5">
      <c r="A29" s="209" t="s">
        <v>135</v>
      </c>
      <c r="B29" s="195">
        <v>0</v>
      </c>
      <c r="C29" s="210" t="s">
        <v>32</v>
      </c>
      <c r="D29" s="211" t="str">
        <f>IF(C29="Str",'Personal File'!$C$10,IF(C29="Dex",'Personal File'!$C$11,IF(C29="Con",'Personal File'!$C$12,IF(C29="Int",'Personal File'!$C$13,IF(C29="Wis",'Personal File'!$C$14,IF(C29="Cha",'Personal File'!$C$15))))))</f>
        <v>+4</v>
      </c>
      <c r="E29" s="212" t="str">
        <f t="shared" ref="E29:E30" si="16">CONCATENATE(C29," (",D29,")")</f>
        <v>Int (+4)</v>
      </c>
      <c r="F29" s="199" t="s">
        <v>62</v>
      </c>
      <c r="G29" s="199">
        <f t="shared" si="6"/>
        <v>4</v>
      </c>
      <c r="H29" s="155">
        <f t="shared" ca="1" si="2"/>
        <v>13</v>
      </c>
      <c r="I29" s="199">
        <f t="shared" ref="I29:I30" ca="1" si="17">SUM(G29:H29)</f>
        <v>17</v>
      </c>
      <c r="J29" s="200"/>
    </row>
    <row r="30" spans="1:10" s="173" customFormat="1" ht="16.5">
      <c r="A30" s="165" t="s">
        <v>134</v>
      </c>
      <c r="B30" s="166">
        <v>6</v>
      </c>
      <c r="C30" s="167" t="s">
        <v>32</v>
      </c>
      <c r="D30" s="168" t="str">
        <f>IF(C30="Str",'Personal File'!$C$10,IF(C30="Dex",'Personal File'!$C$11,IF(C30="Con",'Personal File'!$C$12,IF(C30="Int",'Personal File'!$C$13,IF(C30="Wis",'Personal File'!$C$14,IF(C30="Cha",'Personal File'!$C$15))))))</f>
        <v>+4</v>
      </c>
      <c r="E30" s="169" t="str">
        <f t="shared" si="16"/>
        <v>Int (+4)</v>
      </c>
      <c r="F30" s="170" t="s">
        <v>62</v>
      </c>
      <c r="G30" s="170">
        <f t="shared" si="6"/>
        <v>10</v>
      </c>
      <c r="H30" s="155">
        <f t="shared" ca="1" si="2"/>
        <v>15</v>
      </c>
      <c r="I30" s="170">
        <f t="shared" ca="1" si="17"/>
        <v>25</v>
      </c>
      <c r="J30" s="171"/>
    </row>
    <row r="31" spans="1:10" s="173" customFormat="1" ht="16.5">
      <c r="A31" s="165" t="s">
        <v>93</v>
      </c>
      <c r="B31" s="166">
        <v>9</v>
      </c>
      <c r="C31" s="167" t="s">
        <v>32</v>
      </c>
      <c r="D31" s="168" t="str">
        <f>IF(C31="Str",'Personal File'!$C$10,IF(C31="Dex",'Personal File'!$C$11,IF(C31="Con",'Personal File'!$C$12,IF(C31="Int",'Personal File'!$C$13,IF(C31="Wis",'Personal File'!$C$14,IF(C31="Cha",'Personal File'!$C$15))))))</f>
        <v>+4</v>
      </c>
      <c r="E31" s="169" t="str">
        <f t="shared" ref="E31" si="18">CONCATENATE(C31," (",D31,")")</f>
        <v>Int (+4)</v>
      </c>
      <c r="F31" s="170" t="s">
        <v>62</v>
      </c>
      <c r="G31" s="170">
        <f t="shared" si="6"/>
        <v>13</v>
      </c>
      <c r="H31" s="155">
        <f t="shared" ca="1" si="2"/>
        <v>19</v>
      </c>
      <c r="I31" s="170">
        <f t="shared" ref="I31" ca="1" si="19">SUM(G31:H31)</f>
        <v>32</v>
      </c>
      <c r="J31" s="171"/>
    </row>
    <row r="32" spans="1:10" s="173" customFormat="1" ht="16.5">
      <c r="A32" s="165" t="s">
        <v>103</v>
      </c>
      <c r="B32" s="166">
        <v>6</v>
      </c>
      <c r="C32" s="167" t="s">
        <v>32</v>
      </c>
      <c r="D32" s="168" t="str">
        <f>IF(C32="Str",'Personal File'!$C$10,IF(C32="Dex",'Personal File'!$C$11,IF(C32="Con",'Personal File'!$C$12,IF(C32="Int",'Personal File'!$C$13,IF(C32="Wis",'Personal File'!$C$14,IF(C32="Cha",'Personal File'!$C$15))))))</f>
        <v>+4</v>
      </c>
      <c r="E32" s="169" t="str">
        <f t="shared" si="15"/>
        <v>Int (+4)</v>
      </c>
      <c r="F32" s="170" t="s">
        <v>62</v>
      </c>
      <c r="G32" s="170">
        <f t="shared" si="6"/>
        <v>10</v>
      </c>
      <c r="H32" s="155">
        <f t="shared" ca="1" si="2"/>
        <v>6</v>
      </c>
      <c r="I32" s="170">
        <f t="shared" ca="1" si="10"/>
        <v>16</v>
      </c>
      <c r="J32" s="171"/>
    </row>
    <row r="33" spans="1:10" s="173" customFormat="1" ht="16.5">
      <c r="A33" s="201" t="s">
        <v>53</v>
      </c>
      <c r="B33" s="130">
        <v>0</v>
      </c>
      <c r="C33" s="202" t="s">
        <v>33</v>
      </c>
      <c r="D33" s="203" t="str">
        <f>IF(C33="Str",'Personal File'!$C$10,IF(C33="Dex",'Personal File'!$C$11,IF(C33="Con",'Personal File'!$C$12,IF(C33="Int",'Personal File'!$C$13,IF(C33="Wis",'Personal File'!$C$14,IF(C33="Cha",'Personal File'!$C$15))))))</f>
        <v>+0</v>
      </c>
      <c r="E33" s="204" t="str">
        <f t="shared" si="8"/>
        <v>Wis (+0)</v>
      </c>
      <c r="F33" s="178" t="s">
        <v>94</v>
      </c>
      <c r="G33" s="178">
        <f t="shared" si="6"/>
        <v>2</v>
      </c>
      <c r="H33" s="155">
        <f t="shared" ca="1" si="2"/>
        <v>17</v>
      </c>
      <c r="I33" s="178">
        <f t="shared" ca="1" si="10"/>
        <v>19</v>
      </c>
      <c r="J33" s="179"/>
    </row>
    <row r="34" spans="1:10" s="173" customFormat="1" ht="16.5">
      <c r="A34" s="187" t="s">
        <v>19</v>
      </c>
      <c r="B34" s="130">
        <v>0</v>
      </c>
      <c r="C34" s="188" t="s">
        <v>34</v>
      </c>
      <c r="D34" s="189" t="str">
        <f>IF(C34="Str",'Personal File'!$C$10,IF(C34="Dex",'Personal File'!$C$11,IF(C34="Con",'Personal File'!$C$12,IF(C34="Int",'Personal File'!$C$13,IF(C34="Wis",'Personal File'!$C$14,IF(C34="Cha",'Personal File'!$C$15))))))</f>
        <v>+4</v>
      </c>
      <c r="E34" s="156" t="str">
        <f t="shared" si="8"/>
        <v>Dex (+4)</v>
      </c>
      <c r="F34" s="178" t="s">
        <v>162</v>
      </c>
      <c r="G34" s="178">
        <f t="shared" si="6"/>
        <v>8</v>
      </c>
      <c r="H34" s="155">
        <f t="shared" ca="1" si="2"/>
        <v>8</v>
      </c>
      <c r="I34" s="178">
        <f t="shared" ca="1" si="10"/>
        <v>16</v>
      </c>
      <c r="J34" s="179"/>
    </row>
    <row r="35" spans="1:10" s="173" customFormat="1" ht="16.5">
      <c r="A35" s="368" t="s">
        <v>54</v>
      </c>
      <c r="B35" s="195">
        <v>0</v>
      </c>
      <c r="C35" s="369" t="s">
        <v>34</v>
      </c>
      <c r="D35" s="370" t="str">
        <f>IF(C35="Str",'Personal File'!$C$10,IF(C35="Dex",'Personal File'!$C$11,IF(C35="Con",'Personal File'!$C$12,IF(C35="Int",'Personal File'!$C$13,IF(C35="Wis",'Personal File'!$C$14,IF(C35="Cha",'Personal File'!$C$15))))))</f>
        <v>+4</v>
      </c>
      <c r="E35" s="371" t="str">
        <f t="shared" si="8"/>
        <v>Dex (+4)</v>
      </c>
      <c r="F35" s="199" t="s">
        <v>62</v>
      </c>
      <c r="G35" s="199">
        <f t="shared" si="6"/>
        <v>4</v>
      </c>
      <c r="H35" s="155">
        <f t="shared" ca="1" si="2"/>
        <v>11</v>
      </c>
      <c r="I35" s="199">
        <f t="shared" ca="1" si="10"/>
        <v>15</v>
      </c>
      <c r="J35" s="200"/>
    </row>
    <row r="36" spans="1:10" ht="16.5">
      <c r="A36" s="174" t="s">
        <v>285</v>
      </c>
      <c r="B36" s="130">
        <v>0</v>
      </c>
      <c r="C36" s="175" t="s">
        <v>30</v>
      </c>
      <c r="D36" s="176" t="str">
        <f>IF(C36="Str",'Personal File'!$C$10,IF(C36="Dex",'Personal File'!$C$11,IF(C36="Con",'Personal File'!$C$12,IF(C36="Int",'Personal File'!$C$13,IF(C36="Wis",'Personal File'!$C$14,IF(C36="Cha",'Personal File'!$C$15))))))</f>
        <v>+1</v>
      </c>
      <c r="E36" s="177" t="str">
        <f t="shared" si="8"/>
        <v>Cha (+1)</v>
      </c>
      <c r="F36" s="178" t="s">
        <v>62</v>
      </c>
      <c r="G36" s="178">
        <f t="shared" si="6"/>
        <v>1</v>
      </c>
      <c r="H36" s="155">
        <f t="shared" ca="1" si="2"/>
        <v>13</v>
      </c>
      <c r="I36" s="178">
        <f t="shared" ca="1" si="10"/>
        <v>14</v>
      </c>
      <c r="J36" s="179"/>
    </row>
    <row r="37" spans="1:10" ht="16.5">
      <c r="A37" s="194" t="s">
        <v>286</v>
      </c>
      <c r="B37" s="195">
        <v>0</v>
      </c>
      <c r="C37" s="365" t="s">
        <v>33</v>
      </c>
      <c r="D37" s="366" t="str">
        <f>IF(C37="Str",'Personal File'!$C$10,IF(C37="Dex",'Personal File'!$C$11,IF(C37="Con",'Personal File'!$C$12,IF(C37="Int",'Personal File'!$C$13,IF(C37="Wis",'Personal File'!$C$14,IF(C37="Cha",'Personal File'!$C$15))))))</f>
        <v>+0</v>
      </c>
      <c r="E37" s="367" t="str">
        <f t="shared" ref="E37" si="20">CONCATENATE(C37," (",D37,")")</f>
        <v>Wis (+0)</v>
      </c>
      <c r="F37" s="199" t="s">
        <v>62</v>
      </c>
      <c r="G37" s="199">
        <f t="shared" si="6"/>
        <v>0</v>
      </c>
      <c r="H37" s="155">
        <f t="shared" ca="1" si="2"/>
        <v>13</v>
      </c>
      <c r="I37" s="199">
        <f t="shared" ca="1" si="10"/>
        <v>13</v>
      </c>
      <c r="J37" s="200"/>
    </row>
    <row r="38" spans="1:10" ht="16.5">
      <c r="A38" s="373" t="s">
        <v>20</v>
      </c>
      <c r="B38" s="166">
        <v>4</v>
      </c>
      <c r="C38" s="374" t="s">
        <v>34</v>
      </c>
      <c r="D38" s="375" t="str">
        <f>IF(C38="Str",'Personal File'!$C$10,IF(C38="Dex",'Personal File'!$C$11,IF(C38="Con",'Personal File'!$C$12,IF(C38="Int",'Personal File'!$C$13,IF(C38="Wis",'Personal File'!$C$14,IF(C38="Cha",'Personal File'!$C$15))))))</f>
        <v>+4</v>
      </c>
      <c r="E38" s="376" t="str">
        <f t="shared" si="8"/>
        <v>Dex (+4)</v>
      </c>
      <c r="F38" s="170" t="s">
        <v>62</v>
      </c>
      <c r="G38" s="170">
        <f t="shared" si="6"/>
        <v>8</v>
      </c>
      <c r="H38" s="155">
        <f t="shared" ca="1" si="2"/>
        <v>17</v>
      </c>
      <c r="I38" s="170">
        <f t="shared" ca="1" si="10"/>
        <v>25</v>
      </c>
      <c r="J38" s="171" t="s">
        <v>295</v>
      </c>
    </row>
    <row r="39" spans="1:10" ht="16.5">
      <c r="A39" s="190" t="s">
        <v>21</v>
      </c>
      <c r="B39" s="130">
        <v>0</v>
      </c>
      <c r="C39" s="191" t="s">
        <v>32</v>
      </c>
      <c r="D39" s="192" t="str">
        <f>IF(C39="Str",'Personal File'!$C$10,IF(C39="Dex",'Personal File'!$C$11,IF(C39="Con",'Personal File'!$C$12,IF(C39="Int",'Personal File'!$C$13,IF(C39="Wis",'Personal File'!$C$14,IF(C39="Cha",'Personal File'!$C$15))))))</f>
        <v>+4</v>
      </c>
      <c r="E39" s="193" t="str">
        <f t="shared" si="8"/>
        <v>Int (+4)</v>
      </c>
      <c r="F39" s="178" t="s">
        <v>62</v>
      </c>
      <c r="G39" s="178">
        <f t="shared" si="6"/>
        <v>4</v>
      </c>
      <c r="H39" s="155">
        <f t="shared" ca="1" si="2"/>
        <v>1</v>
      </c>
      <c r="I39" s="178">
        <f t="shared" ca="1" si="10"/>
        <v>5</v>
      </c>
      <c r="J39" s="179"/>
    </row>
    <row r="40" spans="1:10" ht="16.5">
      <c r="A40" s="201" t="s">
        <v>55</v>
      </c>
      <c r="B40" s="130">
        <v>0</v>
      </c>
      <c r="C40" s="202" t="s">
        <v>33</v>
      </c>
      <c r="D40" s="203" t="str">
        <f>IF(C40="Str",'Personal File'!$C$10,IF(C40="Dex",'Personal File'!$C$11,IF(C40="Con",'Personal File'!$C$12,IF(C40="Int",'Personal File'!$C$13,IF(C40="Wis",'Personal File'!$C$14,IF(C40="Cha",'Personal File'!$C$15))))))</f>
        <v>+0</v>
      </c>
      <c r="E40" s="204" t="str">
        <f t="shared" si="8"/>
        <v>Wis (+0)</v>
      </c>
      <c r="F40" s="178" t="s">
        <v>62</v>
      </c>
      <c r="G40" s="178">
        <f t="shared" si="6"/>
        <v>0</v>
      </c>
      <c r="H40" s="155">
        <f t="shared" ca="1" si="2"/>
        <v>7</v>
      </c>
      <c r="I40" s="178">
        <f t="shared" ca="1" si="10"/>
        <v>7</v>
      </c>
      <c r="J40" s="179"/>
    </row>
    <row r="41" spans="1:10" ht="16.5">
      <c r="A41" s="368" t="s">
        <v>85</v>
      </c>
      <c r="B41" s="195">
        <v>0</v>
      </c>
      <c r="C41" s="369" t="s">
        <v>34</v>
      </c>
      <c r="D41" s="370" t="str">
        <f>IF(C41="Str",'Personal File'!$C$10,IF(C41="Dex",'Personal File'!$C$11,IF(C41="Con",'Personal File'!$C$12,IF(C41="Int",'Personal File'!$C$13,IF(C41="Wis",'Personal File'!$C$14,IF(C41="Cha",'Personal File'!$C$15))))))</f>
        <v>+4</v>
      </c>
      <c r="E41" s="371" t="str">
        <f t="shared" si="8"/>
        <v>Dex (+4)</v>
      </c>
      <c r="F41" s="199" t="s">
        <v>62</v>
      </c>
      <c r="G41" s="199">
        <f t="shared" si="6"/>
        <v>4</v>
      </c>
      <c r="H41" s="155">
        <f t="shared" ca="1" si="2"/>
        <v>9</v>
      </c>
      <c r="I41" s="199">
        <f t="shared" ca="1" si="10"/>
        <v>13</v>
      </c>
      <c r="J41" s="200"/>
    </row>
    <row r="42" spans="1:10" ht="16.5">
      <c r="A42" s="165" t="s">
        <v>270</v>
      </c>
      <c r="B42" s="166">
        <v>1</v>
      </c>
      <c r="C42" s="167" t="s">
        <v>32</v>
      </c>
      <c r="D42" s="168" t="str">
        <f>IF(C42="Str",'Personal File'!$C$10,IF(C42="Dex",'Personal File'!$C$11,IF(C42="Con",'Personal File'!$C$12,IF(C42="Int",'Personal File'!$C$13,IF(C42="Wis",'Personal File'!$C$14,IF(C42="Cha",'Personal File'!$C$15))))))</f>
        <v>+4</v>
      </c>
      <c r="E42" s="169" t="str">
        <f t="shared" si="8"/>
        <v>Int (+4)</v>
      </c>
      <c r="F42" s="170" t="s">
        <v>62</v>
      </c>
      <c r="G42" s="170">
        <f t="shared" si="6"/>
        <v>5</v>
      </c>
      <c r="H42" s="155">
        <f t="shared" ca="1" si="2"/>
        <v>6</v>
      </c>
      <c r="I42" s="170">
        <f t="shared" ca="1" si="10"/>
        <v>11</v>
      </c>
      <c r="J42" s="213"/>
    </row>
    <row r="43" spans="1:10" ht="16.5">
      <c r="A43" s="165" t="s">
        <v>271</v>
      </c>
      <c r="B43" s="166">
        <v>1</v>
      </c>
      <c r="C43" s="167" t="s">
        <v>32</v>
      </c>
      <c r="D43" s="168" t="str">
        <f>IF(C43="Str",'Personal File'!$C$10,IF(C43="Dex",'Personal File'!$C$11,IF(C43="Con",'Personal File'!$C$12,IF(C43="Int",'Personal File'!$C$13,IF(C43="Wis",'Personal File'!$C$14,IF(C43="Cha",'Personal File'!$C$15))))))</f>
        <v>+4</v>
      </c>
      <c r="E43" s="169" t="str">
        <f t="shared" ref="E43:E51" si="21">CONCATENATE(C43," (",D43,")")</f>
        <v>Int (+4)</v>
      </c>
      <c r="F43" s="170" t="s">
        <v>62</v>
      </c>
      <c r="G43" s="170">
        <f t="shared" ref="G43:G51" si="22">B43+D43+F43</f>
        <v>5</v>
      </c>
      <c r="H43" s="155">
        <f t="shared" ca="1" si="2"/>
        <v>5</v>
      </c>
      <c r="I43" s="170">
        <f t="shared" ref="I43:I51" ca="1" si="23">SUM(G43:H43)</f>
        <v>10</v>
      </c>
      <c r="J43" s="213"/>
    </row>
    <row r="44" spans="1:10" ht="16.5">
      <c r="A44" s="165" t="s">
        <v>272</v>
      </c>
      <c r="B44" s="166">
        <v>1</v>
      </c>
      <c r="C44" s="167" t="s">
        <v>32</v>
      </c>
      <c r="D44" s="168" t="str">
        <f>IF(C44="Str",'Personal File'!$C$10,IF(C44="Dex",'Personal File'!$C$11,IF(C44="Con",'Personal File'!$C$12,IF(C44="Int",'Personal File'!$C$13,IF(C44="Wis",'Personal File'!$C$14,IF(C44="Cha",'Personal File'!$C$15))))))</f>
        <v>+4</v>
      </c>
      <c r="E44" s="169" t="str">
        <f t="shared" si="21"/>
        <v>Int (+4)</v>
      </c>
      <c r="F44" s="170" t="s">
        <v>62</v>
      </c>
      <c r="G44" s="170">
        <f t="shared" si="22"/>
        <v>5</v>
      </c>
      <c r="H44" s="155">
        <f t="shared" ca="1" si="2"/>
        <v>12</v>
      </c>
      <c r="I44" s="170">
        <f t="shared" ca="1" si="23"/>
        <v>17</v>
      </c>
      <c r="J44" s="213"/>
    </row>
    <row r="45" spans="1:10" ht="16.5">
      <c r="A45" s="165" t="s">
        <v>273</v>
      </c>
      <c r="B45" s="166">
        <v>1</v>
      </c>
      <c r="C45" s="167" t="s">
        <v>32</v>
      </c>
      <c r="D45" s="168" t="str">
        <f>IF(C45="Str",'Personal File'!$C$10,IF(C45="Dex",'Personal File'!$C$11,IF(C45="Con",'Personal File'!$C$12,IF(C45="Int",'Personal File'!$C$13,IF(C45="Wis",'Personal File'!$C$14,IF(C45="Cha",'Personal File'!$C$15))))))</f>
        <v>+4</v>
      </c>
      <c r="E45" s="169" t="str">
        <f t="shared" si="21"/>
        <v>Int (+4)</v>
      </c>
      <c r="F45" s="170" t="s">
        <v>62</v>
      </c>
      <c r="G45" s="170">
        <f t="shared" si="22"/>
        <v>5</v>
      </c>
      <c r="H45" s="155">
        <f t="shared" ca="1" si="2"/>
        <v>20</v>
      </c>
      <c r="I45" s="170">
        <f t="shared" ca="1" si="23"/>
        <v>25</v>
      </c>
      <c r="J45" s="213"/>
    </row>
    <row r="46" spans="1:10" ht="16.5">
      <c r="A46" s="165" t="s">
        <v>276</v>
      </c>
      <c r="B46" s="166">
        <v>1</v>
      </c>
      <c r="C46" s="167" t="s">
        <v>32</v>
      </c>
      <c r="D46" s="168" t="str">
        <f>IF(C46="Str",'Personal File'!$C$10,IF(C46="Dex",'Personal File'!$C$11,IF(C46="Con",'Personal File'!$C$12,IF(C46="Int",'Personal File'!$C$13,IF(C46="Wis",'Personal File'!$C$14,IF(C46="Cha",'Personal File'!$C$15))))))</f>
        <v>+4</v>
      </c>
      <c r="E46" s="169" t="str">
        <f t="shared" si="21"/>
        <v>Int (+4)</v>
      </c>
      <c r="F46" s="170" t="s">
        <v>62</v>
      </c>
      <c r="G46" s="170">
        <f t="shared" si="22"/>
        <v>5</v>
      </c>
      <c r="H46" s="155">
        <f t="shared" ca="1" si="2"/>
        <v>4</v>
      </c>
      <c r="I46" s="170">
        <f t="shared" ca="1" si="23"/>
        <v>9</v>
      </c>
      <c r="J46" s="213"/>
    </row>
    <row r="47" spans="1:10" ht="16.5">
      <c r="A47" s="165" t="s">
        <v>277</v>
      </c>
      <c r="B47" s="166">
        <v>1</v>
      </c>
      <c r="C47" s="167" t="s">
        <v>32</v>
      </c>
      <c r="D47" s="168" t="str">
        <f>IF(C47="Str",'Personal File'!$C$10,IF(C47="Dex",'Personal File'!$C$11,IF(C47="Con",'Personal File'!$C$12,IF(C47="Int",'Personal File'!$C$13,IF(C47="Wis",'Personal File'!$C$14,IF(C47="Cha",'Personal File'!$C$15))))))</f>
        <v>+4</v>
      </c>
      <c r="E47" s="169" t="str">
        <f t="shared" si="21"/>
        <v>Int (+4)</v>
      </c>
      <c r="F47" s="170" t="s">
        <v>62</v>
      </c>
      <c r="G47" s="170">
        <f t="shared" si="22"/>
        <v>5</v>
      </c>
      <c r="H47" s="155">
        <f t="shared" ca="1" si="2"/>
        <v>18</v>
      </c>
      <c r="I47" s="170">
        <f t="shared" ca="1" si="23"/>
        <v>23</v>
      </c>
      <c r="J47" s="213"/>
    </row>
    <row r="48" spans="1:10" ht="16.5">
      <c r="A48" s="165" t="s">
        <v>278</v>
      </c>
      <c r="B48" s="166">
        <v>1</v>
      </c>
      <c r="C48" s="167" t="s">
        <v>32</v>
      </c>
      <c r="D48" s="168" t="str">
        <f>IF(C48="Str",'Personal File'!$C$10,IF(C48="Dex",'Personal File'!$C$11,IF(C48="Con",'Personal File'!$C$12,IF(C48="Int",'Personal File'!$C$13,IF(C48="Wis",'Personal File'!$C$14,IF(C48="Cha",'Personal File'!$C$15))))))</f>
        <v>+4</v>
      </c>
      <c r="E48" s="169" t="str">
        <f t="shared" si="21"/>
        <v>Int (+4)</v>
      </c>
      <c r="F48" s="170" t="s">
        <v>62</v>
      </c>
      <c r="G48" s="170">
        <f t="shared" si="22"/>
        <v>5</v>
      </c>
      <c r="H48" s="155">
        <f t="shared" ca="1" si="2"/>
        <v>3</v>
      </c>
      <c r="I48" s="170">
        <f t="shared" ca="1" si="23"/>
        <v>8</v>
      </c>
      <c r="J48" s="213"/>
    </row>
    <row r="49" spans="1:10" ht="16.5">
      <c r="A49" s="165" t="s">
        <v>279</v>
      </c>
      <c r="B49" s="166">
        <v>1</v>
      </c>
      <c r="C49" s="167" t="s">
        <v>32</v>
      </c>
      <c r="D49" s="168" t="str">
        <f>IF(C49="Str",'Personal File'!$C$10,IF(C49="Dex",'Personal File'!$C$11,IF(C49="Con",'Personal File'!$C$12,IF(C49="Int",'Personal File'!$C$13,IF(C49="Wis",'Personal File'!$C$14,IF(C49="Cha",'Personal File'!$C$15))))))</f>
        <v>+4</v>
      </c>
      <c r="E49" s="169" t="str">
        <f t="shared" si="21"/>
        <v>Int (+4)</v>
      </c>
      <c r="F49" s="170" t="s">
        <v>62</v>
      </c>
      <c r="G49" s="170">
        <f t="shared" si="22"/>
        <v>5</v>
      </c>
      <c r="H49" s="155">
        <f t="shared" ca="1" si="2"/>
        <v>20</v>
      </c>
      <c r="I49" s="170">
        <f t="shared" ca="1" si="23"/>
        <v>25</v>
      </c>
      <c r="J49" s="213"/>
    </row>
    <row r="50" spans="1:10" ht="16.5">
      <c r="A50" s="165" t="s">
        <v>275</v>
      </c>
      <c r="B50" s="166">
        <v>1</v>
      </c>
      <c r="C50" s="167" t="s">
        <v>32</v>
      </c>
      <c r="D50" s="168" t="str">
        <f>IF(C50="Str",'Personal File'!$C$10,IF(C50="Dex",'Personal File'!$C$11,IF(C50="Con",'Personal File'!$C$12,IF(C50="Int",'Personal File'!$C$13,IF(C50="Wis",'Personal File'!$C$14,IF(C50="Cha",'Personal File'!$C$15))))))</f>
        <v>+4</v>
      </c>
      <c r="E50" s="169" t="str">
        <f t="shared" si="21"/>
        <v>Int (+4)</v>
      </c>
      <c r="F50" s="170" t="s">
        <v>62</v>
      </c>
      <c r="G50" s="170">
        <f t="shared" si="22"/>
        <v>5</v>
      </c>
      <c r="H50" s="155">
        <f t="shared" ca="1" si="2"/>
        <v>5</v>
      </c>
      <c r="I50" s="170">
        <f t="shared" ca="1" si="23"/>
        <v>10</v>
      </c>
      <c r="J50" s="213"/>
    </row>
    <row r="51" spans="1:10" ht="16.5">
      <c r="A51" s="165" t="s">
        <v>274</v>
      </c>
      <c r="B51" s="166">
        <v>1</v>
      </c>
      <c r="C51" s="167" t="s">
        <v>32</v>
      </c>
      <c r="D51" s="168" t="str">
        <f>IF(C51="Str",'Personal File'!$C$10,IF(C51="Dex",'Personal File'!$C$11,IF(C51="Con",'Personal File'!$C$12,IF(C51="Int",'Personal File'!$C$13,IF(C51="Wis",'Personal File'!$C$14,IF(C51="Cha",'Personal File'!$C$15))))))</f>
        <v>+4</v>
      </c>
      <c r="E51" s="169" t="str">
        <f t="shared" si="21"/>
        <v>Int (+4)</v>
      </c>
      <c r="F51" s="170" t="s">
        <v>62</v>
      </c>
      <c r="G51" s="170">
        <f t="shared" si="22"/>
        <v>5</v>
      </c>
      <c r="H51" s="155">
        <f t="shared" ca="1" si="2"/>
        <v>16</v>
      </c>
      <c r="I51" s="170">
        <f t="shared" ca="1" si="23"/>
        <v>21</v>
      </c>
      <c r="J51" s="213"/>
    </row>
    <row r="52" spans="1:10" ht="16.5">
      <c r="A52" s="165" t="s">
        <v>56</v>
      </c>
      <c r="B52" s="166">
        <v>12</v>
      </c>
      <c r="C52" s="167" t="s">
        <v>32</v>
      </c>
      <c r="D52" s="168" t="str">
        <f>IF(C52="Str",'Personal File'!$C$10,IF(C52="Dex",'Personal File'!$C$11,IF(C52="Con",'Personal File'!$C$12,IF(C52="Int",'Personal File'!$C$13,IF(C52="Wis",'Personal File'!$C$14,IF(C52="Cha",'Personal File'!$C$15))))))</f>
        <v>+4</v>
      </c>
      <c r="E52" s="169" t="str">
        <f t="shared" si="8"/>
        <v>Int (+4)</v>
      </c>
      <c r="F52" s="170" t="s">
        <v>94</v>
      </c>
      <c r="G52" s="170">
        <f t="shared" si="6"/>
        <v>18</v>
      </c>
      <c r="H52" s="155">
        <f t="shared" ca="1" si="2"/>
        <v>5</v>
      </c>
      <c r="I52" s="170">
        <f t="shared" ca="1" si="10"/>
        <v>23</v>
      </c>
      <c r="J52" s="213"/>
    </row>
    <row r="53" spans="1:10" ht="16.5">
      <c r="A53" s="201" t="s">
        <v>57</v>
      </c>
      <c r="B53" s="130">
        <v>0</v>
      </c>
      <c r="C53" s="202" t="s">
        <v>33</v>
      </c>
      <c r="D53" s="203" t="str">
        <f>IF(C53="Str",'Personal File'!$C$10,IF(C53="Dex",'Personal File'!$C$11,IF(C53="Con",'Personal File'!$C$12,IF(C53="Int",'Personal File'!$C$13,IF(C53="Wis",'Personal File'!$C$14,IF(C53="Cha",'Personal File'!$C$15))))))</f>
        <v>+0</v>
      </c>
      <c r="E53" s="204" t="str">
        <f t="shared" si="8"/>
        <v>Wis (+0)</v>
      </c>
      <c r="F53" s="178" t="s">
        <v>94</v>
      </c>
      <c r="G53" s="178">
        <f t="shared" si="6"/>
        <v>2</v>
      </c>
      <c r="H53" s="155">
        <f t="shared" ca="1" si="2"/>
        <v>9</v>
      </c>
      <c r="I53" s="178">
        <f t="shared" ca="1" si="10"/>
        <v>11</v>
      </c>
      <c r="J53" s="179"/>
    </row>
    <row r="54" spans="1:10" ht="16.5">
      <c r="A54" s="201" t="s">
        <v>86</v>
      </c>
      <c r="B54" s="130">
        <v>0</v>
      </c>
      <c r="C54" s="202" t="s">
        <v>33</v>
      </c>
      <c r="D54" s="203" t="str">
        <f>IF(C54="Str",'Personal File'!$C$10,IF(C54="Dex",'Personal File'!$C$11,IF(C54="Con",'Personal File'!$C$12,IF(C54="Int",'Personal File'!$C$13,IF(C54="Wis",'Personal File'!$C$14,IF(C54="Cha",'Personal File'!$C$15))))))</f>
        <v>+0</v>
      </c>
      <c r="E54" s="204" t="str">
        <f t="shared" si="8"/>
        <v>Wis (+0)</v>
      </c>
      <c r="F54" s="178" t="s">
        <v>62</v>
      </c>
      <c r="G54" s="178">
        <f t="shared" si="6"/>
        <v>0</v>
      </c>
      <c r="H54" s="155">
        <f t="shared" ca="1" si="2"/>
        <v>19</v>
      </c>
      <c r="I54" s="178">
        <f t="shared" ca="1" si="10"/>
        <v>19</v>
      </c>
      <c r="J54" s="214"/>
    </row>
    <row r="55" spans="1:10" ht="16.5">
      <c r="A55" s="205" t="s">
        <v>22</v>
      </c>
      <c r="B55" s="130">
        <v>0</v>
      </c>
      <c r="C55" s="206" t="s">
        <v>35</v>
      </c>
      <c r="D55" s="207">
        <f>IF(C55="Str",'Personal File'!$C$10,IF(C55="Dex",'Personal File'!$C$11,IF(C55="Con",'Personal File'!$C$12,IF(C55="Int",'Personal File'!$C$13,IF(C55="Wis",'Personal File'!$C$14,IF(C55="Cha",'Personal File'!$C$15))))))</f>
        <v>-2</v>
      </c>
      <c r="E55" s="208" t="str">
        <f t="shared" si="8"/>
        <v>Str (-2)</v>
      </c>
      <c r="F55" s="178" t="s">
        <v>62</v>
      </c>
      <c r="G55" s="178">
        <f t="shared" si="6"/>
        <v>-2</v>
      </c>
      <c r="H55" s="155">
        <f t="shared" ca="1" si="2"/>
        <v>12</v>
      </c>
      <c r="I55" s="178">
        <f t="shared" ca="1" si="10"/>
        <v>10</v>
      </c>
      <c r="J55" s="179"/>
    </row>
    <row r="56" spans="1:10" ht="16.5">
      <c r="A56" s="368" t="s">
        <v>58</v>
      </c>
      <c r="B56" s="195">
        <v>0</v>
      </c>
      <c r="C56" s="369" t="s">
        <v>34</v>
      </c>
      <c r="D56" s="370" t="str">
        <f>IF(C56="Str",'Personal File'!$C$10,IF(C56="Dex",'Personal File'!$C$11,IF(C56="Con",'Personal File'!$C$12,IF(C56="Int",'Personal File'!$C$13,IF(C56="Wis",'Personal File'!$C$14,IF(C56="Cha",'Personal File'!$C$15))))))</f>
        <v>+4</v>
      </c>
      <c r="E56" s="371" t="str">
        <f t="shared" si="8"/>
        <v>Dex (+4)</v>
      </c>
      <c r="F56" s="199" t="s">
        <v>62</v>
      </c>
      <c r="G56" s="199">
        <f t="shared" si="6"/>
        <v>4</v>
      </c>
      <c r="H56" s="155">
        <f t="shared" ca="1" si="2"/>
        <v>11</v>
      </c>
      <c r="I56" s="199">
        <f t="shared" ca="1" si="10"/>
        <v>15</v>
      </c>
      <c r="J56" s="200"/>
    </row>
    <row r="57" spans="1:10" ht="16.5">
      <c r="A57" s="194" t="s">
        <v>59</v>
      </c>
      <c r="B57" s="195">
        <v>0</v>
      </c>
      <c r="C57" s="196" t="s">
        <v>30</v>
      </c>
      <c r="D57" s="197" t="str">
        <f>IF(C57="Str",'Personal File'!$C$10,IF(C57="Dex",'Personal File'!$C$11,IF(C57="Con",'Personal File'!$C$12,IF(C57="Int",'Personal File'!$C$13,IF(C57="Wis",'Personal File'!$C$14,IF(C57="Cha",'Personal File'!$C$15))))))</f>
        <v>+1</v>
      </c>
      <c r="E57" s="198" t="str">
        <f t="shared" si="8"/>
        <v>Cha (+1)</v>
      </c>
      <c r="F57" s="199" t="s">
        <v>62</v>
      </c>
      <c r="G57" s="199">
        <f t="shared" si="6"/>
        <v>1</v>
      </c>
      <c r="H57" s="155">
        <f t="shared" ref="H57:H58" ca="1" si="24">RANDBETWEEN(1,20)</f>
        <v>6</v>
      </c>
      <c r="I57" s="199">
        <f t="shared" ca="1" si="10"/>
        <v>7</v>
      </c>
      <c r="J57" s="200"/>
    </row>
    <row r="58" spans="1:10" ht="17.25" thickBot="1">
      <c r="A58" s="215" t="s">
        <v>60</v>
      </c>
      <c r="B58" s="216">
        <v>0</v>
      </c>
      <c r="C58" s="217" t="s">
        <v>34</v>
      </c>
      <c r="D58" s="218" t="str">
        <f>IF(C58="Str",'Personal File'!$C$10,IF(C58="Dex",'Personal File'!$C$11,IF(C58="Con",'Personal File'!$C$12,IF(C58="Int",'Personal File'!$C$13,IF(C58="Wis",'Personal File'!$C$14,IF(C58="Cha",'Personal File'!$C$15))))))</f>
        <v>+4</v>
      </c>
      <c r="E58" s="219" t="str">
        <f t="shared" si="8"/>
        <v>Dex (+4)</v>
      </c>
      <c r="F58" s="220" t="s">
        <v>62</v>
      </c>
      <c r="G58" s="220">
        <f t="shared" si="6"/>
        <v>4</v>
      </c>
      <c r="H58" s="221">
        <f t="shared" ca="1" si="24"/>
        <v>12</v>
      </c>
      <c r="I58" s="220">
        <f t="shared" ca="1" si="10"/>
        <v>16</v>
      </c>
      <c r="J58" s="222"/>
    </row>
    <row r="59" spans="1:10" ht="16.5" thickTop="1">
      <c r="B59" s="224">
        <f>SUM(B6:B58)+B38</f>
        <v>72</v>
      </c>
      <c r="E59" s="224">
        <f>SUM(E60:E69)</f>
        <v>72</v>
      </c>
    </row>
    <row r="60" spans="1:10">
      <c r="B60" s="224"/>
      <c r="E60" s="47">
        <v>24</v>
      </c>
      <c r="F60" s="227" t="s">
        <v>250</v>
      </c>
    </row>
    <row r="61" spans="1:10">
      <c r="E61" s="47">
        <v>6</v>
      </c>
      <c r="F61" s="227" t="s">
        <v>280</v>
      </c>
    </row>
    <row r="62" spans="1:10">
      <c r="E62" s="47">
        <v>6</v>
      </c>
      <c r="F62" s="227" t="s">
        <v>251</v>
      </c>
    </row>
    <row r="63" spans="1:10">
      <c r="E63" s="47">
        <v>6</v>
      </c>
      <c r="F63" s="227" t="s">
        <v>252</v>
      </c>
    </row>
    <row r="64" spans="1:10">
      <c r="E64" s="47">
        <v>6</v>
      </c>
      <c r="F64" s="227" t="s">
        <v>281</v>
      </c>
    </row>
    <row r="65" spans="5:6">
      <c r="E65" s="47">
        <v>6</v>
      </c>
      <c r="F65" s="227" t="s">
        <v>282</v>
      </c>
    </row>
    <row r="66" spans="5:6">
      <c r="E66" s="47">
        <v>6</v>
      </c>
      <c r="F66" s="227" t="s">
        <v>283</v>
      </c>
    </row>
    <row r="67" spans="5:6">
      <c r="E67" s="47">
        <v>6</v>
      </c>
      <c r="F67" s="227" t="s">
        <v>354</v>
      </c>
    </row>
    <row r="68" spans="5:6">
      <c r="E68" s="47">
        <v>6</v>
      </c>
      <c r="F68" s="227" t="s">
        <v>363</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5"/>
  <sheetViews>
    <sheetView showGridLines="0" workbookViewId="0">
      <pane ySplit="2" topLeftCell="A3" activePane="bottomLeft" state="frozen"/>
      <selection pane="bottomLeft" activeCell="A3" sqref="A3"/>
    </sheetView>
  </sheetViews>
  <sheetFormatPr defaultColWidth="13" defaultRowHeight="15.75"/>
  <cols>
    <col min="1" max="1" width="22.125" style="150" bestFit="1" customWidth="1"/>
    <col min="2" max="2" width="6.25" style="150" bestFit="1" customWidth="1"/>
    <col min="3" max="3" width="13.375" style="151" bestFit="1" customWidth="1"/>
    <col min="4" max="4" width="11.25" style="151" bestFit="1" customWidth="1"/>
    <col min="5" max="5" width="10.625" style="151" bestFit="1" customWidth="1"/>
    <col min="6" max="6" width="13" style="151" bestFit="1" customWidth="1"/>
    <col min="7" max="7" width="13.375" style="151" bestFit="1" customWidth="1"/>
    <col min="8" max="8" width="20.875" style="150" bestFit="1" customWidth="1"/>
    <col min="9" max="9" width="5.625" style="133" bestFit="1" customWidth="1"/>
    <col min="10" max="16384" width="13" style="134"/>
  </cols>
  <sheetData>
    <row r="1" spans="1:9" ht="24" thickBot="1">
      <c r="A1" s="131" t="s">
        <v>187</v>
      </c>
      <c r="B1" s="132"/>
      <c r="C1" s="132"/>
      <c r="D1" s="132"/>
      <c r="E1" s="132"/>
      <c r="F1" s="132"/>
      <c r="G1" s="132"/>
      <c r="H1" s="132"/>
    </row>
    <row r="2" spans="1:9" s="138" customFormat="1" ht="17.25" thickBot="1">
      <c r="A2" s="135" t="s">
        <v>96</v>
      </c>
      <c r="B2" s="136" t="s">
        <v>99</v>
      </c>
      <c r="C2" s="136" t="s">
        <v>164</v>
      </c>
      <c r="D2" s="137" t="s">
        <v>165</v>
      </c>
      <c r="E2" s="137" t="s">
        <v>166</v>
      </c>
      <c r="F2" s="136" t="s">
        <v>167</v>
      </c>
      <c r="G2" s="136" t="s">
        <v>168</v>
      </c>
      <c r="H2" s="279" t="s">
        <v>217</v>
      </c>
      <c r="I2" s="280" t="s">
        <v>218</v>
      </c>
    </row>
    <row r="3" spans="1:9" ht="16.5">
      <c r="A3" s="139" t="s">
        <v>153</v>
      </c>
      <c r="B3" s="141">
        <v>0</v>
      </c>
      <c r="C3" s="18" t="s">
        <v>169</v>
      </c>
      <c r="D3" s="19" t="s">
        <v>170</v>
      </c>
      <c r="E3" s="317" t="s">
        <v>171</v>
      </c>
      <c r="F3" s="20" t="s">
        <v>172</v>
      </c>
      <c r="G3" s="20" t="s">
        <v>173</v>
      </c>
      <c r="H3" s="16" t="s">
        <v>216</v>
      </c>
      <c r="I3" s="281">
        <v>196</v>
      </c>
    </row>
    <row r="4" spans="1:9" ht="16.5">
      <c r="A4" s="318" t="s">
        <v>228</v>
      </c>
      <c r="B4" s="141">
        <v>0</v>
      </c>
      <c r="C4" s="319" t="s">
        <v>176</v>
      </c>
      <c r="D4" s="320" t="s">
        <v>170</v>
      </c>
      <c r="E4" s="321" t="s">
        <v>171</v>
      </c>
      <c r="F4" s="321" t="s">
        <v>172</v>
      </c>
      <c r="G4" s="321" t="s">
        <v>180</v>
      </c>
      <c r="H4" s="321" t="s">
        <v>220</v>
      </c>
      <c r="I4" s="22">
        <v>9</v>
      </c>
    </row>
    <row r="5" spans="1:9" ht="16.5">
      <c r="A5" s="140" t="s">
        <v>188</v>
      </c>
      <c r="B5" s="141">
        <v>0</v>
      </c>
      <c r="C5" s="21" t="s">
        <v>189</v>
      </c>
      <c r="D5" s="15" t="s">
        <v>170</v>
      </c>
      <c r="E5" s="322" t="s">
        <v>171</v>
      </c>
      <c r="F5" s="16" t="s">
        <v>190</v>
      </c>
      <c r="G5" s="16" t="s">
        <v>191</v>
      </c>
      <c r="H5" s="16" t="s">
        <v>216</v>
      </c>
      <c r="I5" s="22">
        <v>201</v>
      </c>
    </row>
    <row r="6" spans="1:9" ht="16.5">
      <c r="A6" s="318" t="s">
        <v>229</v>
      </c>
      <c r="B6" s="141">
        <v>0</v>
      </c>
      <c r="C6" s="319" t="s">
        <v>169</v>
      </c>
      <c r="D6" s="320" t="s">
        <v>170</v>
      </c>
      <c r="E6" s="321" t="s">
        <v>171</v>
      </c>
      <c r="F6" s="321" t="s">
        <v>172</v>
      </c>
      <c r="G6" s="321" t="s">
        <v>186</v>
      </c>
      <c r="H6" s="321" t="s">
        <v>220</v>
      </c>
      <c r="I6" s="323">
        <v>42</v>
      </c>
    </row>
    <row r="7" spans="1:9" ht="16.5">
      <c r="A7" s="140" t="s">
        <v>115</v>
      </c>
      <c r="B7" s="141">
        <v>0</v>
      </c>
      <c r="C7" s="21" t="s">
        <v>192</v>
      </c>
      <c r="D7" s="15" t="s">
        <v>170</v>
      </c>
      <c r="E7" s="16" t="s">
        <v>171</v>
      </c>
      <c r="F7" s="16" t="s">
        <v>179</v>
      </c>
      <c r="G7" s="16" t="s">
        <v>183</v>
      </c>
      <c r="H7" s="16" t="s">
        <v>216</v>
      </c>
      <c r="I7" s="22">
        <v>216</v>
      </c>
    </row>
    <row r="8" spans="1:9" ht="16.5">
      <c r="A8" s="140" t="s">
        <v>152</v>
      </c>
      <c r="B8" s="141">
        <v>0</v>
      </c>
      <c r="C8" s="21" t="s">
        <v>189</v>
      </c>
      <c r="D8" s="15" t="s">
        <v>170</v>
      </c>
      <c r="E8" s="16" t="s">
        <v>171</v>
      </c>
      <c r="F8" s="16" t="s">
        <v>194</v>
      </c>
      <c r="G8" s="16" t="s">
        <v>185</v>
      </c>
      <c r="H8" s="16" t="s">
        <v>216</v>
      </c>
      <c r="I8" s="22">
        <v>219</v>
      </c>
    </row>
    <row r="9" spans="1:9" ht="16.5">
      <c r="A9" s="140" t="s">
        <v>195</v>
      </c>
      <c r="B9" s="141">
        <v>0</v>
      </c>
      <c r="C9" s="23" t="s">
        <v>196</v>
      </c>
      <c r="D9" s="15" t="s">
        <v>170</v>
      </c>
      <c r="E9" s="322" t="s">
        <v>171</v>
      </c>
      <c r="F9" s="16" t="s">
        <v>172</v>
      </c>
      <c r="G9" s="16" t="s">
        <v>173</v>
      </c>
      <c r="H9" s="16" t="s">
        <v>216</v>
      </c>
      <c r="I9" s="22">
        <v>219</v>
      </c>
    </row>
    <row r="10" spans="1:9" ht="16.5">
      <c r="A10" s="140" t="s">
        <v>174</v>
      </c>
      <c r="B10" s="141">
        <v>0</v>
      </c>
      <c r="C10" s="21" t="s">
        <v>175</v>
      </c>
      <c r="D10" s="14" t="s">
        <v>170</v>
      </c>
      <c r="E10" s="324" t="s">
        <v>171</v>
      </c>
      <c r="F10" s="143" t="s">
        <v>172</v>
      </c>
      <c r="G10" s="143" t="s">
        <v>173</v>
      </c>
      <c r="H10" s="143" t="s">
        <v>220</v>
      </c>
      <c r="I10" s="22">
        <v>78</v>
      </c>
    </row>
    <row r="11" spans="1:9" ht="16.5">
      <c r="A11" s="140" t="s">
        <v>198</v>
      </c>
      <c r="B11" s="141">
        <v>0</v>
      </c>
      <c r="C11" s="23" t="s">
        <v>175</v>
      </c>
      <c r="D11" s="15" t="s">
        <v>199</v>
      </c>
      <c r="E11" s="322" t="s">
        <v>171</v>
      </c>
      <c r="F11" s="16" t="s">
        <v>172</v>
      </c>
      <c r="G11" s="16" t="s">
        <v>173</v>
      </c>
      <c r="H11" s="16" t="s">
        <v>216</v>
      </c>
      <c r="I11" s="22">
        <v>232</v>
      </c>
    </row>
    <row r="12" spans="1:9" s="133" customFormat="1" ht="16.5">
      <c r="A12" s="140" t="s">
        <v>116</v>
      </c>
      <c r="B12" s="141">
        <v>0</v>
      </c>
      <c r="C12" s="21" t="s">
        <v>192</v>
      </c>
      <c r="D12" s="15" t="s">
        <v>184</v>
      </c>
      <c r="E12" s="322" t="s">
        <v>171</v>
      </c>
      <c r="F12" s="16" t="s">
        <v>172</v>
      </c>
      <c r="G12" s="16" t="s">
        <v>186</v>
      </c>
      <c r="H12" s="16" t="s">
        <v>216</v>
      </c>
      <c r="I12" s="22">
        <v>235</v>
      </c>
    </row>
    <row r="13" spans="1:9" s="133" customFormat="1" ht="16.5">
      <c r="A13" s="318" t="s">
        <v>230</v>
      </c>
      <c r="B13" s="141">
        <v>0</v>
      </c>
      <c r="C13" s="319" t="s">
        <v>176</v>
      </c>
      <c r="D13" s="320" t="s">
        <v>184</v>
      </c>
      <c r="E13" s="321" t="s">
        <v>171</v>
      </c>
      <c r="F13" s="321" t="s">
        <v>177</v>
      </c>
      <c r="G13" s="321" t="s">
        <v>173</v>
      </c>
      <c r="H13" s="321" t="s">
        <v>220</v>
      </c>
      <c r="I13" s="323">
        <v>130</v>
      </c>
    </row>
    <row r="14" spans="1:9" ht="16.5">
      <c r="A14" s="318" t="s">
        <v>231</v>
      </c>
      <c r="B14" s="141">
        <v>0</v>
      </c>
      <c r="C14" s="319" t="s">
        <v>176</v>
      </c>
      <c r="D14" s="320" t="s">
        <v>232</v>
      </c>
      <c r="E14" s="321" t="s">
        <v>171</v>
      </c>
      <c r="F14" s="321" t="s">
        <v>177</v>
      </c>
      <c r="G14" s="321" t="s">
        <v>173</v>
      </c>
      <c r="H14" s="321" t="s">
        <v>220</v>
      </c>
      <c r="I14" s="323">
        <v>130</v>
      </c>
    </row>
    <row r="15" spans="1:9" ht="16.5">
      <c r="A15" s="140" t="s">
        <v>154</v>
      </c>
      <c r="B15" s="141">
        <v>0</v>
      </c>
      <c r="C15" s="23" t="s">
        <v>175</v>
      </c>
      <c r="D15" s="15" t="s">
        <v>200</v>
      </c>
      <c r="E15" s="322" t="s">
        <v>171</v>
      </c>
      <c r="F15" s="16" t="s">
        <v>177</v>
      </c>
      <c r="G15" s="16" t="s">
        <v>180</v>
      </c>
      <c r="H15" s="16" t="s">
        <v>216</v>
      </c>
      <c r="I15" s="22">
        <v>248</v>
      </c>
    </row>
    <row r="16" spans="1:9" ht="16.5">
      <c r="A16" s="140" t="s">
        <v>145</v>
      </c>
      <c r="B16" s="141">
        <v>0</v>
      </c>
      <c r="C16" s="21" t="s">
        <v>176</v>
      </c>
      <c r="D16" s="15" t="s">
        <v>170</v>
      </c>
      <c r="E16" s="322" t="s">
        <v>171</v>
      </c>
      <c r="F16" s="16" t="s">
        <v>172</v>
      </c>
      <c r="G16" s="16" t="s">
        <v>16</v>
      </c>
      <c r="H16" s="16" t="s">
        <v>216</v>
      </c>
      <c r="I16" s="22">
        <v>249</v>
      </c>
    </row>
    <row r="17" spans="1:9" ht="16.5">
      <c r="A17" s="140" t="s">
        <v>201</v>
      </c>
      <c r="B17" s="141">
        <v>0</v>
      </c>
      <c r="C17" s="23" t="s">
        <v>176</v>
      </c>
      <c r="D17" s="15" t="s">
        <v>170</v>
      </c>
      <c r="E17" s="322" t="s">
        <v>171</v>
      </c>
      <c r="F17" s="16" t="s">
        <v>202</v>
      </c>
      <c r="G17" s="16" t="s">
        <v>173</v>
      </c>
      <c r="H17" s="16" t="s">
        <v>216</v>
      </c>
      <c r="I17" s="22">
        <v>253</v>
      </c>
    </row>
    <row r="18" spans="1:9" ht="16.5">
      <c r="A18" s="140" t="s">
        <v>146</v>
      </c>
      <c r="B18" s="141">
        <v>0</v>
      </c>
      <c r="C18" s="21" t="s">
        <v>176</v>
      </c>
      <c r="D18" s="15" t="s">
        <v>178</v>
      </c>
      <c r="E18" s="322" t="s">
        <v>171</v>
      </c>
      <c r="F18" s="16" t="s">
        <v>179</v>
      </c>
      <c r="G18" s="16" t="s">
        <v>180</v>
      </c>
      <c r="H18" s="16" t="s">
        <v>216</v>
      </c>
      <c r="I18" s="22">
        <v>253</v>
      </c>
    </row>
    <row r="19" spans="1:9" ht="16.5">
      <c r="A19" s="140" t="s">
        <v>233</v>
      </c>
      <c r="B19" s="141">
        <v>0</v>
      </c>
      <c r="C19" s="319" t="s">
        <v>176</v>
      </c>
      <c r="D19" s="320" t="s">
        <v>170</v>
      </c>
      <c r="E19" s="321" t="s">
        <v>171</v>
      </c>
      <c r="F19" s="321" t="s">
        <v>172</v>
      </c>
      <c r="G19" s="321" t="s">
        <v>185</v>
      </c>
      <c r="H19" s="321" t="s">
        <v>234</v>
      </c>
      <c r="I19" s="323">
        <v>100</v>
      </c>
    </row>
    <row r="20" spans="1:9" ht="16.5">
      <c r="A20" s="140" t="s">
        <v>203</v>
      </c>
      <c r="B20" s="141">
        <v>0</v>
      </c>
      <c r="C20" s="21" t="s">
        <v>176</v>
      </c>
      <c r="D20" s="15" t="s">
        <v>178</v>
      </c>
      <c r="E20" s="322" t="s">
        <v>171</v>
      </c>
      <c r="F20" s="16" t="s">
        <v>172</v>
      </c>
      <c r="G20" s="16" t="s">
        <v>173</v>
      </c>
      <c r="H20" s="16" t="s">
        <v>216</v>
      </c>
      <c r="I20" s="22">
        <v>258</v>
      </c>
    </row>
    <row r="21" spans="1:9" ht="16.5">
      <c r="A21" s="140" t="s">
        <v>117</v>
      </c>
      <c r="B21" s="141">
        <v>0</v>
      </c>
      <c r="C21" s="21" t="s">
        <v>189</v>
      </c>
      <c r="D21" s="15" t="s">
        <v>170</v>
      </c>
      <c r="E21" s="322" t="s">
        <v>171</v>
      </c>
      <c r="F21" s="16" t="s">
        <v>202</v>
      </c>
      <c r="G21" s="16" t="s">
        <v>204</v>
      </c>
      <c r="H21" s="16" t="s">
        <v>216</v>
      </c>
      <c r="I21" s="22">
        <v>264</v>
      </c>
    </row>
    <row r="22" spans="1:9" ht="16.5">
      <c r="A22" s="140" t="s">
        <v>181</v>
      </c>
      <c r="B22" s="141">
        <v>0</v>
      </c>
      <c r="C22" s="21" t="s">
        <v>169</v>
      </c>
      <c r="D22" s="15" t="s">
        <v>170</v>
      </c>
      <c r="E22" s="322" t="s">
        <v>171</v>
      </c>
      <c r="F22" s="16" t="s">
        <v>172</v>
      </c>
      <c r="G22" s="16" t="s">
        <v>173</v>
      </c>
      <c r="H22" s="16" t="s">
        <v>216</v>
      </c>
      <c r="I22" s="22">
        <v>269</v>
      </c>
    </row>
    <row r="23" spans="1:9" ht="16.5">
      <c r="A23" s="140" t="s">
        <v>205</v>
      </c>
      <c r="B23" s="141">
        <v>0</v>
      </c>
      <c r="C23" s="23" t="s">
        <v>189</v>
      </c>
      <c r="D23" s="15" t="s">
        <v>178</v>
      </c>
      <c r="E23" s="322" t="s">
        <v>171</v>
      </c>
      <c r="F23" s="16" t="s">
        <v>197</v>
      </c>
      <c r="G23" s="16" t="s">
        <v>180</v>
      </c>
      <c r="H23" s="16" t="s">
        <v>216</v>
      </c>
      <c r="I23" s="22">
        <v>269</v>
      </c>
    </row>
    <row r="24" spans="1:9" ht="16.5">
      <c r="A24" s="140" t="s">
        <v>235</v>
      </c>
      <c r="B24" s="141">
        <v>0</v>
      </c>
      <c r="C24" s="23" t="s">
        <v>176</v>
      </c>
      <c r="D24" s="15" t="s">
        <v>170</v>
      </c>
      <c r="E24" s="322" t="s">
        <v>171</v>
      </c>
      <c r="F24" s="16" t="s">
        <v>177</v>
      </c>
      <c r="G24" s="16" t="s">
        <v>173</v>
      </c>
      <c r="H24" s="16" t="s">
        <v>236</v>
      </c>
      <c r="I24" s="22">
        <v>96</v>
      </c>
    </row>
    <row r="25" spans="1:9" ht="16.5">
      <c r="A25" s="140" t="s">
        <v>206</v>
      </c>
      <c r="B25" s="141">
        <v>0</v>
      </c>
      <c r="C25" s="21" t="s">
        <v>182</v>
      </c>
      <c r="D25" s="15" t="s">
        <v>207</v>
      </c>
      <c r="E25" s="322" t="s">
        <v>171</v>
      </c>
      <c r="F25" s="16" t="s">
        <v>177</v>
      </c>
      <c r="G25" s="16" t="s">
        <v>183</v>
      </c>
      <c r="H25" s="16" t="s">
        <v>216</v>
      </c>
      <c r="I25" s="22">
        <v>272</v>
      </c>
    </row>
    <row r="26" spans="1:9" ht="16.5">
      <c r="A26" s="318" t="s">
        <v>237</v>
      </c>
      <c r="B26" s="141">
        <v>0</v>
      </c>
      <c r="C26" s="319" t="s">
        <v>192</v>
      </c>
      <c r="D26" s="320" t="s">
        <v>232</v>
      </c>
      <c r="E26" s="321" t="s">
        <v>171</v>
      </c>
      <c r="F26" s="321" t="s">
        <v>172</v>
      </c>
      <c r="G26" s="321" t="s">
        <v>185</v>
      </c>
      <c r="H26" s="321" t="s">
        <v>220</v>
      </c>
      <c r="I26" s="323">
        <v>190</v>
      </c>
    </row>
    <row r="27" spans="1:9" ht="16.5">
      <c r="A27" s="140" t="s">
        <v>208</v>
      </c>
      <c r="B27" s="141">
        <v>0</v>
      </c>
      <c r="C27" s="21" t="s">
        <v>175</v>
      </c>
      <c r="D27" s="15" t="s">
        <v>170</v>
      </c>
      <c r="E27" s="322" t="s">
        <v>171</v>
      </c>
      <c r="F27" s="16" t="s">
        <v>172</v>
      </c>
      <c r="G27" s="16" t="s">
        <v>173</v>
      </c>
      <c r="H27" s="16" t="s">
        <v>220</v>
      </c>
      <c r="I27" s="22">
        <v>195</v>
      </c>
    </row>
    <row r="28" spans="1:9" ht="16.5">
      <c r="A28" s="318" t="s">
        <v>238</v>
      </c>
      <c r="B28" s="141">
        <v>0</v>
      </c>
      <c r="C28" s="319" t="s">
        <v>176</v>
      </c>
      <c r="D28" s="15" t="s">
        <v>184</v>
      </c>
      <c r="E28" s="321" t="s">
        <v>171</v>
      </c>
      <c r="F28" s="321" t="s">
        <v>177</v>
      </c>
      <c r="G28" s="321" t="s">
        <v>173</v>
      </c>
      <c r="H28" s="321" t="s">
        <v>220</v>
      </c>
      <c r="I28" s="323">
        <v>206</v>
      </c>
    </row>
    <row r="29" spans="1:9" ht="16.5">
      <c r="A29" s="144" t="s">
        <v>239</v>
      </c>
      <c r="B29" s="145">
        <v>0</v>
      </c>
      <c r="C29" s="325" t="s">
        <v>192</v>
      </c>
      <c r="D29" s="17" t="s">
        <v>170</v>
      </c>
      <c r="E29" s="326" t="s">
        <v>171</v>
      </c>
      <c r="F29" s="147" t="s">
        <v>172</v>
      </c>
      <c r="G29" s="147" t="s">
        <v>186</v>
      </c>
      <c r="H29" s="147" t="s">
        <v>234</v>
      </c>
      <c r="I29" s="148">
        <v>108</v>
      </c>
    </row>
    <row r="30" spans="1:9" ht="16.5">
      <c r="A30" s="140" t="s">
        <v>322</v>
      </c>
      <c r="B30" s="382">
        <v>1</v>
      </c>
      <c r="C30" s="23" t="s">
        <v>196</v>
      </c>
      <c r="D30" s="15" t="s">
        <v>207</v>
      </c>
      <c r="E30" s="322" t="s">
        <v>171</v>
      </c>
      <c r="F30" s="16" t="s">
        <v>197</v>
      </c>
      <c r="G30" s="16" t="s">
        <v>180</v>
      </c>
      <c r="H30" s="16" t="s">
        <v>216</v>
      </c>
      <c r="I30" s="22">
        <v>212</v>
      </c>
    </row>
    <row r="31" spans="1:9" ht="16.5">
      <c r="A31" s="140" t="s">
        <v>319</v>
      </c>
      <c r="B31" s="382">
        <v>1</v>
      </c>
      <c r="C31" s="23" t="s">
        <v>176</v>
      </c>
      <c r="D31" s="15" t="s">
        <v>184</v>
      </c>
      <c r="E31" s="322" t="s">
        <v>332</v>
      </c>
      <c r="F31" s="16" t="s">
        <v>172</v>
      </c>
      <c r="G31" s="16" t="s">
        <v>185</v>
      </c>
      <c r="H31" s="16" t="s">
        <v>216</v>
      </c>
      <c r="I31" s="22">
        <v>227</v>
      </c>
    </row>
    <row r="32" spans="1:9" ht="16.5">
      <c r="A32" s="140" t="s">
        <v>321</v>
      </c>
      <c r="B32" s="382">
        <v>1</v>
      </c>
      <c r="C32" s="23" t="s">
        <v>176</v>
      </c>
      <c r="D32" s="15" t="s">
        <v>170</v>
      </c>
      <c r="E32" s="322" t="s">
        <v>171</v>
      </c>
      <c r="F32" s="16" t="s">
        <v>197</v>
      </c>
      <c r="G32" s="16" t="s">
        <v>185</v>
      </c>
      <c r="H32" s="16" t="s">
        <v>216</v>
      </c>
      <c r="I32" s="22">
        <v>228</v>
      </c>
    </row>
    <row r="33" spans="1:9" ht="16.5">
      <c r="A33" s="140" t="s">
        <v>156</v>
      </c>
      <c r="B33" s="382">
        <v>1</v>
      </c>
      <c r="C33" s="23" t="s">
        <v>169</v>
      </c>
      <c r="D33" s="15" t="s">
        <v>178</v>
      </c>
      <c r="E33" s="142" t="s">
        <v>171</v>
      </c>
      <c r="F33" s="16" t="s">
        <v>177</v>
      </c>
      <c r="G33" s="16" t="s">
        <v>209</v>
      </c>
      <c r="H33" s="16" t="s">
        <v>216</v>
      </c>
      <c r="I33" s="22" t="s">
        <v>219</v>
      </c>
    </row>
    <row r="34" spans="1:9" ht="16.5">
      <c r="A34" s="140" t="s">
        <v>297</v>
      </c>
      <c r="B34" s="382">
        <v>1</v>
      </c>
      <c r="C34" s="23" t="s">
        <v>175</v>
      </c>
      <c r="D34" s="15" t="s">
        <v>170</v>
      </c>
      <c r="E34" s="322" t="s">
        <v>171</v>
      </c>
      <c r="F34" s="16" t="s">
        <v>179</v>
      </c>
      <c r="G34" s="16" t="s">
        <v>173</v>
      </c>
      <c r="H34" s="16" t="s">
        <v>216</v>
      </c>
      <c r="I34" s="282">
        <v>251</v>
      </c>
    </row>
    <row r="35" spans="1:9" ht="16.5">
      <c r="A35" s="140" t="s">
        <v>318</v>
      </c>
      <c r="B35" s="382">
        <v>1</v>
      </c>
      <c r="C35" s="23" t="s">
        <v>169</v>
      </c>
      <c r="D35" s="15" t="s">
        <v>184</v>
      </c>
      <c r="E35" s="322" t="s">
        <v>171</v>
      </c>
      <c r="F35" s="16" t="s">
        <v>172</v>
      </c>
      <c r="G35" s="16" t="s">
        <v>335</v>
      </c>
      <c r="H35" s="16" t="s">
        <v>216</v>
      </c>
      <c r="I35" s="22">
        <v>256</v>
      </c>
    </row>
    <row r="36" spans="1:9" ht="16.5">
      <c r="A36" s="140" t="s">
        <v>300</v>
      </c>
      <c r="B36" s="382">
        <v>1</v>
      </c>
      <c r="C36" s="23" t="s">
        <v>169</v>
      </c>
      <c r="D36" s="15" t="s">
        <v>170</v>
      </c>
      <c r="E36" s="322" t="s">
        <v>171</v>
      </c>
      <c r="F36" s="16" t="s">
        <v>327</v>
      </c>
      <c r="G36" s="16" t="s">
        <v>185</v>
      </c>
      <c r="H36" s="16" t="s">
        <v>216</v>
      </c>
      <c r="I36" s="22">
        <v>258</v>
      </c>
    </row>
    <row r="37" spans="1:9" ht="16.5">
      <c r="A37" s="140" t="s">
        <v>320</v>
      </c>
      <c r="B37" s="382">
        <v>1</v>
      </c>
      <c r="C37" s="23" t="s">
        <v>176</v>
      </c>
      <c r="D37" s="15" t="s">
        <v>184</v>
      </c>
      <c r="E37" s="322" t="s">
        <v>171</v>
      </c>
      <c r="F37" s="16" t="s">
        <v>172</v>
      </c>
      <c r="G37" s="16" t="s">
        <v>185</v>
      </c>
      <c r="H37" s="16" t="s">
        <v>216</v>
      </c>
      <c r="I37" s="22">
        <v>269</v>
      </c>
    </row>
    <row r="38" spans="1:9" ht="16.5">
      <c r="A38" s="140" t="s">
        <v>155</v>
      </c>
      <c r="B38" s="382">
        <v>1</v>
      </c>
      <c r="C38" s="23" t="s">
        <v>182</v>
      </c>
      <c r="D38" s="15" t="s">
        <v>170</v>
      </c>
      <c r="E38" s="322" t="s">
        <v>171</v>
      </c>
      <c r="F38" s="16" t="s">
        <v>197</v>
      </c>
      <c r="G38" s="16" t="s">
        <v>185</v>
      </c>
      <c r="H38" s="16" t="s">
        <v>216</v>
      </c>
      <c r="I38" s="282">
        <v>278</v>
      </c>
    </row>
    <row r="39" spans="1:9" ht="16.5">
      <c r="A39" s="140" t="s">
        <v>346</v>
      </c>
      <c r="B39" s="382">
        <v>1</v>
      </c>
      <c r="C39" s="23" t="s">
        <v>175</v>
      </c>
      <c r="D39" s="320" t="s">
        <v>170</v>
      </c>
      <c r="E39" s="321" t="s">
        <v>171</v>
      </c>
      <c r="F39" s="16" t="s">
        <v>172</v>
      </c>
      <c r="G39" s="16" t="s">
        <v>173</v>
      </c>
      <c r="H39" s="16" t="s">
        <v>220</v>
      </c>
      <c r="I39" s="22">
        <v>195</v>
      </c>
    </row>
    <row r="40" spans="1:9" ht="16.5">
      <c r="A40" s="140" t="s">
        <v>301</v>
      </c>
      <c r="B40" s="382">
        <v>1</v>
      </c>
      <c r="C40" s="23" t="s">
        <v>175</v>
      </c>
      <c r="D40" s="15" t="s">
        <v>184</v>
      </c>
      <c r="E40" s="322" t="s">
        <v>171</v>
      </c>
      <c r="F40" s="16" t="s">
        <v>172</v>
      </c>
      <c r="G40" s="16" t="s">
        <v>209</v>
      </c>
      <c r="H40" s="16" t="s">
        <v>216</v>
      </c>
      <c r="I40" s="22">
        <v>294</v>
      </c>
    </row>
    <row r="41" spans="1:9" ht="16.5">
      <c r="A41" s="144" t="s">
        <v>298</v>
      </c>
      <c r="B41" s="383">
        <v>1</v>
      </c>
      <c r="C41" s="325" t="s">
        <v>169</v>
      </c>
      <c r="D41" s="17" t="s">
        <v>184</v>
      </c>
      <c r="E41" s="146" t="s">
        <v>171</v>
      </c>
      <c r="F41" s="147" t="s">
        <v>172</v>
      </c>
      <c r="G41" s="147" t="s">
        <v>209</v>
      </c>
      <c r="H41" s="147" t="s">
        <v>216</v>
      </c>
      <c r="I41" s="148">
        <v>297</v>
      </c>
    </row>
    <row r="42" spans="1:9" ht="16.5">
      <c r="A42" s="140" t="s">
        <v>343</v>
      </c>
      <c r="B42" s="283">
        <v>2</v>
      </c>
      <c r="C42" s="23" t="s">
        <v>176</v>
      </c>
      <c r="D42" s="15" t="s">
        <v>331</v>
      </c>
      <c r="E42" s="322" t="s">
        <v>171</v>
      </c>
      <c r="F42" s="16" t="s">
        <v>177</v>
      </c>
      <c r="G42" s="16" t="s">
        <v>185</v>
      </c>
      <c r="H42" s="16" t="s">
        <v>216</v>
      </c>
      <c r="I42" s="39">
        <v>203</v>
      </c>
    </row>
    <row r="43" spans="1:9" ht="16.5">
      <c r="A43" s="140" t="s">
        <v>347</v>
      </c>
      <c r="B43" s="283">
        <v>2</v>
      </c>
      <c r="C43" s="23" t="s">
        <v>175</v>
      </c>
      <c r="D43" s="320" t="s">
        <v>170</v>
      </c>
      <c r="E43" s="322" t="s">
        <v>171</v>
      </c>
      <c r="F43" s="16" t="s">
        <v>179</v>
      </c>
      <c r="G43" s="16" t="s">
        <v>173</v>
      </c>
      <c r="H43" s="16" t="s">
        <v>220</v>
      </c>
      <c r="I43" s="39">
        <v>31</v>
      </c>
    </row>
    <row r="44" spans="1:9" ht="16.5">
      <c r="A44" s="140" t="s">
        <v>312</v>
      </c>
      <c r="B44" s="283">
        <v>2</v>
      </c>
      <c r="C44" s="23" t="s">
        <v>176</v>
      </c>
      <c r="D44" s="15" t="s">
        <v>184</v>
      </c>
      <c r="E44" s="322" t="s">
        <v>171</v>
      </c>
      <c r="F44" s="16" t="s">
        <v>177</v>
      </c>
      <c r="G44" s="16" t="s">
        <v>185</v>
      </c>
      <c r="H44" s="16" t="s">
        <v>216</v>
      </c>
      <c r="I44" s="39">
        <v>208</v>
      </c>
    </row>
    <row r="45" spans="1:9" ht="16.5">
      <c r="A45" s="140" t="s">
        <v>303</v>
      </c>
      <c r="B45" s="283">
        <v>2</v>
      </c>
      <c r="C45" s="23" t="s">
        <v>175</v>
      </c>
      <c r="D45" s="15" t="s">
        <v>207</v>
      </c>
      <c r="E45" s="322" t="s">
        <v>171</v>
      </c>
      <c r="F45" s="16" t="s">
        <v>179</v>
      </c>
      <c r="G45" s="16" t="s">
        <v>186</v>
      </c>
      <c r="H45" s="16" t="s">
        <v>216</v>
      </c>
      <c r="I45" s="22">
        <v>232</v>
      </c>
    </row>
    <row r="46" spans="1:9" ht="16.5">
      <c r="A46" s="140" t="s">
        <v>328</v>
      </c>
      <c r="B46" s="283">
        <v>2</v>
      </c>
      <c r="C46" s="23" t="s">
        <v>175</v>
      </c>
      <c r="D46" s="14" t="s">
        <v>184</v>
      </c>
      <c r="E46" s="380" t="s">
        <v>171</v>
      </c>
      <c r="F46" s="143" t="s">
        <v>172</v>
      </c>
      <c r="G46" s="143" t="s">
        <v>173</v>
      </c>
      <c r="H46" s="143" t="s">
        <v>329</v>
      </c>
      <c r="I46" s="179">
        <v>103</v>
      </c>
    </row>
    <row r="47" spans="1:9" ht="16.5">
      <c r="A47" s="140" t="s">
        <v>304</v>
      </c>
      <c r="B47" s="283">
        <v>2</v>
      </c>
      <c r="C47" s="23" t="s">
        <v>169</v>
      </c>
      <c r="D47" s="15" t="s">
        <v>184</v>
      </c>
      <c r="E47" s="322" t="s">
        <v>171</v>
      </c>
      <c r="F47" s="16" t="s">
        <v>179</v>
      </c>
      <c r="G47" s="16" t="s">
        <v>186</v>
      </c>
      <c r="H47" s="16" t="s">
        <v>216</v>
      </c>
      <c r="I47" s="22">
        <v>236</v>
      </c>
    </row>
    <row r="48" spans="1:9" ht="16.5">
      <c r="A48" s="140" t="s">
        <v>222</v>
      </c>
      <c r="B48" s="283">
        <v>2</v>
      </c>
      <c r="C48" s="23" t="s">
        <v>175</v>
      </c>
      <c r="D48" s="14" t="s">
        <v>170</v>
      </c>
      <c r="E48" s="322" t="s">
        <v>171</v>
      </c>
      <c r="F48" s="16" t="s">
        <v>194</v>
      </c>
      <c r="G48" s="16" t="s">
        <v>193</v>
      </c>
      <c r="H48" s="16" t="s">
        <v>216</v>
      </c>
      <c r="I48" s="22">
        <v>238</v>
      </c>
    </row>
    <row r="49" spans="1:9" ht="16.5">
      <c r="A49" s="140" t="s">
        <v>305</v>
      </c>
      <c r="B49" s="283">
        <v>2</v>
      </c>
      <c r="C49" s="23" t="s">
        <v>192</v>
      </c>
      <c r="D49" s="15" t="s">
        <v>323</v>
      </c>
      <c r="E49" s="322" t="s">
        <v>171</v>
      </c>
      <c r="F49" s="16" t="s">
        <v>330</v>
      </c>
      <c r="G49" s="16" t="s">
        <v>180</v>
      </c>
      <c r="H49" s="16" t="s">
        <v>216</v>
      </c>
      <c r="I49" s="22">
        <v>245</v>
      </c>
    </row>
    <row r="50" spans="1:9" ht="16.5">
      <c r="A50" s="140" t="s">
        <v>313</v>
      </c>
      <c r="B50" s="283">
        <v>2</v>
      </c>
      <c r="C50" s="23" t="s">
        <v>192</v>
      </c>
      <c r="D50" s="15" t="s">
        <v>170</v>
      </c>
      <c r="E50" s="322" t="s">
        <v>171</v>
      </c>
      <c r="F50" s="16" t="s">
        <v>197</v>
      </c>
      <c r="G50" s="16" t="s">
        <v>185</v>
      </c>
      <c r="H50" s="16" t="s">
        <v>216</v>
      </c>
      <c r="I50" s="22">
        <v>254</v>
      </c>
    </row>
    <row r="51" spans="1:9" ht="16.5">
      <c r="A51" s="140" t="s">
        <v>316</v>
      </c>
      <c r="B51" s="283">
        <v>2</v>
      </c>
      <c r="C51" s="23" t="s">
        <v>182</v>
      </c>
      <c r="D51" s="15" t="s">
        <v>178</v>
      </c>
      <c r="E51" s="322" t="s">
        <v>171</v>
      </c>
      <c r="F51" s="16" t="s">
        <v>177</v>
      </c>
      <c r="G51" s="16" t="s">
        <v>209</v>
      </c>
      <c r="H51" s="16" t="s">
        <v>216</v>
      </c>
      <c r="I51" s="22">
        <v>266</v>
      </c>
    </row>
    <row r="52" spans="1:9" ht="16.5">
      <c r="A52" s="140" t="s">
        <v>314</v>
      </c>
      <c r="B52" s="283">
        <v>2</v>
      </c>
      <c r="C52" s="23" t="s">
        <v>182</v>
      </c>
      <c r="D52" s="15" t="s">
        <v>331</v>
      </c>
      <c r="E52" s="322" t="s">
        <v>171</v>
      </c>
      <c r="F52" s="16" t="s">
        <v>177</v>
      </c>
      <c r="G52" s="16" t="s">
        <v>180</v>
      </c>
      <c r="H52" s="16" t="s">
        <v>216</v>
      </c>
      <c r="I52" s="22">
        <v>272</v>
      </c>
    </row>
    <row r="53" spans="1:9" ht="16.5">
      <c r="A53" s="140" t="s">
        <v>315</v>
      </c>
      <c r="B53" s="283">
        <v>2</v>
      </c>
      <c r="C53" s="23" t="s">
        <v>175</v>
      </c>
      <c r="D53" s="15" t="s">
        <v>170</v>
      </c>
      <c r="E53" s="322" t="s">
        <v>171</v>
      </c>
      <c r="F53" s="16" t="s">
        <v>172</v>
      </c>
      <c r="G53" s="16" t="s">
        <v>173</v>
      </c>
      <c r="H53" s="16" t="s">
        <v>216</v>
      </c>
      <c r="I53" s="22">
        <v>274</v>
      </c>
    </row>
    <row r="54" spans="1:9" ht="16.5">
      <c r="A54" s="140" t="s">
        <v>215</v>
      </c>
      <c r="B54" s="283">
        <v>2</v>
      </c>
      <c r="C54" s="23" t="s">
        <v>196</v>
      </c>
      <c r="D54" s="15" t="s">
        <v>184</v>
      </c>
      <c r="E54" s="142" t="s">
        <v>171</v>
      </c>
      <c r="F54" s="16" t="s">
        <v>179</v>
      </c>
      <c r="G54" s="16" t="s">
        <v>180</v>
      </c>
      <c r="H54" s="16" t="s">
        <v>216</v>
      </c>
      <c r="I54" s="282">
        <v>275</v>
      </c>
    </row>
    <row r="55" spans="1:9" ht="16.5">
      <c r="A55" s="144" t="s">
        <v>317</v>
      </c>
      <c r="B55" s="292">
        <v>2</v>
      </c>
      <c r="C55" s="325" t="s">
        <v>169</v>
      </c>
      <c r="D55" s="17" t="s">
        <v>207</v>
      </c>
      <c r="E55" s="326" t="s">
        <v>332</v>
      </c>
      <c r="F55" s="147" t="s">
        <v>172</v>
      </c>
      <c r="G55" s="147" t="s">
        <v>186</v>
      </c>
      <c r="H55" s="147" t="s">
        <v>216</v>
      </c>
      <c r="I55" s="148">
        <v>286</v>
      </c>
    </row>
    <row r="56" spans="1:9" ht="16.5">
      <c r="A56" s="140" t="s">
        <v>308</v>
      </c>
      <c r="B56" s="327">
        <v>3</v>
      </c>
      <c r="C56" s="23" t="s">
        <v>182</v>
      </c>
      <c r="D56" s="15" t="s">
        <v>170</v>
      </c>
      <c r="E56" s="322" t="s">
        <v>171</v>
      </c>
      <c r="F56" s="16" t="s">
        <v>179</v>
      </c>
      <c r="G56" s="16" t="s">
        <v>173</v>
      </c>
      <c r="H56" s="16" t="s">
        <v>216</v>
      </c>
      <c r="I56" s="22">
        <v>223</v>
      </c>
    </row>
    <row r="57" spans="1:9" ht="16.5">
      <c r="A57" s="140" t="s">
        <v>306</v>
      </c>
      <c r="B57" s="327">
        <v>3</v>
      </c>
      <c r="C57" s="23" t="s">
        <v>175</v>
      </c>
      <c r="D57" s="15" t="s">
        <v>184</v>
      </c>
      <c r="E57" s="322" t="s">
        <v>171</v>
      </c>
      <c r="F57" s="16" t="s">
        <v>334</v>
      </c>
      <c r="G57" s="16" t="s">
        <v>173</v>
      </c>
      <c r="H57" s="16" t="s">
        <v>216</v>
      </c>
      <c r="I57" s="282">
        <v>231</v>
      </c>
    </row>
    <row r="58" spans="1:9" ht="16.5">
      <c r="A58" s="140" t="s">
        <v>309</v>
      </c>
      <c r="B58" s="327">
        <v>3</v>
      </c>
      <c r="C58" s="23" t="s">
        <v>176</v>
      </c>
      <c r="D58" s="15" t="s">
        <v>323</v>
      </c>
      <c r="E58" s="322" t="s">
        <v>171</v>
      </c>
      <c r="F58" s="16" t="s">
        <v>177</v>
      </c>
      <c r="G58" s="16" t="s">
        <v>185</v>
      </c>
      <c r="H58" s="16" t="s">
        <v>216</v>
      </c>
      <c r="I58" s="22">
        <v>232</v>
      </c>
    </row>
    <row r="59" spans="1:9" ht="16.5">
      <c r="A59" s="140" t="s">
        <v>302</v>
      </c>
      <c r="B59" s="327">
        <v>3</v>
      </c>
      <c r="C59" s="23" t="s">
        <v>169</v>
      </c>
      <c r="D59" s="15" t="s">
        <v>184</v>
      </c>
      <c r="E59" s="16" t="s">
        <v>171</v>
      </c>
      <c r="F59" s="16" t="s">
        <v>172</v>
      </c>
      <c r="G59" s="16" t="s">
        <v>186</v>
      </c>
      <c r="H59" s="16" t="s">
        <v>216</v>
      </c>
      <c r="I59" s="22">
        <v>237</v>
      </c>
    </row>
    <row r="60" spans="1:9" ht="16.5">
      <c r="A60" s="140" t="s">
        <v>337</v>
      </c>
      <c r="B60" s="327">
        <v>3</v>
      </c>
      <c r="C60" s="23" t="s">
        <v>169</v>
      </c>
      <c r="D60" s="15" t="s">
        <v>184</v>
      </c>
      <c r="E60" s="322" t="s">
        <v>171</v>
      </c>
      <c r="F60" s="143" t="s">
        <v>177</v>
      </c>
      <c r="G60" s="16" t="s">
        <v>209</v>
      </c>
      <c r="H60" s="16" t="s">
        <v>336</v>
      </c>
      <c r="I60" s="179">
        <v>114</v>
      </c>
    </row>
    <row r="61" spans="1:9" ht="16.5">
      <c r="A61" s="140" t="s">
        <v>299</v>
      </c>
      <c r="B61" s="327">
        <v>3</v>
      </c>
      <c r="C61" s="21" t="s">
        <v>176</v>
      </c>
      <c r="D61" s="15" t="s">
        <v>170</v>
      </c>
      <c r="E61" s="16" t="s">
        <v>171</v>
      </c>
      <c r="F61" s="16" t="s">
        <v>179</v>
      </c>
      <c r="G61" s="16" t="s">
        <v>16</v>
      </c>
      <c r="H61" s="16" t="s">
        <v>220</v>
      </c>
      <c r="I61" s="384">
        <v>136</v>
      </c>
    </row>
    <row r="62" spans="1:9" ht="16.5">
      <c r="A62" s="140" t="s">
        <v>225</v>
      </c>
      <c r="B62" s="327">
        <v>3</v>
      </c>
      <c r="C62" s="23" t="s">
        <v>176</v>
      </c>
      <c r="D62" s="15" t="s">
        <v>184</v>
      </c>
      <c r="E62" s="322" t="s">
        <v>171</v>
      </c>
      <c r="F62" s="143" t="s">
        <v>172</v>
      </c>
      <c r="G62" s="16" t="s">
        <v>186</v>
      </c>
      <c r="H62" s="16" t="s">
        <v>216</v>
      </c>
      <c r="I62" s="39">
        <v>239</v>
      </c>
    </row>
    <row r="63" spans="1:9" ht="16.5">
      <c r="A63" s="140" t="s">
        <v>341</v>
      </c>
      <c r="B63" s="327">
        <v>3</v>
      </c>
      <c r="C63" s="23" t="s">
        <v>176</v>
      </c>
      <c r="D63" s="15" t="s">
        <v>170</v>
      </c>
      <c r="E63" s="322" t="s">
        <v>171</v>
      </c>
      <c r="F63" s="143" t="s">
        <v>197</v>
      </c>
      <c r="G63" s="16" t="s">
        <v>209</v>
      </c>
      <c r="H63" s="16" t="s">
        <v>342</v>
      </c>
      <c r="I63" s="39">
        <v>107</v>
      </c>
    </row>
    <row r="64" spans="1:9" ht="16.5">
      <c r="A64" s="140" t="s">
        <v>348</v>
      </c>
      <c r="B64" s="327">
        <v>3</v>
      </c>
      <c r="C64" s="23" t="s">
        <v>175</v>
      </c>
      <c r="D64" s="15" t="s">
        <v>184</v>
      </c>
      <c r="E64" s="322" t="s">
        <v>171</v>
      </c>
      <c r="F64" s="16" t="s">
        <v>349</v>
      </c>
      <c r="G64" s="16" t="s">
        <v>173</v>
      </c>
      <c r="H64" s="16" t="s">
        <v>216</v>
      </c>
      <c r="I64" s="22">
        <v>248</v>
      </c>
    </row>
    <row r="65" spans="1:9" ht="16.5">
      <c r="A65" s="140" t="s">
        <v>324</v>
      </c>
      <c r="B65" s="327">
        <v>3</v>
      </c>
      <c r="C65" s="23" t="s">
        <v>182</v>
      </c>
      <c r="D65" s="15" t="s">
        <v>325</v>
      </c>
      <c r="E65" s="322" t="s">
        <v>171</v>
      </c>
      <c r="F65" s="16" t="s">
        <v>326</v>
      </c>
      <c r="G65" s="16" t="s">
        <v>180</v>
      </c>
      <c r="H65" s="16" t="s">
        <v>216</v>
      </c>
      <c r="I65" s="22">
        <v>250</v>
      </c>
    </row>
    <row r="66" spans="1:9" ht="16.5">
      <c r="A66" s="140" t="s">
        <v>338</v>
      </c>
      <c r="B66" s="327">
        <v>3</v>
      </c>
      <c r="C66" s="23" t="s">
        <v>169</v>
      </c>
      <c r="D66" s="15" t="s">
        <v>170</v>
      </c>
      <c r="E66" s="16" t="s">
        <v>339</v>
      </c>
      <c r="F66" s="143" t="s">
        <v>340</v>
      </c>
      <c r="G66" s="16" t="s">
        <v>209</v>
      </c>
      <c r="H66" s="16" t="s">
        <v>216</v>
      </c>
      <c r="I66" s="22">
        <v>260</v>
      </c>
    </row>
    <row r="67" spans="1:9" ht="16.5">
      <c r="A67" s="140" t="s">
        <v>310</v>
      </c>
      <c r="B67" s="327">
        <v>3</v>
      </c>
      <c r="C67" s="23" t="s">
        <v>176</v>
      </c>
      <c r="D67" s="15" t="s">
        <v>184</v>
      </c>
      <c r="E67" s="322" t="s">
        <v>171</v>
      </c>
      <c r="F67" s="16" t="s">
        <v>172</v>
      </c>
      <c r="G67" s="16" t="s">
        <v>186</v>
      </c>
      <c r="H67" s="16" t="s">
        <v>216</v>
      </c>
      <c r="I67" s="22">
        <v>280</v>
      </c>
    </row>
    <row r="68" spans="1:9" ht="16.5">
      <c r="A68" s="140" t="s">
        <v>311</v>
      </c>
      <c r="B68" s="327">
        <v>3</v>
      </c>
      <c r="C68" s="23" t="s">
        <v>169</v>
      </c>
      <c r="D68" s="15" t="s">
        <v>184</v>
      </c>
      <c r="E68" s="322" t="s">
        <v>171</v>
      </c>
      <c r="F68" s="16" t="s">
        <v>179</v>
      </c>
      <c r="G68" s="16" t="s">
        <v>186</v>
      </c>
      <c r="H68" s="16" t="s">
        <v>216</v>
      </c>
      <c r="I68" s="22">
        <v>284</v>
      </c>
    </row>
    <row r="69" spans="1:9" ht="16.5">
      <c r="A69" s="140" t="s">
        <v>333</v>
      </c>
      <c r="B69" s="327">
        <v>3</v>
      </c>
      <c r="C69" s="23" t="s">
        <v>169</v>
      </c>
      <c r="D69" s="15" t="s">
        <v>207</v>
      </c>
      <c r="E69" s="322" t="s">
        <v>332</v>
      </c>
      <c r="F69" s="143" t="s">
        <v>172</v>
      </c>
      <c r="G69" s="16" t="s">
        <v>186</v>
      </c>
      <c r="H69" s="16" t="s">
        <v>216</v>
      </c>
      <c r="I69" s="39">
        <v>286</v>
      </c>
    </row>
    <row r="70" spans="1:9" ht="16.5">
      <c r="A70" s="144" t="s">
        <v>307</v>
      </c>
      <c r="B70" s="387">
        <v>3</v>
      </c>
      <c r="C70" s="325" t="s">
        <v>175</v>
      </c>
      <c r="D70" s="17" t="s">
        <v>207</v>
      </c>
      <c r="E70" s="326" t="s">
        <v>171</v>
      </c>
      <c r="F70" s="147" t="s">
        <v>179</v>
      </c>
      <c r="G70" s="147" t="s">
        <v>186</v>
      </c>
      <c r="H70" s="147" t="s">
        <v>216</v>
      </c>
      <c r="I70" s="388">
        <v>302</v>
      </c>
    </row>
    <row r="71" spans="1:9" ht="16.5">
      <c r="A71" s="140" t="s">
        <v>356</v>
      </c>
      <c r="B71" s="385">
        <v>4</v>
      </c>
      <c r="C71" s="23"/>
      <c r="D71" s="15"/>
      <c r="E71" s="322"/>
      <c r="F71" s="143"/>
      <c r="G71" s="16"/>
      <c r="H71" s="16" t="s">
        <v>336</v>
      </c>
      <c r="I71" s="39">
        <v>106</v>
      </c>
    </row>
    <row r="72" spans="1:9" ht="16.5">
      <c r="A72" s="140" t="s">
        <v>361</v>
      </c>
      <c r="B72" s="385">
        <v>4</v>
      </c>
      <c r="C72" s="23" t="s">
        <v>176</v>
      </c>
      <c r="D72" s="15" t="s">
        <v>199</v>
      </c>
      <c r="E72" s="322" t="s">
        <v>171</v>
      </c>
      <c r="F72" s="16" t="s">
        <v>334</v>
      </c>
      <c r="G72" s="16" t="s">
        <v>173</v>
      </c>
      <c r="H72" s="16" t="s">
        <v>216</v>
      </c>
      <c r="I72" s="22">
        <v>221</v>
      </c>
    </row>
    <row r="73" spans="1:9" ht="16.5">
      <c r="A73" s="140" t="s">
        <v>362</v>
      </c>
      <c r="B73" s="385">
        <v>4</v>
      </c>
      <c r="C73" s="23" t="s">
        <v>192</v>
      </c>
      <c r="D73" s="15" t="s">
        <v>170</v>
      </c>
      <c r="E73" s="322" t="s">
        <v>171</v>
      </c>
      <c r="F73" s="16" t="s">
        <v>177</v>
      </c>
      <c r="G73" s="16" t="s">
        <v>186</v>
      </c>
      <c r="H73" s="16" t="s">
        <v>216</v>
      </c>
      <c r="I73" s="22">
        <v>245</v>
      </c>
    </row>
    <row r="74" spans="1:9" ht="17.25" thickBot="1">
      <c r="A74" s="149" t="s">
        <v>357</v>
      </c>
      <c r="B74" s="386">
        <v>4</v>
      </c>
      <c r="C74" s="377" t="s">
        <v>175</v>
      </c>
      <c r="D74" s="24" t="s">
        <v>184</v>
      </c>
      <c r="E74" s="378" t="s">
        <v>171</v>
      </c>
      <c r="F74" s="379" t="s">
        <v>179</v>
      </c>
      <c r="G74" s="379" t="s">
        <v>186</v>
      </c>
      <c r="H74" s="379" t="s">
        <v>220</v>
      </c>
      <c r="I74" s="381">
        <v>232</v>
      </c>
    </row>
    <row r="75" spans="1:9" ht="16.5" thickTop="1"/>
  </sheetData>
  <sortState ref="A3:I66">
    <sortCondition ref="B3:B66"/>
    <sortCondition ref="A3:A66"/>
  </sortState>
  <conditionalFormatting sqref="B70">
    <cfRule type="cellIs" dxfId="33" priority="12" operator="equal">
      <formula>9</formula>
    </cfRule>
    <cfRule type="cellIs" dxfId="32" priority="13" operator="equal">
      <formula>8</formula>
    </cfRule>
    <cfRule type="cellIs" dxfId="31" priority="14" operator="equal">
      <formula>7</formula>
    </cfRule>
    <cfRule type="cellIs" dxfId="30" priority="15" operator="equal">
      <formula>6</formula>
    </cfRule>
    <cfRule type="cellIs" dxfId="29" priority="16" operator="equal">
      <formula>5</formula>
    </cfRule>
    <cfRule type="cellIs" dxfId="28" priority="17" operator="equal">
      <formula>4</formula>
    </cfRule>
    <cfRule type="cellIs" dxfId="27" priority="18" operator="equal">
      <formula>3</formula>
    </cfRule>
    <cfRule type="cellIs" dxfId="26" priority="19" operator="equal">
      <formula>2</formula>
    </cfRule>
    <cfRule type="cellIs" dxfId="25" priority="20" operator="equal">
      <formula>1</formula>
    </cfRule>
    <cfRule type="containsBlanks" dxfId="24" priority="21">
      <formula>LEN(TRIM(B70))=0</formula>
    </cfRule>
    <cfRule type="cellIs" dxfId="23" priority="22" operator="equal">
      <formula>0</formula>
    </cfRule>
  </conditionalFormatting>
  <conditionalFormatting sqref="B74">
    <cfRule type="cellIs" dxfId="22" priority="1" operator="equal">
      <formula>9</formula>
    </cfRule>
    <cfRule type="cellIs" dxfId="21" priority="2" operator="equal">
      <formula>8</formula>
    </cfRule>
    <cfRule type="cellIs" dxfId="20" priority="3" operator="equal">
      <formula>7</formula>
    </cfRule>
    <cfRule type="cellIs" dxfId="19" priority="4" operator="equal">
      <formula>6</formula>
    </cfRule>
    <cfRule type="cellIs" dxfId="18" priority="5" operator="equal">
      <formula>5</formula>
    </cfRule>
    <cfRule type="cellIs" dxfId="17" priority="6" operator="equal">
      <formula>4</formula>
    </cfRule>
    <cfRule type="cellIs" dxfId="16" priority="7" operator="equal">
      <formula>3</formula>
    </cfRule>
    <cfRule type="cellIs" dxfId="15" priority="8" operator="equal">
      <formula>2</formula>
    </cfRule>
    <cfRule type="cellIs" dxfId="14" priority="9" operator="equal">
      <formula>1</formula>
    </cfRule>
    <cfRule type="containsBlanks" dxfId="13" priority="10">
      <formula>LEN(TRIM(B74))=0</formula>
    </cfRule>
    <cfRule type="cellIs" dxfId="12"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ColWidth="10.625" defaultRowHeight="15.75"/>
  <cols>
    <col min="1" max="1" width="13" style="392" bestFit="1" customWidth="1"/>
    <col min="2" max="2" width="3.125" style="392" bestFit="1" customWidth="1"/>
    <col min="3" max="3" width="5.625" style="392" bestFit="1" customWidth="1"/>
    <col min="4" max="4" width="3.75" style="392" bestFit="1" customWidth="1"/>
    <col min="5" max="5" width="5.75" style="392" bestFit="1" customWidth="1"/>
    <col min="6" max="6" width="1.875" style="392" customWidth="1"/>
    <col min="7" max="7" width="16.5" style="392" bestFit="1" customWidth="1"/>
    <col min="8" max="8" width="3.5" style="392" bestFit="1" customWidth="1"/>
    <col min="9" max="9" width="3.375" style="392" bestFit="1" customWidth="1"/>
    <col min="10" max="10" width="4.25" style="392" customWidth="1"/>
    <col min="11" max="11" width="3.625" style="392" bestFit="1" customWidth="1"/>
    <col min="12" max="15" width="3.5" style="392" bestFit="1" customWidth="1"/>
    <col min="16" max="16" width="2.375" style="392" customWidth="1"/>
    <col min="17" max="17" width="17.25" style="392" bestFit="1" customWidth="1"/>
    <col min="18" max="18" width="3.125" style="392" bestFit="1" customWidth="1"/>
    <col min="19" max="19" width="5.625" style="392" bestFit="1" customWidth="1"/>
    <col min="20" max="20" width="3.75" style="392" bestFit="1" customWidth="1"/>
    <col min="21" max="21" width="5.75" style="392" bestFit="1" customWidth="1"/>
    <col min="22" max="16384" width="10.625" style="392"/>
  </cols>
  <sheetData>
    <row r="1" spans="1:21" ht="20.25" thickTop="1" thickBot="1">
      <c r="A1" s="482" t="s">
        <v>288</v>
      </c>
      <c r="B1" s="389"/>
      <c r="C1" s="390"/>
      <c r="D1" s="390"/>
      <c r="E1" s="391"/>
      <c r="G1" s="393"/>
      <c r="H1" s="394" t="s">
        <v>289</v>
      </c>
      <c r="I1" s="395"/>
      <c r="J1" s="396"/>
      <c r="K1" s="396"/>
      <c r="L1" s="396"/>
      <c r="M1" s="396"/>
      <c r="N1" s="396"/>
      <c r="O1" s="397"/>
      <c r="Q1" s="483" t="s">
        <v>151</v>
      </c>
      <c r="R1" s="398"/>
      <c r="S1" s="399"/>
      <c r="T1" s="399"/>
      <c r="U1" s="400"/>
    </row>
    <row r="2" spans="1:21" ht="17.25" thickTop="1" thickBot="1">
      <c r="A2" s="401" t="s">
        <v>296</v>
      </c>
      <c r="B2" s="402" t="s">
        <v>353</v>
      </c>
      <c r="C2" s="402" t="s">
        <v>99</v>
      </c>
      <c r="D2" s="402" t="s">
        <v>100</v>
      </c>
      <c r="E2" s="403" t="s">
        <v>101</v>
      </c>
      <c r="G2" s="393"/>
      <c r="H2" s="404" t="s">
        <v>114</v>
      </c>
      <c r="I2" s="405" t="s">
        <v>106</v>
      </c>
      <c r="J2" s="405" t="s">
        <v>107</v>
      </c>
      <c r="K2" s="405" t="s">
        <v>108</v>
      </c>
      <c r="L2" s="405" t="s">
        <v>109</v>
      </c>
      <c r="M2" s="405" t="s">
        <v>110</v>
      </c>
      <c r="N2" s="405" t="s">
        <v>111</v>
      </c>
      <c r="O2" s="406" t="s">
        <v>112</v>
      </c>
      <c r="Q2" s="407" t="s">
        <v>96</v>
      </c>
      <c r="R2" s="408" t="s">
        <v>353</v>
      </c>
      <c r="S2" s="408" t="s">
        <v>99</v>
      </c>
      <c r="T2" s="409" t="s">
        <v>100</v>
      </c>
      <c r="U2" s="410" t="s">
        <v>101</v>
      </c>
    </row>
    <row r="3" spans="1:21" ht="16.5" thickTop="1">
      <c r="A3" s="411">
        <f>$H$5</f>
        <v>6</v>
      </c>
      <c r="B3" s="412">
        <v>0</v>
      </c>
      <c r="C3" s="412">
        <v>0</v>
      </c>
      <c r="D3" s="413">
        <f>10+B3+C3+'Personal File'!$C$15</f>
        <v>11</v>
      </c>
      <c r="E3" s="414">
        <v>0</v>
      </c>
      <c r="G3" s="415" t="s">
        <v>288</v>
      </c>
      <c r="H3" s="416">
        <v>6</v>
      </c>
      <c r="I3" s="417">
        <f>2*6</f>
        <v>12</v>
      </c>
      <c r="J3" s="417">
        <v>3</v>
      </c>
      <c r="K3" s="418">
        <v>0</v>
      </c>
      <c r="L3" s="418">
        <v>0</v>
      </c>
      <c r="M3" s="418">
        <v>0</v>
      </c>
      <c r="N3" s="418">
        <v>0</v>
      </c>
      <c r="O3" s="419">
        <v>0</v>
      </c>
      <c r="Q3" s="420" t="s">
        <v>152</v>
      </c>
      <c r="R3" s="421">
        <v>0</v>
      </c>
      <c r="S3" s="421">
        <v>0</v>
      </c>
      <c r="T3" s="422">
        <f>10+R3+S3+'Personal File'!$C$13</f>
        <v>14</v>
      </c>
      <c r="U3" s="423" t="s">
        <v>102</v>
      </c>
    </row>
    <row r="4" spans="1:21">
      <c r="A4" s="424">
        <f>$I$5</f>
        <v>13</v>
      </c>
      <c r="B4" s="425">
        <v>0</v>
      </c>
      <c r="C4" s="425">
        <v>1</v>
      </c>
      <c r="D4" s="426">
        <f>10+B4+C4+'Personal File'!$C$15</f>
        <v>12</v>
      </c>
      <c r="E4" s="427">
        <v>0</v>
      </c>
      <c r="G4" s="428" t="s">
        <v>287</v>
      </c>
      <c r="H4" s="429">
        <v>0</v>
      </c>
      <c r="I4" s="429">
        <v>1</v>
      </c>
      <c r="J4" s="429">
        <v>0</v>
      </c>
      <c r="K4" s="430">
        <v>0</v>
      </c>
      <c r="L4" s="430">
        <v>0</v>
      </c>
      <c r="M4" s="430">
        <v>0</v>
      </c>
      <c r="N4" s="430">
        <v>0</v>
      </c>
      <c r="O4" s="431">
        <v>0</v>
      </c>
      <c r="Q4" s="420" t="s">
        <v>154</v>
      </c>
      <c r="R4" s="421">
        <v>1</v>
      </c>
      <c r="S4" s="421">
        <v>0</v>
      </c>
      <c r="T4" s="422">
        <f>10+R4+S4+'Personal File'!$C$13</f>
        <v>15</v>
      </c>
      <c r="U4" s="423" t="s">
        <v>102</v>
      </c>
    </row>
    <row r="5" spans="1:21" ht="16.5" thickBot="1">
      <c r="A5" s="477">
        <f>$J$5</f>
        <v>3</v>
      </c>
      <c r="B5" s="478">
        <v>0</v>
      </c>
      <c r="C5" s="478">
        <v>2</v>
      </c>
      <c r="D5" s="479">
        <f>10+B5+C5+'Personal File'!$C$15</f>
        <v>13</v>
      </c>
      <c r="E5" s="432">
        <v>0</v>
      </c>
      <c r="G5" s="433" t="s">
        <v>122</v>
      </c>
      <c r="H5" s="434">
        <f>SUM(H3:H4)</f>
        <v>6</v>
      </c>
      <c r="I5" s="434">
        <f>SUM(I3:I4)</f>
        <v>13</v>
      </c>
      <c r="J5" s="434">
        <f>SUM(J3:J4)</f>
        <v>3</v>
      </c>
      <c r="K5" s="435">
        <v>0</v>
      </c>
      <c r="L5" s="435">
        <v>0</v>
      </c>
      <c r="M5" s="435">
        <v>0</v>
      </c>
      <c r="N5" s="435">
        <v>0</v>
      </c>
      <c r="O5" s="436">
        <v>0</v>
      </c>
      <c r="Q5" s="420" t="s">
        <v>145</v>
      </c>
      <c r="R5" s="421">
        <v>0</v>
      </c>
      <c r="S5" s="421">
        <v>0</v>
      </c>
      <c r="T5" s="422">
        <f>10+R5+S5+'Personal File'!$C$13</f>
        <v>14</v>
      </c>
      <c r="U5" s="423" t="s">
        <v>102</v>
      </c>
    </row>
    <row r="6" spans="1:21" ht="17.25" thickTop="1" thickBot="1">
      <c r="Q6" s="437" t="s">
        <v>205</v>
      </c>
      <c r="R6" s="438">
        <v>0</v>
      </c>
      <c r="S6" s="438">
        <v>0</v>
      </c>
      <c r="T6" s="439">
        <f>10+R6+S6+'Personal File'!$C$13</f>
        <v>14</v>
      </c>
      <c r="U6" s="440" t="s">
        <v>102</v>
      </c>
    </row>
    <row r="7" spans="1:21" ht="20.25" thickTop="1" thickBot="1">
      <c r="A7" s="483" t="s">
        <v>210</v>
      </c>
      <c r="B7" s="398"/>
      <c r="C7" s="399"/>
      <c r="D7" s="399"/>
      <c r="E7" s="400"/>
      <c r="G7" s="393"/>
      <c r="H7" s="441" t="s">
        <v>290</v>
      </c>
      <c r="I7" s="395"/>
      <c r="J7" s="396"/>
      <c r="K7" s="396"/>
      <c r="L7" s="396"/>
      <c r="M7" s="396"/>
      <c r="N7" s="396"/>
      <c r="O7" s="397"/>
      <c r="Q7" s="420" t="s">
        <v>319</v>
      </c>
      <c r="R7" s="421">
        <v>0</v>
      </c>
      <c r="S7" s="421">
        <v>1</v>
      </c>
      <c r="T7" s="422">
        <f>10+R7+S7+'Personal File'!$C$13</f>
        <v>15</v>
      </c>
      <c r="U7" s="423" t="s">
        <v>102</v>
      </c>
    </row>
    <row r="8" spans="1:21" ht="17.25" thickTop="1" thickBot="1">
      <c r="A8" s="407" t="s">
        <v>96</v>
      </c>
      <c r="B8" s="408" t="s">
        <v>353</v>
      </c>
      <c r="C8" s="408" t="s">
        <v>99</v>
      </c>
      <c r="D8" s="409" t="s">
        <v>100</v>
      </c>
      <c r="E8" s="410" t="s">
        <v>101</v>
      </c>
      <c r="G8" s="393"/>
      <c r="H8" s="443" t="s">
        <v>114</v>
      </c>
      <c r="I8" s="444" t="s">
        <v>106</v>
      </c>
      <c r="J8" s="444" t="s">
        <v>107</v>
      </c>
      <c r="K8" s="444" t="s">
        <v>108</v>
      </c>
      <c r="L8" s="444" t="s">
        <v>109</v>
      </c>
      <c r="M8" s="444" t="s">
        <v>110</v>
      </c>
      <c r="N8" s="444" t="s">
        <v>111</v>
      </c>
      <c r="O8" s="445" t="s">
        <v>112</v>
      </c>
      <c r="Q8" s="442" t="s">
        <v>297</v>
      </c>
      <c r="R8" s="421">
        <v>1</v>
      </c>
      <c r="S8" s="421">
        <v>1</v>
      </c>
      <c r="T8" s="422">
        <f>10+R8+S8+'Personal File'!$C$13</f>
        <v>16</v>
      </c>
      <c r="U8" s="423" t="s">
        <v>370</v>
      </c>
    </row>
    <row r="9" spans="1:21" ht="16.5" thickTop="1">
      <c r="A9" s="446" t="s">
        <v>116</v>
      </c>
      <c r="B9" s="337">
        <v>0</v>
      </c>
      <c r="C9" s="337">
        <v>0</v>
      </c>
      <c r="D9" s="447">
        <f>10+B9+C9+'Personal File'!$C$13+1</f>
        <v>15</v>
      </c>
      <c r="E9" s="448" t="s">
        <v>102</v>
      </c>
      <c r="G9" s="415" t="s">
        <v>150</v>
      </c>
      <c r="H9" s="416">
        <v>4</v>
      </c>
      <c r="I9" s="417">
        <f>4*2</f>
        <v>8</v>
      </c>
      <c r="J9" s="417">
        <v>3</v>
      </c>
      <c r="K9" s="417">
        <v>2</v>
      </c>
      <c r="L9" s="417">
        <v>1</v>
      </c>
      <c r="M9" s="418">
        <v>0</v>
      </c>
      <c r="N9" s="418">
        <v>0</v>
      </c>
      <c r="O9" s="419">
        <v>0</v>
      </c>
      <c r="Q9" s="420" t="s">
        <v>297</v>
      </c>
      <c r="R9" s="421">
        <v>1</v>
      </c>
      <c r="S9" s="421">
        <v>1</v>
      </c>
      <c r="T9" s="422">
        <f>10+R9+S9+'Personal File'!$C$13</f>
        <v>16</v>
      </c>
      <c r="U9" s="423" t="s">
        <v>370</v>
      </c>
    </row>
    <row r="10" spans="1:21">
      <c r="A10" s="449" t="s">
        <v>145</v>
      </c>
      <c r="B10" s="450">
        <v>0</v>
      </c>
      <c r="C10" s="450">
        <v>0</v>
      </c>
      <c r="D10" s="451">
        <f>10+B10+C10+'Personal File'!$C$13+1</f>
        <v>15</v>
      </c>
      <c r="E10" s="423" t="s">
        <v>102</v>
      </c>
      <c r="G10" s="428" t="s">
        <v>253</v>
      </c>
      <c r="H10" s="429">
        <v>0</v>
      </c>
      <c r="I10" s="429">
        <v>1</v>
      </c>
      <c r="J10" s="429">
        <v>1</v>
      </c>
      <c r="K10" s="429">
        <v>1</v>
      </c>
      <c r="L10" s="429">
        <v>1</v>
      </c>
      <c r="M10" s="430">
        <v>0</v>
      </c>
      <c r="N10" s="430">
        <v>0</v>
      </c>
      <c r="O10" s="431">
        <v>0</v>
      </c>
      <c r="Q10" s="420" t="s">
        <v>297</v>
      </c>
      <c r="R10" s="421">
        <v>1</v>
      </c>
      <c r="S10" s="421">
        <v>1</v>
      </c>
      <c r="T10" s="422">
        <f>10+R10+S10+'Personal File'!$C$13</f>
        <v>16</v>
      </c>
      <c r="U10" s="423" t="s">
        <v>370</v>
      </c>
    </row>
    <row r="11" spans="1:21">
      <c r="A11" s="449" t="s">
        <v>146</v>
      </c>
      <c r="B11" s="450">
        <v>0</v>
      </c>
      <c r="C11" s="450">
        <v>0</v>
      </c>
      <c r="D11" s="451">
        <f>10+B11+C11+'Personal File'!$C$13+1</f>
        <v>15</v>
      </c>
      <c r="E11" s="423" t="s">
        <v>102</v>
      </c>
      <c r="G11" s="428" t="s">
        <v>118</v>
      </c>
      <c r="H11" s="429">
        <v>0</v>
      </c>
      <c r="I11" s="429">
        <v>1</v>
      </c>
      <c r="J11" s="429">
        <v>1</v>
      </c>
      <c r="K11" s="429">
        <v>1</v>
      </c>
      <c r="L11" s="429">
        <v>1</v>
      </c>
      <c r="M11" s="430">
        <v>0</v>
      </c>
      <c r="N11" s="430">
        <v>0</v>
      </c>
      <c r="O11" s="431">
        <v>0</v>
      </c>
      <c r="Q11" s="420" t="s">
        <v>297</v>
      </c>
      <c r="R11" s="421">
        <v>1</v>
      </c>
      <c r="S11" s="421">
        <v>1</v>
      </c>
      <c r="T11" s="422">
        <f>10+R11+S11+'Personal File'!$C$13</f>
        <v>16</v>
      </c>
      <c r="U11" s="423" t="s">
        <v>370</v>
      </c>
    </row>
    <row r="12" spans="1:21" ht="16.5" thickBot="1">
      <c r="A12" s="452" t="s">
        <v>147</v>
      </c>
      <c r="B12" s="453">
        <v>0</v>
      </c>
      <c r="C12" s="453">
        <v>0</v>
      </c>
      <c r="D12" s="454">
        <f>10+B12+C12+'Personal File'!$C$13+1</f>
        <v>15</v>
      </c>
      <c r="E12" s="455" t="s">
        <v>102</v>
      </c>
      <c r="G12" s="433" t="s">
        <v>122</v>
      </c>
      <c r="H12" s="456">
        <f t="shared" ref="H12:I12" si="0">SUM(H9:H11)</f>
        <v>4</v>
      </c>
      <c r="I12" s="456">
        <f t="shared" si="0"/>
        <v>10</v>
      </c>
      <c r="J12" s="456">
        <f t="shared" ref="J12:K12" si="1">SUM(J9:J11)</f>
        <v>5</v>
      </c>
      <c r="K12" s="456">
        <f t="shared" si="1"/>
        <v>4</v>
      </c>
      <c r="L12" s="456">
        <f t="shared" ref="L12" si="2">SUM(L9:L11)</f>
        <v>3</v>
      </c>
      <c r="M12" s="435">
        <v>0</v>
      </c>
      <c r="N12" s="435">
        <v>0</v>
      </c>
      <c r="O12" s="436">
        <v>0</v>
      </c>
      <c r="Q12" s="420" t="s">
        <v>297</v>
      </c>
      <c r="R12" s="421">
        <v>1</v>
      </c>
      <c r="S12" s="421">
        <v>1</v>
      </c>
      <c r="T12" s="422">
        <f>10+R12+S12+'Personal File'!$C$13</f>
        <v>16</v>
      </c>
      <c r="U12" s="423" t="s">
        <v>102</v>
      </c>
    </row>
    <row r="13" spans="1:21" ht="17.25" thickTop="1" thickBot="1">
      <c r="Q13" s="420" t="s">
        <v>297</v>
      </c>
      <c r="R13" s="421">
        <v>1</v>
      </c>
      <c r="S13" s="421">
        <v>1</v>
      </c>
      <c r="T13" s="422">
        <f>10+R13+S13+'Personal File'!$C$13</f>
        <v>16</v>
      </c>
      <c r="U13" s="423" t="s">
        <v>102</v>
      </c>
    </row>
    <row r="14" spans="1:21" ht="16.5" thickTop="1">
      <c r="G14" s="457" t="s">
        <v>221</v>
      </c>
      <c r="H14" s="458" t="s">
        <v>292</v>
      </c>
      <c r="I14" s="458"/>
      <c r="J14" s="459" t="s">
        <v>294</v>
      </c>
      <c r="K14" s="458"/>
      <c r="L14" s="459" t="s">
        <v>293</v>
      </c>
      <c r="M14" s="459"/>
      <c r="N14" s="458"/>
      <c r="O14" s="460"/>
      <c r="Q14" s="420" t="s">
        <v>297</v>
      </c>
      <c r="R14" s="421">
        <v>1</v>
      </c>
      <c r="S14" s="421">
        <v>1</v>
      </c>
      <c r="T14" s="422">
        <f>10+R14+S14+'Personal File'!$C$13</f>
        <v>16</v>
      </c>
      <c r="U14" s="423" t="s">
        <v>102</v>
      </c>
    </row>
    <row r="15" spans="1:21">
      <c r="G15" s="461" t="s">
        <v>256</v>
      </c>
      <c r="H15" s="462">
        <v>1</v>
      </c>
      <c r="I15" s="462"/>
      <c r="J15" s="509">
        <f>H15+('Personal File'!$E$6-1)</f>
        <v>4</v>
      </c>
      <c r="K15" s="510"/>
      <c r="L15" s="509">
        <f>H15+('Personal File'!$E$6-1)+2</f>
        <v>6</v>
      </c>
      <c r="M15" s="510"/>
      <c r="N15" s="510"/>
      <c r="O15" s="511"/>
      <c r="Q15" s="420" t="s">
        <v>320</v>
      </c>
      <c r="R15" s="421">
        <v>0</v>
      </c>
      <c r="S15" s="421">
        <v>1</v>
      </c>
      <c r="T15" s="422">
        <f>10+R15+S15+'Personal File'!$C$13</f>
        <v>15</v>
      </c>
      <c r="U15" s="423" t="s">
        <v>102</v>
      </c>
    </row>
    <row r="16" spans="1:21" ht="16.5" thickBot="1">
      <c r="G16" s="463" t="s">
        <v>249</v>
      </c>
      <c r="H16" s="464">
        <f>'Personal File'!E3</f>
        <v>3</v>
      </c>
      <c r="I16" s="464"/>
      <c r="J16" s="512">
        <f>L16</f>
        <v>9</v>
      </c>
      <c r="K16" s="513"/>
      <c r="L16" s="512">
        <f>H16+'Personal File'!$E$5+'Personal File'!$E$6+1</f>
        <v>9</v>
      </c>
      <c r="M16" s="513"/>
      <c r="N16" s="513"/>
      <c r="O16" s="514"/>
      <c r="Q16" s="437" t="s">
        <v>155</v>
      </c>
      <c r="R16" s="438">
        <v>0</v>
      </c>
      <c r="S16" s="438">
        <v>1</v>
      </c>
      <c r="T16" s="439">
        <f>10+R16+S16+'Personal File'!$C$13</f>
        <v>15</v>
      </c>
      <c r="U16" s="440" t="s">
        <v>102</v>
      </c>
    </row>
    <row r="17" spans="10:21" ht="16.5" thickTop="1">
      <c r="J17" s="465" t="s">
        <v>360</v>
      </c>
      <c r="Q17" s="420" t="s">
        <v>343</v>
      </c>
      <c r="R17" s="421">
        <v>0</v>
      </c>
      <c r="S17" s="421">
        <v>2</v>
      </c>
      <c r="T17" s="422">
        <f>10+R17+S17+'Personal File'!$C$13</f>
        <v>16</v>
      </c>
      <c r="U17" s="423" t="s">
        <v>370</v>
      </c>
    </row>
    <row r="18" spans="10:21">
      <c r="Q18" s="442" t="s">
        <v>312</v>
      </c>
      <c r="R18" s="421">
        <v>0</v>
      </c>
      <c r="S18" s="421">
        <v>2</v>
      </c>
      <c r="T18" s="422">
        <f>10+R18+S18+'Personal File'!$C$13</f>
        <v>16</v>
      </c>
      <c r="U18" s="423" t="s">
        <v>370</v>
      </c>
    </row>
    <row r="19" spans="10:21">
      <c r="Q19" s="420" t="s">
        <v>303</v>
      </c>
      <c r="R19" s="421">
        <v>1</v>
      </c>
      <c r="S19" s="421">
        <v>2</v>
      </c>
      <c r="T19" s="422">
        <f>10+R19+S19+'Personal File'!$C$13</f>
        <v>17</v>
      </c>
      <c r="U19" s="423" t="s">
        <v>102</v>
      </c>
    </row>
    <row r="20" spans="10:21">
      <c r="Q20" s="420" t="s">
        <v>304</v>
      </c>
      <c r="R20" s="421">
        <v>0</v>
      </c>
      <c r="S20" s="421">
        <v>2</v>
      </c>
      <c r="T20" s="422">
        <f>10+R20+S20+'Personal File'!$C$13</f>
        <v>16</v>
      </c>
      <c r="U20" s="423" t="s">
        <v>102</v>
      </c>
    </row>
    <row r="21" spans="10:21">
      <c r="Q21" s="437" t="s">
        <v>215</v>
      </c>
      <c r="R21" s="438">
        <v>0</v>
      </c>
      <c r="S21" s="438">
        <v>2</v>
      </c>
      <c r="T21" s="439">
        <f>10+R21+S21+'Personal File'!$C$13</f>
        <v>16</v>
      </c>
      <c r="U21" s="440" t="s">
        <v>102</v>
      </c>
    </row>
    <row r="22" spans="10:21">
      <c r="Q22" s="468" t="s">
        <v>306</v>
      </c>
      <c r="R22" s="450">
        <v>1</v>
      </c>
      <c r="S22" s="450">
        <v>3</v>
      </c>
      <c r="T22" s="467">
        <f>10+R22+S22+'Personal File'!$C$13</f>
        <v>18</v>
      </c>
      <c r="U22" s="423" t="s">
        <v>102</v>
      </c>
    </row>
    <row r="23" spans="10:21">
      <c r="Q23" s="468" t="s">
        <v>337</v>
      </c>
      <c r="R23" s="450">
        <v>0</v>
      </c>
      <c r="S23" s="450">
        <v>3</v>
      </c>
      <c r="T23" s="467">
        <f>10+R23+S23+'Personal File'!$C$13</f>
        <v>17</v>
      </c>
      <c r="U23" s="423" t="s">
        <v>102</v>
      </c>
    </row>
    <row r="24" spans="10:21">
      <c r="Q24" s="466" t="s">
        <v>225</v>
      </c>
      <c r="R24" s="450">
        <v>0</v>
      </c>
      <c r="S24" s="450">
        <v>3</v>
      </c>
      <c r="T24" s="467">
        <f>10+R24+S24+'Personal File'!$C$13</f>
        <v>17</v>
      </c>
      <c r="U24" s="423" t="s">
        <v>370</v>
      </c>
    </row>
    <row r="25" spans="10:21">
      <c r="Q25" s="469" t="s">
        <v>225</v>
      </c>
      <c r="R25" s="470">
        <v>0</v>
      </c>
      <c r="S25" s="470">
        <v>3</v>
      </c>
      <c r="T25" s="471">
        <f>10+R25+S25+'Personal File'!$C$13</f>
        <v>17</v>
      </c>
      <c r="U25" s="440" t="s">
        <v>370</v>
      </c>
    </row>
    <row r="26" spans="10:21">
      <c r="Q26" s="468" t="s">
        <v>361</v>
      </c>
      <c r="R26" s="450">
        <v>0</v>
      </c>
      <c r="S26" s="450">
        <v>4</v>
      </c>
      <c r="T26" s="467">
        <f>10+R26+S26+'Personal File'!$C$13</f>
        <v>18</v>
      </c>
      <c r="U26" s="423" t="s">
        <v>102</v>
      </c>
    </row>
    <row r="27" spans="10:21">
      <c r="Q27" s="468" t="s">
        <v>367</v>
      </c>
      <c r="R27" s="450">
        <v>0</v>
      </c>
      <c r="S27" s="450">
        <v>4</v>
      </c>
      <c r="T27" s="467">
        <f>10+R27+S27+'Personal File'!$C$13</f>
        <v>18</v>
      </c>
      <c r="U27" s="423" t="s">
        <v>102</v>
      </c>
    </row>
    <row r="28" spans="10:21" ht="16.5" thickBot="1">
      <c r="Q28" s="472" t="s">
        <v>357</v>
      </c>
      <c r="R28" s="453">
        <v>1</v>
      </c>
      <c r="S28" s="453">
        <v>4</v>
      </c>
      <c r="T28" s="454">
        <f>10+R28+S28+'Personal File'!$C$13</f>
        <v>19</v>
      </c>
      <c r="U28" s="455" t="s">
        <v>370</v>
      </c>
    </row>
    <row r="29" spans="10:21" ht="16.5" thickTop="1"/>
  </sheetData>
  <sortState ref="Q3:U28">
    <sortCondition ref="S3:S28"/>
    <sortCondition ref="Q3:Q28"/>
  </sortState>
  <conditionalFormatting sqref="U3:U28">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showGridLines="0" workbookViewId="0"/>
  </sheetViews>
  <sheetFormatPr defaultColWidth="10.625" defaultRowHeight="16.5"/>
  <cols>
    <col min="1" max="1" width="34.5" style="121" bestFit="1" customWidth="1"/>
    <col min="2" max="2" width="2.625" style="116" customWidth="1"/>
    <col min="3" max="3" width="43.75" style="118" bestFit="1" customWidth="1"/>
    <col min="4" max="4" width="10.625" style="118"/>
    <col min="5" max="5" width="23.5" style="118" bestFit="1" customWidth="1"/>
    <col min="6" max="16384" width="10.625" style="118"/>
  </cols>
  <sheetData>
    <row r="1" spans="1:3" ht="24.75" thickTop="1" thickBot="1">
      <c r="A1" s="359" t="s">
        <v>91</v>
      </c>
      <c r="C1" s="117" t="s">
        <v>254</v>
      </c>
    </row>
    <row r="2" spans="1:3">
      <c r="A2" s="358" t="s">
        <v>259</v>
      </c>
      <c r="C2" s="119" t="s">
        <v>148</v>
      </c>
    </row>
    <row r="3" spans="1:3" ht="17.25" thickBot="1">
      <c r="A3" s="291" t="s">
        <v>260</v>
      </c>
      <c r="C3" s="120" t="s">
        <v>149</v>
      </c>
    </row>
    <row r="4" spans="1:3" ht="18" thickTop="1" thickBot="1">
      <c r="A4" s="291" t="s">
        <v>291</v>
      </c>
    </row>
    <row r="5" spans="1:3" ht="24.75" thickTop="1" thickBot="1">
      <c r="A5" s="476" t="s">
        <v>359</v>
      </c>
      <c r="C5" s="117" t="s">
        <v>380</v>
      </c>
    </row>
    <row r="6" spans="1:3" ht="18" thickTop="1" thickBot="1">
      <c r="C6" s="519" t="s">
        <v>381</v>
      </c>
    </row>
    <row r="7" spans="1:3" ht="24.75" thickTop="1" thickBot="1">
      <c r="A7" s="360" t="s">
        <v>89</v>
      </c>
      <c r="C7" s="520" t="s">
        <v>382</v>
      </c>
    </row>
    <row r="8" spans="1:3" ht="17.25" thickBot="1">
      <c r="A8" s="122" t="s">
        <v>383</v>
      </c>
    </row>
    <row r="9" spans="1:3" ht="24.75" thickTop="1" thickBot="1">
      <c r="A9" s="126" t="s">
        <v>265</v>
      </c>
      <c r="C9" s="117" t="s">
        <v>261</v>
      </c>
    </row>
    <row r="10" spans="1:3" ht="18" thickTop="1" thickBot="1">
      <c r="C10" s="291" t="s">
        <v>263</v>
      </c>
    </row>
    <row r="11" spans="1:3" ht="24.75" thickTop="1" thickBot="1">
      <c r="A11" s="362" t="s">
        <v>75</v>
      </c>
      <c r="C11" s="120"/>
    </row>
    <row r="12" spans="1:3" ht="17.25" thickBot="1">
      <c r="A12" s="123" t="s">
        <v>268</v>
      </c>
    </row>
    <row r="13" spans="1:3" ht="24.75" thickTop="1" thickBot="1">
      <c r="A13" s="363" t="s">
        <v>269</v>
      </c>
      <c r="C13" s="117" t="s">
        <v>262</v>
      </c>
    </row>
    <row r="14" spans="1:3">
      <c r="A14" s="363" t="s">
        <v>266</v>
      </c>
      <c r="C14" s="291" t="s">
        <v>264</v>
      </c>
    </row>
    <row r="15" spans="1:3" ht="17.25" thickBot="1">
      <c r="A15" s="125" t="s">
        <v>267</v>
      </c>
      <c r="C15" s="291" t="s">
        <v>355</v>
      </c>
    </row>
    <row r="16" spans="1:3" ht="17.25" thickTop="1">
      <c r="C16" s="291" t="s">
        <v>368</v>
      </c>
    </row>
    <row r="17" spans="3:3" ht="17.25" thickBot="1">
      <c r="C17" s="120" t="s">
        <v>369</v>
      </c>
    </row>
    <row r="18" spans="3:3" ht="18" thickTop="1" thickBot="1"/>
    <row r="19" spans="3:3" ht="24.75" thickTop="1" thickBot="1">
      <c r="C19" s="361" t="s">
        <v>119</v>
      </c>
    </row>
    <row r="20" spans="3:3">
      <c r="C20" s="124" t="s">
        <v>140</v>
      </c>
    </row>
    <row r="21" spans="3:3">
      <c r="C21" s="124" t="s">
        <v>139</v>
      </c>
    </row>
    <row r="22" spans="3:3">
      <c r="C22" s="127" t="s">
        <v>120</v>
      </c>
    </row>
    <row r="23" spans="3:3" ht="17.25" thickBot="1">
      <c r="C23" s="128" t="s">
        <v>121</v>
      </c>
    </row>
    <row r="24" spans="3:3" ht="17.25"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showGridLines="0" workbookViewId="0"/>
  </sheetViews>
  <sheetFormatPr defaultColWidth="13" defaultRowHeight="15.75"/>
  <cols>
    <col min="1" max="1" width="20.25" style="47" bestFit="1" customWidth="1"/>
    <col min="2" max="2" width="8.625" style="47" customWidth="1"/>
    <col min="3" max="3" width="4.375" style="47" bestFit="1" customWidth="1"/>
    <col min="4" max="4" width="6.75" style="47" customWidth="1"/>
    <col min="5" max="5" width="8.5" style="47" bestFit="1" customWidth="1"/>
    <col min="6" max="6" width="8.875" style="47" bestFit="1" customWidth="1"/>
    <col min="7" max="7" width="4.5" style="47" bestFit="1" customWidth="1"/>
    <col min="8" max="8" width="5.625" style="47" bestFit="1" customWidth="1"/>
    <col min="9" max="9" width="5.5" style="47" bestFit="1" customWidth="1"/>
    <col min="10" max="10" width="6.25" style="47" bestFit="1" customWidth="1"/>
    <col min="11" max="11" width="24.25" style="47" bestFit="1" customWidth="1"/>
    <col min="12" max="12" width="3.375" style="42" customWidth="1"/>
    <col min="13" max="13" width="7.375" style="300" bestFit="1" customWidth="1"/>
    <col min="14" max="14" width="7.75" style="47" bestFit="1" customWidth="1"/>
    <col min="15" max="16384" width="13" style="42"/>
  </cols>
  <sheetData>
    <row r="1" spans="1:14" ht="24" thickBot="1">
      <c r="A1" s="40" t="s">
        <v>23</v>
      </c>
      <c r="B1" s="40"/>
      <c r="C1" s="40"/>
      <c r="D1" s="40"/>
      <c r="E1" s="40"/>
      <c r="F1" s="40"/>
      <c r="G1" s="40"/>
      <c r="H1" s="40"/>
      <c r="I1" s="40"/>
      <c r="J1" s="40"/>
      <c r="K1" s="40"/>
    </row>
    <row r="2" spans="1:14" ht="17.25" thickTop="1" thickBot="1">
      <c r="A2" s="78" t="s">
        <v>4</v>
      </c>
      <c r="B2" s="79" t="s">
        <v>5</v>
      </c>
      <c r="C2" s="79" t="s">
        <v>25</v>
      </c>
      <c r="D2" s="79" t="s">
        <v>26</v>
      </c>
      <c r="E2" s="80" t="s">
        <v>68</v>
      </c>
      <c r="F2" s="79" t="s">
        <v>24</v>
      </c>
      <c r="G2" s="79" t="s">
        <v>27</v>
      </c>
      <c r="H2" s="81" t="s">
        <v>90</v>
      </c>
      <c r="I2" s="82" t="s">
        <v>95</v>
      </c>
      <c r="J2" s="81" t="s">
        <v>81</v>
      </c>
      <c r="K2" s="83" t="s">
        <v>79</v>
      </c>
      <c r="M2" s="301" t="s">
        <v>214</v>
      </c>
    </row>
    <row r="3" spans="1:14">
      <c r="A3" s="308" t="s">
        <v>350</v>
      </c>
      <c r="B3" s="25" t="s">
        <v>130</v>
      </c>
      <c r="C3" s="26">
        <v>0</v>
      </c>
      <c r="D3" s="27" t="s">
        <v>62</v>
      </c>
      <c r="E3" s="27" t="s">
        <v>351</v>
      </c>
      <c r="F3" s="28" t="s">
        <v>352</v>
      </c>
      <c r="G3" s="29">
        <v>0.25</v>
      </c>
      <c r="H3" s="297">
        <f>'Personal File'!$B$8+'Personal File'!$C$10+D3</f>
        <v>4</v>
      </c>
      <c r="I3" s="298">
        <f t="shared" ref="I3:I4" ca="1" si="0">RANDBETWEEN(1,20)</f>
        <v>1</v>
      </c>
      <c r="J3" s="299">
        <f t="shared" ref="J3:J4" ca="1" si="1">I3+H3</f>
        <v>5</v>
      </c>
      <c r="K3" s="36"/>
      <c r="L3" s="290"/>
      <c r="M3" s="302">
        <v>0</v>
      </c>
    </row>
    <row r="4" spans="1:14" ht="16.5" thickBot="1">
      <c r="A4" s="30" t="s">
        <v>212</v>
      </c>
      <c r="B4" s="31" t="s">
        <v>130</v>
      </c>
      <c r="C4" s="32">
        <f>'Personal File'!$C$10</f>
        <v>-2</v>
      </c>
      <c r="D4" s="33" t="s">
        <v>62</v>
      </c>
      <c r="E4" s="33" t="s">
        <v>213</v>
      </c>
      <c r="F4" s="34" t="s">
        <v>128</v>
      </c>
      <c r="G4" s="35">
        <v>0</v>
      </c>
      <c r="H4" s="37">
        <f>'Personal File'!$B$8+'Personal File'!$C$10+D4</f>
        <v>4</v>
      </c>
      <c r="I4" s="84">
        <f t="shared" ca="1" si="0"/>
        <v>2</v>
      </c>
      <c r="J4" s="85">
        <f t="shared" ca="1" si="1"/>
        <v>6</v>
      </c>
      <c r="K4" s="38" t="s">
        <v>120</v>
      </c>
      <c r="M4" s="346" t="s">
        <v>97</v>
      </c>
    </row>
    <row r="5" spans="1:14" ht="6" customHeight="1" thickTop="1" thickBot="1">
      <c r="I5" s="86"/>
      <c r="J5" s="86"/>
      <c r="M5" s="305"/>
    </row>
    <row r="6" spans="1:14" ht="17.25" thickTop="1" thickBot="1">
      <c r="A6" s="78" t="s">
        <v>7</v>
      </c>
      <c r="B6" s="79" t="s">
        <v>8</v>
      </c>
      <c r="C6" s="79" t="s">
        <v>25</v>
      </c>
      <c r="D6" s="79" t="s">
        <v>26</v>
      </c>
      <c r="E6" s="80" t="s">
        <v>68</v>
      </c>
      <c r="F6" s="79" t="s">
        <v>9</v>
      </c>
      <c r="G6" s="79" t="s">
        <v>27</v>
      </c>
      <c r="H6" s="81" t="s">
        <v>90</v>
      </c>
      <c r="I6" s="82" t="s">
        <v>95</v>
      </c>
      <c r="J6" s="81" t="s">
        <v>81</v>
      </c>
      <c r="K6" s="83" t="s">
        <v>79</v>
      </c>
      <c r="M6" s="301" t="s">
        <v>214</v>
      </c>
    </row>
    <row r="7" spans="1:14">
      <c r="A7" s="8" t="s">
        <v>129</v>
      </c>
      <c r="B7" s="9" t="s">
        <v>97</v>
      </c>
      <c r="C7" s="10" t="s">
        <v>97</v>
      </c>
      <c r="D7" s="11" t="s">
        <v>62</v>
      </c>
      <c r="E7" s="11" t="s">
        <v>97</v>
      </c>
      <c r="F7" s="12" t="s">
        <v>97</v>
      </c>
      <c r="G7" s="13" t="s">
        <v>97</v>
      </c>
      <c r="H7" s="350">
        <f>'Personal File'!$B$8+'Personal File'!$C$11+D7</f>
        <v>10</v>
      </c>
      <c r="I7" s="490">
        <f t="shared" ref="I7:I8" ca="1" si="2">RANDBETWEEN(1,20)</f>
        <v>20</v>
      </c>
      <c r="J7" s="316">
        <f t="shared" ref="J7" ca="1" si="3">I7+H7</f>
        <v>30</v>
      </c>
      <c r="K7" s="488" t="s">
        <v>120</v>
      </c>
      <c r="L7" s="489"/>
      <c r="M7" s="306" t="s">
        <v>97</v>
      </c>
    </row>
    <row r="8" spans="1:14" s="354" customFormat="1">
      <c r="A8" s="493" t="s">
        <v>373</v>
      </c>
      <c r="B8" s="494" t="s">
        <v>256</v>
      </c>
      <c r="C8" s="495" t="s">
        <v>97</v>
      </c>
      <c r="D8" s="496" t="s">
        <v>97</v>
      </c>
      <c r="E8" s="496" t="s">
        <v>97</v>
      </c>
      <c r="F8" s="497" t="s">
        <v>97</v>
      </c>
      <c r="G8" s="498" t="s">
        <v>97</v>
      </c>
      <c r="H8" s="499">
        <f>Spells!J15</f>
        <v>4</v>
      </c>
      <c r="I8" s="491">
        <f t="shared" ca="1" si="2"/>
        <v>10</v>
      </c>
      <c r="J8" s="499">
        <f t="shared" ref="J8:J9" ca="1" si="4">I8+H8</f>
        <v>14</v>
      </c>
      <c r="K8" s="505"/>
      <c r="L8" s="489"/>
      <c r="M8" s="507"/>
      <c r="N8" s="489"/>
    </row>
    <row r="9" spans="1:14" ht="16.5" thickBot="1">
      <c r="A9" s="500" t="s">
        <v>373</v>
      </c>
      <c r="B9" s="501" t="s">
        <v>249</v>
      </c>
      <c r="C9" s="502" t="s">
        <v>97</v>
      </c>
      <c r="D9" s="502" t="s">
        <v>97</v>
      </c>
      <c r="E9" s="501" t="s">
        <v>97</v>
      </c>
      <c r="F9" s="502" t="s">
        <v>97</v>
      </c>
      <c r="G9" s="503" t="s">
        <v>97</v>
      </c>
      <c r="H9" s="504">
        <f>Spells!J16</f>
        <v>9</v>
      </c>
      <c r="I9" s="492">
        <f t="shared" ref="I9" ca="1" si="5">RANDBETWEEN(1,20)</f>
        <v>2</v>
      </c>
      <c r="J9" s="504">
        <f t="shared" ca="1" si="4"/>
        <v>11</v>
      </c>
      <c r="K9" s="506"/>
      <c r="L9" s="489"/>
      <c r="M9" s="508"/>
    </row>
    <row r="10" spans="1:14" ht="6" customHeight="1" thickTop="1" thickBot="1">
      <c r="D10" s="87"/>
      <c r="E10" s="87"/>
      <c r="G10" s="77"/>
      <c r="H10" s="77"/>
      <c r="I10" s="86"/>
      <c r="J10" s="77"/>
      <c r="M10" s="305"/>
    </row>
    <row r="11" spans="1:14" ht="17.25" thickTop="1" thickBot="1">
      <c r="A11" s="78" t="s">
        <v>70</v>
      </c>
      <c r="B11" s="79" t="s">
        <v>17</v>
      </c>
      <c r="C11" s="79" t="s">
        <v>34</v>
      </c>
      <c r="D11" s="79" t="s">
        <v>81</v>
      </c>
      <c r="E11" s="79" t="s">
        <v>82</v>
      </c>
      <c r="F11" s="79" t="s">
        <v>83</v>
      </c>
      <c r="G11" s="79" t="s">
        <v>27</v>
      </c>
      <c r="H11" s="88" t="s">
        <v>79</v>
      </c>
      <c r="I11" s="89"/>
      <c r="J11" s="89"/>
      <c r="K11" s="90"/>
      <c r="M11" s="301" t="s">
        <v>214</v>
      </c>
    </row>
    <row r="12" spans="1:14">
      <c r="A12" s="336" t="s">
        <v>364</v>
      </c>
      <c r="B12" s="337">
        <v>2</v>
      </c>
      <c r="C12" s="338" t="s">
        <v>97</v>
      </c>
      <c r="D12" s="337" t="s">
        <v>97</v>
      </c>
      <c r="E12" s="339" t="s">
        <v>97</v>
      </c>
      <c r="F12" s="340" t="s">
        <v>97</v>
      </c>
      <c r="G12" s="481" t="s">
        <v>97</v>
      </c>
      <c r="H12" s="341"/>
      <c r="I12" s="342"/>
      <c r="J12" s="342"/>
      <c r="K12" s="343"/>
      <c r="L12" s="347"/>
      <c r="M12" s="344">
        <v>8000</v>
      </c>
      <c r="N12" s="345"/>
    </row>
    <row r="13" spans="1:14" ht="16.5" thickBot="1">
      <c r="A13" s="30"/>
      <c r="B13" s="31"/>
      <c r="C13" s="91"/>
      <c r="D13" s="31"/>
      <c r="E13" s="92"/>
      <c r="F13" s="31"/>
      <c r="G13" s="35"/>
      <c r="H13" s="93"/>
      <c r="I13" s="94"/>
      <c r="J13" s="94"/>
      <c r="K13" s="95"/>
      <c r="M13" s="304"/>
    </row>
    <row r="14" spans="1:14" ht="6.75" customHeight="1" thickTop="1" thickBot="1">
      <c r="M14" s="305"/>
    </row>
    <row r="15" spans="1:14" ht="17.25" thickTop="1" thickBot="1">
      <c r="A15" s="96"/>
      <c r="B15" s="77"/>
      <c r="D15" s="97" t="s">
        <v>71</v>
      </c>
      <c r="E15" s="98"/>
      <c r="F15" s="88" t="s">
        <v>6</v>
      </c>
      <c r="G15" s="79" t="s">
        <v>27</v>
      </c>
      <c r="H15" s="81" t="s">
        <v>90</v>
      </c>
      <c r="I15" s="88" t="s">
        <v>79</v>
      </c>
      <c r="J15" s="89"/>
      <c r="K15" s="90"/>
      <c r="M15" s="301" t="s">
        <v>214</v>
      </c>
    </row>
    <row r="16" spans="1:14">
      <c r="A16" s="96"/>
      <c r="B16" s="77"/>
      <c r="D16" s="99"/>
      <c r="E16" s="100"/>
      <c r="F16" s="101"/>
      <c r="G16" s="29"/>
      <c r="H16" s="102"/>
      <c r="I16" s="103"/>
      <c r="J16" s="104"/>
      <c r="K16" s="105"/>
      <c r="M16" s="302"/>
    </row>
    <row r="17" spans="1:14" ht="16.5" thickBot="1">
      <c r="A17" s="96"/>
      <c r="B17" s="77"/>
      <c r="D17" s="108"/>
      <c r="E17" s="109"/>
      <c r="F17" s="110"/>
      <c r="G17" s="35"/>
      <c r="H17" s="111"/>
      <c r="I17" s="112"/>
      <c r="J17" s="113"/>
      <c r="K17" s="95"/>
      <c r="M17" s="304"/>
    </row>
    <row r="18" spans="1:14" ht="17.25" thickTop="1" thickBot="1"/>
    <row r="19" spans="1:14" ht="17.25" thickTop="1" thickBot="1">
      <c r="D19" s="97" t="s">
        <v>211</v>
      </c>
      <c r="E19" s="89"/>
      <c r="F19" s="89"/>
      <c r="G19" s="114" t="s">
        <v>6</v>
      </c>
      <c r="H19" s="114" t="s">
        <v>99</v>
      </c>
      <c r="I19" s="114" t="s">
        <v>133</v>
      </c>
      <c r="J19" s="115" t="s">
        <v>79</v>
      </c>
      <c r="K19" s="90"/>
      <c r="M19" s="301" t="s">
        <v>214</v>
      </c>
    </row>
    <row r="20" spans="1:14">
      <c r="D20" s="285" t="s">
        <v>345</v>
      </c>
      <c r="E20" s="286"/>
      <c r="F20" s="286"/>
      <c r="G20" s="287">
        <v>1</v>
      </c>
      <c r="H20" s="287">
        <v>3</v>
      </c>
      <c r="I20" s="287">
        <v>5</v>
      </c>
      <c r="J20" s="288"/>
      <c r="K20" s="289"/>
      <c r="L20" s="290"/>
      <c r="M20" s="303">
        <v>525</v>
      </c>
      <c r="N20" s="86"/>
    </row>
    <row r="21" spans="1:14">
      <c r="C21" s="86"/>
      <c r="D21" s="285" t="s">
        <v>344</v>
      </c>
      <c r="E21" s="286"/>
      <c r="F21" s="286"/>
      <c r="G21" s="287">
        <v>0</v>
      </c>
      <c r="H21" s="287">
        <v>7</v>
      </c>
      <c r="I21" s="287" t="s">
        <v>246</v>
      </c>
      <c r="J21" s="288" t="s">
        <v>247</v>
      </c>
      <c r="K21" s="289"/>
      <c r="L21" s="290"/>
      <c r="M21" s="303">
        <v>3000</v>
      </c>
      <c r="N21" s="86"/>
    </row>
    <row r="22" spans="1:14">
      <c r="D22" s="351" t="s">
        <v>366</v>
      </c>
      <c r="E22" s="352"/>
      <c r="F22" s="352"/>
      <c r="G22" s="353">
        <v>2</v>
      </c>
      <c r="H22" s="353">
        <v>3</v>
      </c>
      <c r="I22" s="353">
        <v>5</v>
      </c>
      <c r="J22" s="106"/>
      <c r="K22" s="107"/>
      <c r="L22" s="354"/>
      <c r="M22" s="307">
        <v>375</v>
      </c>
      <c r="N22" s="86"/>
    </row>
    <row r="23" spans="1:14" ht="16.5" thickBot="1">
      <c r="D23" s="293" t="s">
        <v>365</v>
      </c>
      <c r="E23" s="294"/>
      <c r="F23" s="294"/>
      <c r="G23" s="31">
        <v>1</v>
      </c>
      <c r="H23" s="31">
        <v>4</v>
      </c>
      <c r="I23" s="31">
        <v>7</v>
      </c>
      <c r="J23" s="295"/>
      <c r="K23" s="296"/>
      <c r="M23" s="304">
        <v>950</v>
      </c>
      <c r="N23" s="86"/>
    </row>
    <row r="24" spans="1:14" ht="16.5" thickTop="1"/>
    <row r="25" spans="1:14">
      <c r="K25" s="223" t="s">
        <v>223</v>
      </c>
      <c r="L25" s="290"/>
      <c r="M25" s="309">
        <f>SUM(M3:M23)</f>
        <v>12850</v>
      </c>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sheetViews>
  <sheetFormatPr defaultColWidth="8.625" defaultRowHeight="15.75"/>
  <cols>
    <col min="1" max="1" width="24.25" style="47" bestFit="1" customWidth="1"/>
    <col min="2" max="2" width="4.5" style="47" bestFit="1" customWidth="1"/>
    <col min="3" max="3" width="4.5" style="77" customWidth="1"/>
    <col min="4" max="5" width="23.25" style="42" customWidth="1"/>
    <col min="6" max="6" width="2.375" style="42" customWidth="1"/>
    <col min="7" max="7" width="5.875" style="42" bestFit="1" customWidth="1"/>
    <col min="8" max="16384" width="8.625" style="42"/>
  </cols>
  <sheetData>
    <row r="1" spans="1:8" ht="24" thickBot="1">
      <c r="A1" s="40" t="s">
        <v>76</v>
      </c>
      <c r="B1" s="40"/>
      <c r="C1" s="41"/>
      <c r="D1" s="40"/>
      <c r="E1" s="40"/>
    </row>
    <row r="2" spans="1:8" s="47" customFormat="1" ht="17.25" thickTop="1" thickBot="1">
      <c r="A2" s="43" t="s">
        <v>77</v>
      </c>
      <c r="B2" s="43" t="s">
        <v>6</v>
      </c>
      <c r="C2" s="44" t="s">
        <v>27</v>
      </c>
      <c r="D2" s="45" t="s">
        <v>78</v>
      </c>
      <c r="E2" s="46" t="s">
        <v>79</v>
      </c>
      <c r="G2" s="278" t="s">
        <v>214</v>
      </c>
    </row>
    <row r="3" spans="1:8">
      <c r="A3" s="48" t="s">
        <v>159</v>
      </c>
      <c r="B3" s="49">
        <v>1</v>
      </c>
      <c r="C3" s="50">
        <v>1.25</v>
      </c>
      <c r="D3" s="51"/>
      <c r="E3" s="52"/>
      <c r="G3" s="310">
        <v>0</v>
      </c>
    </row>
    <row r="4" spans="1:8">
      <c r="A4" s="53" t="s">
        <v>160</v>
      </c>
      <c r="B4" s="54">
        <v>1</v>
      </c>
      <c r="C4" s="55">
        <v>0.25</v>
      </c>
      <c r="D4" s="56"/>
      <c r="E4" s="57"/>
      <c r="G4" s="311">
        <v>0</v>
      </c>
    </row>
    <row r="5" spans="1:8">
      <c r="A5" s="53" t="s">
        <v>375</v>
      </c>
      <c r="B5" s="54">
        <v>1</v>
      </c>
      <c r="C5" s="55">
        <v>0</v>
      </c>
      <c r="D5" s="56"/>
      <c r="E5" s="57"/>
      <c r="G5" s="311">
        <v>500</v>
      </c>
    </row>
    <row r="6" spans="1:8">
      <c r="A6" s="53" t="s">
        <v>242</v>
      </c>
      <c r="B6" s="54">
        <v>1</v>
      </c>
      <c r="C6" s="55">
        <v>1</v>
      </c>
      <c r="D6" s="284"/>
      <c r="E6" s="57"/>
      <c r="G6" s="311">
        <v>750</v>
      </c>
      <c r="H6" s="290"/>
    </row>
    <row r="7" spans="1:8">
      <c r="A7" s="53" t="s">
        <v>358</v>
      </c>
      <c r="B7" s="54">
        <v>1</v>
      </c>
      <c r="C7" s="55">
        <v>0</v>
      </c>
      <c r="D7" s="284"/>
      <c r="E7" s="57"/>
      <c r="G7" s="311">
        <v>20000</v>
      </c>
      <c r="H7" s="290"/>
    </row>
    <row r="8" spans="1:8">
      <c r="A8" s="53" t="s">
        <v>158</v>
      </c>
      <c r="B8" s="54">
        <v>1</v>
      </c>
      <c r="C8" s="58">
        <f>0.25*B8</f>
        <v>0.25</v>
      </c>
      <c r="D8" s="56"/>
      <c r="E8" s="57"/>
      <c r="G8" s="312">
        <v>0</v>
      </c>
    </row>
    <row r="9" spans="1:8" ht="16.5" thickBot="1">
      <c r="A9" s="59" t="s">
        <v>161</v>
      </c>
      <c r="B9" s="60">
        <v>1</v>
      </c>
      <c r="C9" s="61">
        <v>1</v>
      </c>
      <c r="D9" s="62"/>
      <c r="E9" s="63"/>
      <c r="G9" s="313">
        <v>2</v>
      </c>
    </row>
    <row r="10" spans="1:8" ht="24.75" thickTop="1" thickBot="1">
      <c r="A10" s="40" t="s">
        <v>80</v>
      </c>
      <c r="B10" s="40"/>
      <c r="C10" s="64"/>
      <c r="D10" s="40"/>
      <c r="E10" s="65"/>
      <c r="G10" s="64"/>
    </row>
    <row r="11" spans="1:8" ht="17.25" thickTop="1" thickBot="1">
      <c r="A11" s="43" t="s">
        <v>77</v>
      </c>
      <c r="B11" s="43" t="s">
        <v>6</v>
      </c>
      <c r="C11" s="44" t="s">
        <v>27</v>
      </c>
      <c r="D11" s="45" t="s">
        <v>78</v>
      </c>
      <c r="E11" s="46" t="s">
        <v>79</v>
      </c>
      <c r="G11" s="278" t="s">
        <v>214</v>
      </c>
    </row>
    <row r="12" spans="1:8">
      <c r="A12" s="66" t="s">
        <v>126</v>
      </c>
      <c r="B12" s="49">
        <v>1</v>
      </c>
      <c r="C12" s="67">
        <v>0.5</v>
      </c>
      <c r="D12" s="68"/>
      <c r="E12" s="52"/>
      <c r="G12" s="314">
        <v>1</v>
      </c>
    </row>
    <row r="13" spans="1:8">
      <c r="A13" s="486" t="s">
        <v>371</v>
      </c>
      <c r="B13" s="54">
        <v>1</v>
      </c>
      <c r="C13" s="72">
        <v>1</v>
      </c>
      <c r="D13" s="73"/>
      <c r="E13" s="74"/>
      <c r="G13" s="485" t="s">
        <v>372</v>
      </c>
    </row>
    <row r="14" spans="1:8" ht="16.5" thickBot="1">
      <c r="A14" s="59"/>
      <c r="B14" s="60"/>
      <c r="C14" s="61"/>
      <c r="D14" s="62"/>
      <c r="E14" s="63"/>
      <c r="G14" s="313"/>
    </row>
    <row r="15" spans="1:8" ht="24.75" thickTop="1" thickBot="1">
      <c r="A15" s="40" t="s">
        <v>243</v>
      </c>
      <c r="B15" s="40"/>
      <c r="C15" s="64"/>
      <c r="D15" s="40"/>
      <c r="E15" s="65"/>
      <c r="F15" s="349"/>
    </row>
    <row r="16" spans="1:8" ht="17.25" thickTop="1" thickBot="1">
      <c r="A16" s="43" t="s">
        <v>77</v>
      </c>
      <c r="B16" s="43" t="s">
        <v>6</v>
      </c>
      <c r="C16" s="44" t="s">
        <v>27</v>
      </c>
      <c r="D16" s="45" t="s">
        <v>78</v>
      </c>
      <c r="E16" s="46" t="s">
        <v>79</v>
      </c>
      <c r="G16" s="278" t="s">
        <v>214</v>
      </c>
    </row>
    <row r="17" spans="1:7">
      <c r="A17" s="70" t="s">
        <v>226</v>
      </c>
      <c r="B17" s="71">
        <v>1</v>
      </c>
      <c r="C17" s="72">
        <v>5</v>
      </c>
      <c r="D17" s="73"/>
      <c r="E17" s="74"/>
      <c r="G17" s="315">
        <v>10</v>
      </c>
    </row>
    <row r="18" spans="1:7">
      <c r="A18" s="53" t="s">
        <v>131</v>
      </c>
      <c r="B18" s="69">
        <v>5</v>
      </c>
      <c r="C18" s="58">
        <f>B18/100</f>
        <v>0.05</v>
      </c>
      <c r="D18" s="73"/>
      <c r="E18" s="74"/>
      <c r="G18" s="315">
        <f>B18</f>
        <v>5</v>
      </c>
    </row>
    <row r="19" spans="1:7">
      <c r="A19" s="70" t="s">
        <v>227</v>
      </c>
      <c r="B19" s="71">
        <v>1</v>
      </c>
      <c r="C19" s="72">
        <v>4</v>
      </c>
      <c r="D19" s="73"/>
      <c r="E19" s="74"/>
      <c r="G19" s="315">
        <v>1</v>
      </c>
    </row>
    <row r="20" spans="1:7">
      <c r="A20" s="70" t="s">
        <v>384</v>
      </c>
      <c r="B20" s="71">
        <v>1</v>
      </c>
      <c r="C20" s="72">
        <v>2</v>
      </c>
      <c r="D20" s="73"/>
      <c r="E20" s="74"/>
      <c r="G20" s="315">
        <v>1000</v>
      </c>
    </row>
    <row r="21" spans="1:7">
      <c r="A21" s="70" t="s">
        <v>376</v>
      </c>
      <c r="B21" s="71">
        <v>1</v>
      </c>
      <c r="C21" s="72">
        <v>1</v>
      </c>
      <c r="D21" s="73"/>
      <c r="E21" s="74"/>
      <c r="G21" s="315">
        <v>5302</v>
      </c>
    </row>
    <row r="22" spans="1:7">
      <c r="A22" s="70" t="s">
        <v>377</v>
      </c>
      <c r="B22" s="71">
        <v>1</v>
      </c>
      <c r="C22" s="72">
        <v>0</v>
      </c>
      <c r="D22" s="73"/>
      <c r="E22" s="74"/>
      <c r="G22" s="315">
        <v>3600</v>
      </c>
    </row>
    <row r="23" spans="1:7">
      <c r="A23" s="70" t="s">
        <v>378</v>
      </c>
      <c r="B23" s="71">
        <v>1</v>
      </c>
      <c r="C23" s="72">
        <v>0</v>
      </c>
      <c r="D23" s="73"/>
      <c r="E23" s="74"/>
      <c r="G23" s="315">
        <v>2000</v>
      </c>
    </row>
    <row r="24" spans="1:7">
      <c r="A24" s="70" t="s">
        <v>125</v>
      </c>
      <c r="B24" s="71">
        <v>1</v>
      </c>
      <c r="C24" s="72">
        <v>0</v>
      </c>
      <c r="D24" s="73"/>
      <c r="E24" s="74"/>
      <c r="G24" s="315">
        <v>1</v>
      </c>
    </row>
    <row r="25" spans="1:7" ht="16.5" thickBot="1">
      <c r="A25" s="75" t="s">
        <v>157</v>
      </c>
      <c r="B25" s="76">
        <v>4</v>
      </c>
      <c r="C25" s="61">
        <v>0</v>
      </c>
      <c r="D25" s="62"/>
      <c r="E25" s="63"/>
      <c r="G25" s="313">
        <v>0</v>
      </c>
    </row>
    <row r="26" spans="1:7" ht="16.5" thickTop="1">
      <c r="B26" s="348" t="s">
        <v>245</v>
      </c>
      <c r="C26" s="480">
        <f>SUM(C17:C25)/100</f>
        <v>0.12050000000000001</v>
      </c>
    </row>
    <row r="27" spans="1:7">
      <c r="E27" s="223" t="s">
        <v>244</v>
      </c>
      <c r="F27" s="290"/>
      <c r="G27" s="309">
        <v>2000</v>
      </c>
    </row>
    <row r="28" spans="1:7">
      <c r="E28" s="223" t="s">
        <v>223</v>
      </c>
      <c r="F28" s="290"/>
      <c r="G28" s="309">
        <f>SUM(G3:G27)</f>
        <v>35172</v>
      </c>
    </row>
    <row r="29" spans="1:7">
      <c r="E29" s="223" t="s">
        <v>224</v>
      </c>
      <c r="F29" s="290"/>
      <c r="G29" s="309">
        <f>G28+Martial!M25</f>
        <v>48022</v>
      </c>
    </row>
  </sheetData>
  <sortState ref="A40:D52">
    <sortCondition ref="A40:A52"/>
  </sortState>
  <phoneticPr fontId="0" type="noConversion"/>
  <conditionalFormatting sqref="C26">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2014-07-25T00:35:13Z</dcterms:modified>
</cp:coreProperties>
</file>