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E10" i="4" l="1"/>
  <c r="B5" i="4"/>
  <c r="C3" i="6" l="1"/>
  <c r="C4" i="6"/>
  <c r="C13" i="20" l="1"/>
  <c r="H4" i="6" l="1"/>
  <c r="H3" i="6"/>
  <c r="I4" i="6"/>
  <c r="J4" i="6" l="1"/>
  <c r="G20" i="19"/>
  <c r="G15" i="19"/>
  <c r="C15" i="19"/>
  <c r="C19" i="19" s="1"/>
  <c r="M20" i="6" l="1"/>
  <c r="M21" i="6"/>
  <c r="M22" i="6"/>
  <c r="M23" i="6"/>
  <c r="M24" i="6"/>
  <c r="M25" i="6"/>
  <c r="M26" i="6"/>
  <c r="E9" i="4" l="1"/>
  <c r="I10" i="6" l="1"/>
  <c r="H10" i="6"/>
  <c r="J10" i="6" l="1"/>
  <c r="G23" i="6"/>
  <c r="G24" i="6"/>
  <c r="G25" i="6"/>
  <c r="G26" i="6"/>
  <c r="G19" i="6"/>
  <c r="G20" i="6"/>
  <c r="G21" i="6"/>
  <c r="G22" i="6"/>
  <c r="C3" i="20" l="1"/>
  <c r="I5" i="6" l="1"/>
  <c r="K11" i="6" l="1"/>
  <c r="H22" i="15" l="1"/>
  <c r="H13" i="15"/>
  <c r="H42" i="15"/>
  <c r="H8" i="15"/>
  <c r="M33" i="6" l="1"/>
  <c r="H18" i="15" l="1"/>
  <c r="H32" i="15"/>
  <c r="I3" i="6" l="1"/>
  <c r="I6" i="6"/>
  <c r="H3" i="15" l="1"/>
  <c r="H4" i="15"/>
  <c r="H5" i="15"/>
  <c r="H6" i="15"/>
  <c r="H7" i="15"/>
  <c r="D8" i="15"/>
  <c r="E8" i="15" s="1"/>
  <c r="H9" i="15"/>
  <c r="H10" i="15"/>
  <c r="H11" i="15"/>
  <c r="H12" i="15"/>
  <c r="D13" i="15"/>
  <c r="E13" i="15" s="1"/>
  <c r="H14" i="15"/>
  <c r="D15" i="15"/>
  <c r="E15" i="15" s="1"/>
  <c r="H15" i="15"/>
  <c r="H16" i="15"/>
  <c r="H17" i="15"/>
  <c r="D18" i="15"/>
  <c r="G18" i="15" s="1"/>
  <c r="I18" i="15" s="1"/>
  <c r="D19" i="15"/>
  <c r="G19" i="15" s="1"/>
  <c r="H19" i="15"/>
  <c r="H20" i="15"/>
  <c r="H21" i="15"/>
  <c r="D22" i="15"/>
  <c r="E22" i="15" s="1"/>
  <c r="I19" i="15" l="1"/>
  <c r="G8" i="15"/>
  <c r="I8" i="15" s="1"/>
  <c r="E18" i="15"/>
  <c r="G13" i="15"/>
  <c r="I13" i="15" s="1"/>
  <c r="G22" i="15"/>
  <c r="I22" i="15" s="1"/>
  <c r="G15" i="15"/>
  <c r="I15" i="15" s="1"/>
  <c r="E19" i="15"/>
  <c r="H37" i="15"/>
  <c r="E54" i="15"/>
  <c r="E43" i="15" s="1"/>
  <c r="H23" i="15" l="1"/>
  <c r="H24" i="15"/>
  <c r="H25" i="15"/>
  <c r="H26" i="15"/>
  <c r="H27" i="15"/>
  <c r="H28" i="15"/>
  <c r="D29" i="15"/>
  <c r="E29" i="15" s="1"/>
  <c r="H29" i="15"/>
  <c r="H30" i="15"/>
  <c r="H31" i="15"/>
  <c r="G29" i="15" l="1"/>
  <c r="I29" i="15" s="1"/>
  <c r="H36" i="15" l="1"/>
  <c r="H41" i="15"/>
  <c r="H40" i="15"/>
  <c r="H39" i="15"/>
  <c r="H38" i="15"/>
  <c r="H35" i="15"/>
  <c r="H34" i="15"/>
  <c r="H33" i="15"/>
  <c r="I12" i="6" l="1"/>
  <c r="I9" i="6"/>
  <c r="B43" i="15" l="1"/>
  <c r="G21" i="19" l="1"/>
  <c r="E8" i="4" l="1"/>
  <c r="C12" i="4" l="1"/>
  <c r="C11" i="4"/>
  <c r="C10" i="4"/>
  <c r="C9" i="4"/>
  <c r="C8" i="4"/>
  <c r="E11" i="4" s="1"/>
  <c r="C7" i="4"/>
  <c r="J3" i="6" l="1"/>
  <c r="H5" i="6"/>
  <c r="J5" i="6" s="1"/>
  <c r="H12" i="6"/>
  <c r="J12" i="6" s="1"/>
  <c r="H9" i="6"/>
  <c r="J9" i="6" s="1"/>
  <c r="D5" i="15"/>
  <c r="D20" i="15"/>
  <c r="D30" i="15"/>
  <c r="D26" i="15"/>
  <c r="H6" i="6"/>
  <c r="J6" i="6" s="1"/>
  <c r="D6" i="15"/>
  <c r="D14" i="15"/>
  <c r="D11" i="15"/>
  <c r="D12" i="15"/>
  <c r="D17" i="15"/>
  <c r="D32" i="15"/>
  <c r="D24" i="15"/>
  <c r="D25" i="15"/>
  <c r="D3" i="15"/>
  <c r="D10" i="15"/>
  <c r="D4" i="15"/>
  <c r="D7" i="15"/>
  <c r="D16" i="15"/>
  <c r="D21" i="15"/>
  <c r="D31" i="15"/>
  <c r="D27" i="15"/>
  <c r="D28" i="15"/>
  <c r="D9" i="15"/>
  <c r="D23" i="15"/>
  <c r="B6" i="4"/>
  <c r="E26" i="15" l="1"/>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haste +1
shaken -2</t>
        </r>
      </text>
    </comment>
    <comment ref="E7" authorId="0">
      <text>
        <r>
          <rPr>
            <sz val="12"/>
            <color indexed="81"/>
            <rFont val="Times New Roman"/>
            <family val="1"/>
          </rPr>
          <t>See PHB 162</t>
        </r>
      </text>
    </comment>
    <comment ref="E9" authorId="0">
      <text>
        <r>
          <rPr>
            <sz val="12"/>
            <color indexed="81"/>
            <rFont val="Times New Roman"/>
            <family val="1"/>
          </rPr>
          <t>[(9 * 10 Dragon Shaman) * 75%]
+ (9 * 1 Con)</t>
        </r>
      </text>
    </comment>
    <comment ref="E10" authorId="0">
      <text>
        <r>
          <rPr>
            <i/>
            <sz val="12"/>
            <color indexed="81"/>
            <rFont val="Times New Roman"/>
            <family val="1"/>
          </rPr>
          <t>haste +1</t>
        </r>
      </text>
    </comment>
    <comment ref="E11" authorId="0">
      <text>
        <r>
          <rPr>
            <i/>
            <sz val="12"/>
            <color indexed="81"/>
            <rFont val="Times New Roman"/>
            <family val="1"/>
          </rPr>
          <t>includes natural armor bonus +2</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C3" authorId="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A6"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7" authorId="0">
      <text>
        <r>
          <rPr>
            <sz val="12"/>
            <color indexed="81"/>
            <rFont val="Times New Roman"/>
            <family val="1"/>
          </rPr>
          <t>At 9th level, you gain immunity to the energy type of the breath weapon you gained at 4th level.
PHB II 13</t>
        </r>
      </text>
    </comment>
    <comment ref="C8" authorId="0">
      <text>
        <r>
          <rPr>
            <sz val="12"/>
            <color indexed="81"/>
            <rFont val="Times New Roman"/>
            <family val="1"/>
          </rPr>
          <t>At 4th level, you gain immunity to paralysis and sleep effects.  You also become immue to the frightful presence of dragons.
PHB II 13</t>
        </r>
      </text>
    </comment>
    <comment ref="C10" authorId="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(see below).
PHB II 13</t>
        </r>
      </text>
    </comment>
    <comment ref="C11" authorId="0">
      <text>
        <r>
          <rPr>
            <sz val="12"/>
            <color indexed="81"/>
            <rFont val="Times New Roman"/>
            <family val="1"/>
          </rPr>
          <t>Bonus on melee damage rolls equal to your aura bonus.
PHB II 13</t>
        </r>
      </text>
    </comment>
    <comment ref="C12" authorId="0">
      <text>
        <r>
          <rPr>
            <sz val="12"/>
            <color indexed="81"/>
            <rFont val="Times New Roman"/>
            <family val="1"/>
          </rPr>
          <t>Bonus on Bluff, Diplomacy, and Intimidate checks equal to your aura bonus.
PHB II 13</t>
        </r>
      </text>
    </comment>
    <comment ref="C13" authorId="0">
      <text>
        <r>
          <rPr>
            <sz val="12"/>
            <color indexed="81"/>
            <rFont val="Times New Roman"/>
            <family val="1"/>
          </rPr>
          <t>Resistance to your totem dragon’s energy type equal to 5 x your aura bonus.
PHB II 13</t>
        </r>
      </text>
    </comment>
    <comment ref="C14" authorId="0">
      <text>
        <r>
          <rPr>
            <sz val="12"/>
            <color indexed="81"/>
            <rFont val="Times New Roman"/>
            <family val="1"/>
          </rPr>
          <t>Bonus on Listen and Spot checks, as well as on initiative checks, equal to your aura bonus.
PHB II 13</t>
        </r>
      </text>
    </comment>
    <comment ref="C15" authorId="0">
      <text>
        <r>
          <rPr>
            <sz val="12"/>
            <color indexed="81"/>
            <rFont val="Times New Roman"/>
            <family val="1"/>
          </rPr>
          <t>DR 1/magic for each point of your aura bonus (up to 5).
PHB II 13</t>
        </r>
      </text>
    </comment>
    <comment ref="C16"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B11" authorId="0">
      <text>
        <r>
          <rPr>
            <i/>
            <sz val="12"/>
            <color indexed="81"/>
            <rFont val="Times New Roman"/>
            <family val="1"/>
          </rPr>
          <t>includes +1 dragon spirit cincture</t>
        </r>
      </text>
    </comment>
    <comment ref="D14"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6"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<sst xmlns="http://schemas.openxmlformats.org/spreadsheetml/2006/main" count="373" uniqueCount="218">
  <si>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</si>
  <si>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</si>
  <si>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</si>
  <si>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</si>
  <si>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</si>
  <si>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</si>
  <si>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</si>
  <si>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</si>
  <si>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</si>
  <si>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</si>
  <si>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</si>
  <si>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</si>
  <si>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</si>
  <si>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</si>
  <si>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</si>
  <si>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</si>
  <si>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</si>
  <si>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</si>
  <si>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</si>
  <si>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</si>
  <si>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</si>
  <si>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</si>
  <si>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</si>
  <si>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</si>
  <si>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</si>
  <si>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</si>
  <si>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</si>
  <si>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</si>
  <si>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</si>
  <si>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</si>
  <si>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</si>
  <si>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</si>
  <si>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</si>
  <si>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</si>
  <si>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</si>
  <si>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</si>
  <si>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</si>
  <si>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</si>
  <si>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</si>
  <si>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</si>
  <si>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</si>
  <si>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</si>
  <si>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</si>
  <si>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</si>
  <si>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</si>
  <si>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</si>
  <si>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</si>
  <si>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</si>
  <si>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</si>
  <si>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</si>
  <si>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</si>
  <si>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</si>
  <si>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</si>
  <si>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</si>
  <si>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</si>
  <si>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</si>
  <si>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</si>
  <si>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</si>
  <si>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</si>
  <si>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</si>
  <si>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</si>
  <si>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</si>
  <si>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</si>
  <si>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</si>
  <si>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</si>
  <si>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</si>
  <si>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</si>
  <si>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</si>
  <si>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</si>
  <si>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</si>
  <si>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</si>
  <si>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</si>
  <si>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</si>
  <si>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</si>
  <si>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</si>
  <si>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</si>
  <si>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</si>
  <si>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</si>
  <si>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</si>
  <si>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</si>
  <si>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</si>
  <si>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</si>
  <si>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</si>
  <si>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</si>
  <si>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</si>
  <si>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</si>
  <si>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</si>
  <si>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</si>
  <si>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</si>
  <si>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</si>
  <si>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</si>
  <si>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</si>
  <si>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</si>
  <si>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</si>
  <si>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</si>
  <si>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</si>
  <si>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</si>
  <si>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</si>
  <si>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</si>
  <si>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</si>
  <si>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</si>
  <si>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</si>
  <si>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</si>
  <si>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</si>
  <si>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</si>
  <si>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</si>
  <si>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</si>
  <si>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</si>
  <si>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</si>
  <si>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</si>
  <si>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</si>
  <si>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</si>
  <si>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</si>
  <si>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</si>
  <si>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</si>
  <si>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</si>
  <si>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</si>
  <si>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</si>
  <si>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</si>
  <si>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</si>
  <si>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</si>
  <si>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</si>
  <si>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</si>
  <si>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</si>
  <si>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</si>
  <si>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</si>
  <si>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</si>
  <si>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</si>
  <si>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</si>
  <si>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</si>
  <si>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</si>
  <si>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</si>
  <si>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</si>
  <si>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</si>
  <si>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</si>
  <si>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</si>
  <si>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</si>
  <si>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</si>
  <si>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</si>
  <si>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</si>
  <si>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</si>
  <si>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</si>
  <si>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</si>
  <si>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</si>
  <si>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Ranged Touch Attacks</t>
  </si>
  <si>
    <t>Aura:  Senses</t>
  </si>
  <si>
    <t>Senses +1</t>
  </si>
  <si>
    <t>1d3</t>
  </si>
  <si>
    <t>30’</t>
  </si>
  <si>
    <t>3rd:  Weapon Focus ~ Spears</t>
  </si>
  <si>
    <t>Bolts</t>
  </si>
  <si>
    <t>Draconic Resolve</t>
  </si>
  <si>
    <t>Immunity to Paralysis and Sleep effects</t>
  </si>
  <si>
    <t>Chaotic Evil</t>
  </si>
  <si>
    <t>Draconic Aura +2</t>
  </si>
  <si>
    <t>two</t>
  </si>
  <si>
    <t>20’ (15’)</t>
  </si>
  <si>
    <t>Dragonhide Cloak</t>
  </si>
  <si>
    <t>17-20, x2</t>
  </si>
  <si>
    <t>Electric Bolts</t>
  </si>
  <si>
    <t>Sonic Bolts</t>
  </si>
  <si>
    <t>Cold Bolts</t>
  </si>
  <si>
    <t>1d6 electric</t>
  </si>
  <si>
    <t>1d6 sonic</t>
  </si>
  <si>
    <t>1d6 cold</t>
  </si>
  <si>
    <t>Red Scale Mail +1</t>
  </si>
  <si>
    <t>Craft:  [type]</t>
  </si>
  <si>
    <t>Aura:  Presence</t>
  </si>
  <si>
    <t>6th:  Ability Focus ~ Breath Weapon</t>
  </si>
  <si>
    <t>1st:  Dragonfoe</t>
  </si>
  <si>
    <t>+2 vs. Dragons</t>
  </si>
  <si>
    <t>1</t>
  </si>
  <si>
    <t>1 + Paralysis</t>
  </si>
  <si>
    <t>1d4</t>
  </si>
  <si>
    <t>19-20, x2</t>
  </si>
  <si>
    <t>Prcg/Slsh</t>
  </si>
  <si>
    <t>Common, Draconic</t>
  </si>
  <si>
    <t>Endure Elements, at will</t>
  </si>
  <si>
    <t>Brass Dragon Scale Spear +1</t>
  </si>
  <si>
    <t>Plantbane Bolts</t>
  </si>
  <si>
    <t>Undeadbane Bolts</t>
  </si>
  <si>
    <t>Lycanbane Bolts</t>
  </si>
  <si>
    <t>Humanbane Bolts</t>
  </si>
  <si>
    <t>+2</t>
  </si>
  <si>
    <t>Bonus to hit and damage specific to target</t>
  </si>
  <si>
    <t>Dragon Spirit Cincture</t>
  </si>
  <si>
    <t>+1 die to breath weapon damage</t>
  </si>
  <si>
    <t>Natural Armor</t>
  </si>
  <si>
    <t>10’</t>
  </si>
  <si>
    <t>Totem Dragon:</t>
  </si>
  <si>
    <t>Aura:  Energy Shield</t>
  </si>
  <si>
    <t>Breath Weapon:  Cone of Fire</t>
  </si>
  <si>
    <t>Breath Weapon (line/cone)</t>
  </si>
  <si>
    <t>MIC 95</t>
  </si>
  <si>
    <t>Totem Dragon:  Brass/Red</t>
  </si>
  <si>
    <t>Energy Immunity:  Fire</t>
  </si>
  <si>
    <t>9th:  Power Attack</t>
  </si>
  <si>
    <t>1d8</t>
  </si>
  <si>
    <t>Red/Brass</t>
  </si>
  <si>
    <t>Wealth Cap (9):</t>
  </si>
  <si>
    <t>Quick-Reload Light Crossbow +1</t>
  </si>
  <si>
    <t>Heward’s Handy Haversack</t>
  </si>
  <si>
    <t>Gold Pieces</t>
  </si>
  <si>
    <t>% of 100-lb limit</t>
  </si>
  <si>
    <t>Folding Boat/Ship</t>
  </si>
  <si>
    <t>Carp</t>
  </si>
  <si>
    <t>Red Drake Tunic</t>
  </si>
  <si>
    <t>Cute, but no magical properties</t>
  </si>
  <si>
    <t>5d6</t>
  </si>
  <si>
    <t>Aquaticbane Dagger</t>
  </si>
  <si>
    <t>2d6 v. aqtc.</t>
  </si>
  <si>
    <t>Potion of Water Breathing</t>
  </si>
  <si>
    <t>Ring</t>
  </si>
  <si>
    <t>Potion of Bear’s Endurance</t>
  </si>
  <si>
    <t>Potion of Eagle’s Splendor</t>
  </si>
  <si>
    <t>Aquatic Longspear +1</t>
  </si>
  <si>
    <t>Aquatic Longspear, 2nd attack</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</si>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</sst>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rgb="FFC00000"/>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11">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0" xfId="0" applyNumberFormat="1" applyFont="1" applyBorder="1" applyAlignment="1">
      <alignment horizontal="centerContinuous" vertical="center"/>
    </xf>
    <xf numFmtId="0" fontId="1" fillId="0" borderId="101"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2" xfId="0" applyFont="1" applyBorder="1" applyAlignment="1">
      <alignment horizontal="center" vertical="center"/>
    </xf>
    <xf numFmtId="0" fontId="1" fillId="0" borderId="103" xfId="0" applyFont="1" applyFill="1" applyBorder="1" applyAlignment="1">
      <alignment horizontal="center" vertical="center"/>
    </xf>
    <xf numFmtId="0" fontId="1" fillId="0" borderId="103" xfId="0" applyNumberFormat="1" applyFont="1" applyBorder="1" applyAlignment="1">
      <alignment horizontal="center" vertical="center"/>
    </xf>
    <xf numFmtId="0" fontId="1" fillId="0" borderId="103" xfId="0" quotePrefix="1" applyNumberFormat="1" applyFont="1" applyFill="1" applyBorder="1" applyAlignment="1">
      <alignment horizontal="center" vertical="center"/>
    </xf>
    <xf numFmtId="1" fontId="45" fillId="11" borderId="97"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5" xfId="0" applyFont="1" applyBorder="1" applyAlignment="1">
      <alignment horizontal="center" vertical="center"/>
    </xf>
    <xf numFmtId="49" fontId="1" fillId="0" borderId="95" xfId="0" applyNumberFormat="1" applyFont="1" applyBorder="1" applyAlignment="1">
      <alignment horizontal="center" vertical="center"/>
    </xf>
    <xf numFmtId="0" fontId="1" fillId="0" borderId="99"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0" fontId="1" fillId="0" borderId="85" xfId="0" applyFont="1" applyFill="1" applyBorder="1" applyAlignment="1">
      <alignment horizontal="center" vertical="center"/>
    </xf>
    <xf numFmtId="9" fontId="1" fillId="0" borderId="85" xfId="0" applyNumberFormat="1" applyFont="1" applyFill="1" applyBorder="1" applyAlignment="1">
      <alignment horizontal="center" vertical="center"/>
    </xf>
    <xf numFmtId="164" fontId="1" fillId="0" borderId="85" xfId="0" applyNumberFormat="1" applyFont="1" applyFill="1" applyBorder="1" applyAlignment="1">
      <alignment horizontal="center" vertical="center"/>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8" xfId="0" applyFont="1" applyFill="1" applyBorder="1" applyAlignment="1">
      <alignment horizontal="centerContinuous" vertical="center"/>
    </xf>
    <xf numFmtId="0" fontId="1" fillId="0" borderId="92" xfId="0" applyFont="1" applyFill="1" applyBorder="1" applyAlignment="1">
      <alignment horizontal="centerContinuous" vertical="center"/>
    </xf>
    <xf numFmtId="0" fontId="4" fillId="0" borderId="89" xfId="0" applyFont="1" applyFill="1" applyBorder="1" applyAlignment="1">
      <alignment horizontal="centerContinuous" vertical="center"/>
    </xf>
    <xf numFmtId="164" fontId="1" fillId="0" borderId="91" xfId="0" applyNumberFormat="1" applyFont="1" applyFill="1" applyBorder="1" applyAlignment="1">
      <alignment horizontal="center" vertical="center"/>
    </xf>
    <xf numFmtId="49" fontId="1" fillId="0" borderId="90" xfId="0" applyNumberFormat="1" applyFont="1" applyFill="1" applyBorder="1" applyAlignment="1">
      <alignment horizontal="centerContinuous" vertical="center"/>
    </xf>
    <xf numFmtId="49" fontId="1" fillId="0" borderId="92" xfId="0" applyNumberFormat="1" applyFont="1" applyFill="1" applyBorder="1" applyAlignment="1">
      <alignment horizontal="centerContinuous" vertical="center"/>
    </xf>
    <xf numFmtId="0" fontId="4" fillId="0" borderId="93" xfId="0" applyFont="1" applyFill="1" applyBorder="1" applyAlignment="1">
      <alignment horizontal="centerContinuous" vertical="center"/>
    </xf>
    <xf numFmtId="164" fontId="1" fillId="0" borderId="95"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4"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6"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8" xfId="0" applyFont="1" applyFill="1" applyBorder="1" applyAlignment="1">
      <alignment horizontal="center" vertical="center"/>
    </xf>
    <xf numFmtId="0" fontId="1" fillId="0" borderId="86"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6" xfId="0" applyFont="1" applyFill="1" applyBorder="1" applyAlignment="1">
      <alignment horizontal="centerContinuous" vertical="center" shrinkToFit="1"/>
    </xf>
    <xf numFmtId="0" fontId="21" fillId="0" borderId="107" xfId="0" applyFont="1" applyFill="1" applyBorder="1" applyAlignment="1">
      <alignment horizontal="centerContinuous" vertical="center"/>
    </xf>
    <xf numFmtId="0" fontId="1" fillId="0" borderId="108" xfId="0" applyFont="1" applyFill="1" applyBorder="1" applyAlignment="1">
      <alignment horizontal="center" vertical="center"/>
    </xf>
    <xf numFmtId="49" fontId="1" fillId="0" borderId="109" xfId="0" applyNumberFormat="1" applyFont="1" applyFill="1" applyBorder="1" applyAlignment="1">
      <alignment horizontal="centerContinuous" vertical="center"/>
    </xf>
    <xf numFmtId="0" fontId="1" fillId="0" borderId="110" xfId="0" applyFont="1" applyFill="1" applyBorder="1" applyAlignment="1">
      <alignment horizontal="centerContinuous" vertical="center"/>
    </xf>
    <xf numFmtId="0" fontId="1" fillId="0" borderId="87"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1" xfId="0" applyFont="1" applyBorder="1" applyAlignment="1">
      <alignment horizontal="center" vertical="center"/>
    </xf>
    <xf numFmtId="0" fontId="1" fillId="0" borderId="91" xfId="0" applyFont="1" applyBorder="1" applyAlignment="1">
      <alignment horizontal="center" vertical="center"/>
    </xf>
    <xf numFmtId="0" fontId="1" fillId="0" borderId="91" xfId="0" applyNumberFormat="1" applyFont="1" applyBorder="1" applyAlignment="1">
      <alignment horizontal="center" vertical="center"/>
    </xf>
    <xf numFmtId="49" fontId="1" fillId="0" borderId="91" xfId="2" applyNumberFormat="1" applyFont="1" applyBorder="1" applyAlignment="1">
      <alignment horizontal="center" vertical="center"/>
    </xf>
    <xf numFmtId="0" fontId="1" fillId="0" borderId="91" xfId="0" applyFont="1" applyBorder="1" applyAlignment="1">
      <alignment horizontal="center" vertical="center" shrinkToFit="1"/>
    </xf>
    <xf numFmtId="164" fontId="1" fillId="0" borderId="91" xfId="0" applyNumberFormat="1" applyFont="1" applyBorder="1" applyAlignment="1">
      <alignment horizontal="center" vertical="center"/>
    </xf>
    <xf numFmtId="164" fontId="1" fillId="0" borderId="90" xfId="0" applyNumberFormat="1" applyFont="1" applyBorder="1" applyAlignment="1">
      <alignment horizontal="center" vertical="center"/>
    </xf>
    <xf numFmtId="1" fontId="45" fillId="11" borderId="90"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1" fillId="0" borderId="97"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4"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5" xfId="0" applyFont="1" applyFill="1" applyBorder="1" applyAlignment="1">
      <alignment horizontal="centerContinuous" vertical="center"/>
    </xf>
    <xf numFmtId="0" fontId="1"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164" fontId="1" fillId="0" borderId="103" xfId="0" applyNumberFormat="1" applyFont="1" applyFill="1" applyBorder="1" applyAlignment="1">
      <alignment horizontal="center" vertical="center"/>
    </xf>
    <xf numFmtId="49" fontId="1" fillId="0" borderId="116" xfId="0" applyNumberFormat="1" applyFont="1" applyFill="1" applyBorder="1" applyAlignment="1">
      <alignment horizontal="center" vertical="center"/>
    </xf>
    <xf numFmtId="49" fontId="1" fillId="0" borderId="97" xfId="0" applyNumberFormat="1" applyFont="1" applyFill="1" applyBorder="1" applyAlignment="1">
      <alignment horizontal="centerContinuous" vertical="center"/>
    </xf>
    <xf numFmtId="49" fontId="1" fillId="0" borderId="116" xfId="0" applyNumberFormat="1" applyFont="1" applyFill="1" applyBorder="1" applyAlignment="1">
      <alignment horizontal="centerContinuous" vertical="center"/>
    </xf>
    <xf numFmtId="0" fontId="4" fillId="0" borderId="118"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5" xfId="0" applyNumberFormat="1" applyFont="1" applyBorder="1" applyAlignment="1">
      <alignment horizontal="center" vertical="center"/>
    </xf>
    <xf numFmtId="49" fontId="1" fillId="0" borderId="95" xfId="2" applyNumberFormat="1" applyFont="1" applyBorder="1" applyAlignment="1">
      <alignment horizontal="center" vertical="center"/>
    </xf>
    <xf numFmtId="0" fontId="1" fillId="0" borderId="95" xfId="0" applyFont="1" applyBorder="1" applyAlignment="1">
      <alignment horizontal="center" vertical="center" shrinkToFit="1"/>
    </xf>
    <xf numFmtId="164" fontId="1" fillId="0" borderId="95"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3" xfId="0" applyFont="1" applyFill="1" applyBorder="1" applyAlignment="1">
      <alignment horizontal="center" vertical="center"/>
    </xf>
    <xf numFmtId="0" fontId="1" fillId="0" borderId="11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7" xfId="0" applyNumberFormat="1" applyFont="1" applyBorder="1" applyAlignment="1">
      <alignment horizontal="center" vertical="center"/>
    </xf>
    <xf numFmtId="0" fontId="1" fillId="0" borderId="104"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0" borderId="105"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10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0" xfId="0" applyNumberFormat="1" applyFont="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106" xfId="0" applyFont="1" applyBorder="1" applyAlignment="1">
      <alignment horizontal="center" vertical="center" shrinkToFit="1"/>
    </xf>
    <xf numFmtId="0" fontId="1" fillId="0" borderId="119" xfId="0" applyFont="1" applyBorder="1" applyAlignment="1">
      <alignment horizontal="left" vertical="center"/>
    </xf>
    <xf numFmtId="0" fontId="45" fillId="15" borderId="95" xfId="0" applyFont="1" applyFill="1" applyBorder="1" applyAlignment="1">
      <alignment horizontal="center" vertical="center"/>
    </xf>
    <xf numFmtId="0" fontId="1" fillId="0" borderId="99" xfId="0" quotePrefix="1" applyFont="1" applyBorder="1" applyAlignment="1">
      <alignment horizontal="center" vertical="center"/>
    </xf>
    <xf numFmtId="0" fontId="1" fillId="0" borderId="112" xfId="0" quotePrefix="1" applyFont="1" applyBorder="1" applyAlignment="1">
      <alignment horizontal="center" vertical="center"/>
    </xf>
    <xf numFmtId="0" fontId="1" fillId="0" borderId="103" xfId="0" applyFont="1" applyBorder="1" applyAlignment="1">
      <alignment horizontal="center" vertical="center"/>
    </xf>
    <xf numFmtId="49" fontId="1" fillId="0" borderId="103" xfId="2" applyNumberFormat="1" applyFont="1" applyBorder="1" applyAlignment="1">
      <alignment horizontal="center" vertical="center"/>
    </xf>
    <xf numFmtId="0" fontId="1" fillId="0" borderId="103" xfId="0" applyFont="1" applyBorder="1" applyAlignment="1">
      <alignment horizontal="center" vertical="center" shrinkToFit="1"/>
    </xf>
    <xf numFmtId="164" fontId="1" fillId="0" borderId="103" xfId="0" applyNumberFormat="1" applyFont="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49" fontId="16" fillId="0" borderId="33"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Alignment change is forcing totem dragon to change to red.</a:t>
          </a:r>
        </a:p>
        <a:p>
          <a:pPr algn="just" rtl="0">
            <a:defRPr sz="1000"/>
          </a:pPr>
          <a:r>
            <a:rPr lang="en-US" sz="1200" b="0" i="0" u="none" strike="noStrike" baseline="0">
              <a:solidFill>
                <a:srgbClr val="000000"/>
              </a:solidFill>
              <a:latin typeface="Times New Roman"/>
              <a:cs typeface="Times New Roman"/>
            </a:rPr>
            <a:t>DR 1/--</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9</xdr:row>
      <xdr:rowOff>310243</xdr:rowOff>
    </xdr:from>
    <xdr:to>
      <xdr:col>3</xdr:col>
      <xdr:colOff>266700</xdr:colOff>
      <xdr:row>11</xdr:row>
      <xdr:rowOff>24493</xdr:rowOff>
    </xdr:to>
    <xdr:sp macro="" textlink="">
      <xdr:nvSpPr>
        <xdr:cNvPr id="3" name="Oval 2"/>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14</xdr:row>
      <xdr:rowOff>205468</xdr:rowOff>
    </xdr:from>
    <xdr:to>
      <xdr:col>3</xdr:col>
      <xdr:colOff>266700</xdr:colOff>
      <xdr:row>16</xdr:row>
      <xdr:rowOff>14968</xdr:rowOff>
    </xdr:to>
    <xdr:sp macro="" textlink="">
      <xdr:nvSpPr>
        <xdr:cNvPr id="4" name="Oval 3"/>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13</xdr:row>
      <xdr:rowOff>217714</xdr:rowOff>
    </xdr:from>
    <xdr:to>
      <xdr:col>3</xdr:col>
      <xdr:colOff>266700</xdr:colOff>
      <xdr:row>15</xdr:row>
      <xdr:rowOff>28575</xdr:rowOff>
    </xdr:to>
    <xdr:sp macro="" textlink="">
      <xdr:nvSpPr>
        <xdr:cNvPr id="5" name="Oval 4"/>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10</xdr:row>
      <xdr:rowOff>205467</xdr:rowOff>
    </xdr:from>
    <xdr:to>
      <xdr:col>3</xdr:col>
      <xdr:colOff>262618</xdr:colOff>
      <xdr:row>12</xdr:row>
      <xdr:rowOff>21771</xdr:rowOff>
    </xdr:to>
    <xdr:sp macro="" textlink="">
      <xdr:nvSpPr>
        <xdr:cNvPr id="6" name="Oval 5"/>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12</xdr:row>
      <xdr:rowOff>4082</xdr:rowOff>
    </xdr:from>
    <xdr:to>
      <xdr:col>3</xdr:col>
      <xdr:colOff>263979</xdr:colOff>
      <xdr:row>13</xdr:row>
      <xdr:rowOff>23132</xdr:rowOff>
    </xdr:to>
    <xdr:sp macro="" textlink="">
      <xdr:nvSpPr>
        <xdr:cNvPr id="7" name="Oval 6"/>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13</xdr:row>
      <xdr:rowOff>1</xdr:rowOff>
    </xdr:from>
    <xdr:to>
      <xdr:col>3</xdr:col>
      <xdr:colOff>265340</xdr:colOff>
      <xdr:row>14</xdr:row>
      <xdr:rowOff>19051</xdr:rowOff>
    </xdr:to>
    <xdr:sp macro="" textlink="">
      <xdr:nvSpPr>
        <xdr:cNvPr id="8" name="Oval 7"/>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13607</xdr:colOff>
      <xdr:row>8</xdr:row>
      <xdr:rowOff>304801</xdr:rowOff>
    </xdr:from>
    <xdr:to>
      <xdr:col>3</xdr:col>
      <xdr:colOff>261257</xdr:colOff>
      <xdr:row>10</xdr:row>
      <xdr:rowOff>2722</xdr:rowOff>
    </xdr:to>
    <xdr:sp macro="" textlink="">
      <xdr:nvSpPr>
        <xdr:cNvPr id="9" name="Oval 8"/>
        <xdr:cNvSpPr/>
      </xdr:nvSpPr>
      <xdr:spPr bwMode="auto">
        <a:xfrm>
          <a:off x="4461782" y="1905001"/>
          <a:ext cx="247650" cy="221796"/>
        </a:xfrm>
        <a:prstGeom prst="ellipse">
          <a:avLst/>
        </a:prstGeom>
        <a:gradFill>
          <a:gsLst>
            <a:gs pos="17999">
              <a:srgbClr val="FFFFFF">
                <a:alpha val="76000"/>
              </a:srgbClr>
            </a:gs>
            <a:gs pos="53000">
              <a:srgbClr val="CFCFCF">
                <a:alpha val="58000"/>
              </a:srgbClr>
            </a:gs>
            <a:gs pos="66000">
              <a:srgbClr val="CFCFCF">
                <a:alpha val="89000"/>
              </a:srgbClr>
            </a:gs>
            <a:gs pos="78999">
              <a:srgbClr val="FFFFFF">
                <a:alpha val="85000"/>
              </a:srgbClr>
            </a:gs>
            <a:gs pos="100000">
              <a:srgbClr val="7F7F7F">
                <a:alpha val="43000"/>
              </a:srgbClr>
            </a:gs>
          </a:gsLst>
          <a:lin ang="13500000" scaled="0"/>
        </a:gradFill>
        <a:ln w="22225" cap="flat" cmpd="sng" algn="ctr">
          <a:solidFill>
            <a:srgbClr val="FFC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390525</xdr:colOff>
      <xdr:row>1</xdr:row>
      <xdr:rowOff>123825</xdr:rowOff>
    </xdr:from>
    <xdr:to>
      <xdr:col>2</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6" customWidth="1"/>
    <col min="2" max="2" width="11" style="67" customWidth="1"/>
    <col min="3" max="3" width="6" style="67" customWidth="1"/>
    <col min="4" max="4" width="13.69921875" style="66" bestFit="1" customWidth="1"/>
    <col min="5" max="5" width="13.3984375" style="67" bestFit="1" customWidth="1"/>
    <col min="6" max="6" width="14.69921875" style="66" customWidth="1"/>
    <col min="7" max="7" width="17.09765625" style="67" customWidth="1"/>
    <col min="8" max="16384" width="13" style="19"/>
  </cols>
  <sheetData>
    <row r="1" spans="1:7" ht="29.4" thickTop="1" thickBot="1">
      <c r="A1" s="296" t="s">
        <v>114</v>
      </c>
      <c r="B1" s="297" t="s">
        <v>117</v>
      </c>
      <c r="C1" s="15"/>
      <c r="D1" s="16"/>
      <c r="E1" s="17"/>
      <c r="F1" s="16"/>
      <c r="G1" s="18" t="s">
        <v>115</v>
      </c>
    </row>
    <row r="2" spans="1:7" ht="17.399999999999999" thickTop="1">
      <c r="A2" s="20" t="s">
        <v>0</v>
      </c>
      <c r="B2" s="21" t="s">
        <v>119</v>
      </c>
      <c r="C2" s="21"/>
      <c r="D2" s="22" t="s">
        <v>1</v>
      </c>
      <c r="E2" s="23" t="s">
        <v>116</v>
      </c>
      <c r="F2" s="24"/>
      <c r="G2" s="25"/>
    </row>
    <row r="3" spans="1:7" ht="16.8">
      <c r="A3" s="20" t="s">
        <v>66</v>
      </c>
      <c r="B3" s="21" t="s">
        <v>127</v>
      </c>
      <c r="C3" s="21"/>
      <c r="D3" s="22" t="s">
        <v>67</v>
      </c>
      <c r="E3" s="23">
        <v>9</v>
      </c>
      <c r="F3" s="22"/>
      <c r="G3" s="25"/>
    </row>
    <row r="4" spans="1:7" ht="17.399999999999999" thickBot="1">
      <c r="A4" s="20" t="s">
        <v>68</v>
      </c>
      <c r="B4" s="351" t="s">
        <v>153</v>
      </c>
      <c r="C4" s="351"/>
      <c r="D4" s="22" t="s">
        <v>189</v>
      </c>
      <c r="E4" s="23" t="s">
        <v>198</v>
      </c>
      <c r="F4" s="22"/>
      <c r="G4" s="25"/>
    </row>
    <row r="5" spans="1:7" ht="17.399999999999999" thickTop="1">
      <c r="A5" s="26" t="s">
        <v>91</v>
      </c>
      <c r="B5" s="408">
        <f>6</f>
        <v>6</v>
      </c>
      <c r="C5" s="409"/>
      <c r="D5" s="27" t="s">
        <v>78</v>
      </c>
      <c r="E5" s="28" t="s">
        <v>148</v>
      </c>
      <c r="F5" s="29"/>
      <c r="G5" s="25"/>
    </row>
    <row r="6" spans="1:7" ht="17.399999999999999" thickBot="1">
      <c r="A6" s="30" t="s">
        <v>109</v>
      </c>
      <c r="B6" s="31" t="str">
        <f>C8</f>
        <v>+1</v>
      </c>
      <c r="C6" s="32"/>
      <c r="D6" s="33" t="s">
        <v>100</v>
      </c>
      <c r="E6" s="34" t="s">
        <v>148</v>
      </c>
      <c r="F6" s="29"/>
      <c r="G6" s="25"/>
    </row>
    <row r="7" spans="1:7" ht="17.399999999999999" thickTop="1">
      <c r="A7" s="35" t="s">
        <v>2</v>
      </c>
      <c r="B7" s="294">
        <v>13</v>
      </c>
      <c r="C7" s="36" t="str">
        <f t="shared" ref="C7:C12" si="0">IF(B7&gt;9.9,CONCATENATE("+",ROUNDDOWN((B7-10)/2,0)),ROUNDUP((B7-10)/2,0))</f>
        <v>+1</v>
      </c>
      <c r="D7" s="37" t="s">
        <v>76</v>
      </c>
      <c r="E7" s="410" t="s">
        <v>217</v>
      </c>
      <c r="F7" s="29"/>
      <c r="G7" s="25"/>
    </row>
    <row r="8" spans="1:7" ht="16.8">
      <c r="A8" s="38" t="s">
        <v>3</v>
      </c>
      <c r="B8" s="295">
        <v>13</v>
      </c>
      <c r="C8" s="39" t="str">
        <f t="shared" si="0"/>
        <v>+1</v>
      </c>
      <c r="D8" s="40" t="s">
        <v>77</v>
      </c>
      <c r="E8" s="41">
        <f>SUM(Martial!G6:G19)+SUM(Equipment!C3:C9)</f>
        <v>35.85</v>
      </c>
      <c r="F8" s="29"/>
      <c r="G8" s="25"/>
    </row>
    <row r="9" spans="1:7" ht="16.8">
      <c r="A9" s="42" t="s">
        <v>13</v>
      </c>
      <c r="B9" s="43">
        <v>12</v>
      </c>
      <c r="C9" s="44" t="str">
        <f t="shared" si="0"/>
        <v>+1</v>
      </c>
      <c r="D9" s="40" t="s">
        <v>15</v>
      </c>
      <c r="E9" s="45">
        <f>ROUNDUP(((E3*10)*0.75)+(E3*C9),0)</f>
        <v>77</v>
      </c>
      <c r="F9" s="29"/>
      <c r="G9" s="25"/>
    </row>
    <row r="10" spans="1:7" ht="16.8">
      <c r="A10" s="46" t="s">
        <v>14</v>
      </c>
      <c r="B10" s="43">
        <v>11</v>
      </c>
      <c r="C10" s="39" t="str">
        <f t="shared" si="0"/>
        <v>+0</v>
      </c>
      <c r="D10" s="47" t="s">
        <v>93</v>
      </c>
      <c r="E10" s="342">
        <f>10+C8</f>
        <v>11</v>
      </c>
      <c r="F10" s="20"/>
      <c r="G10" s="25"/>
    </row>
    <row r="11" spans="1:7" ht="16.8">
      <c r="A11" s="48" t="s">
        <v>16</v>
      </c>
      <c r="B11" s="43">
        <v>12</v>
      </c>
      <c r="C11" s="39" t="str">
        <f t="shared" si="0"/>
        <v>+1</v>
      </c>
      <c r="D11" s="47" t="s">
        <v>65</v>
      </c>
      <c r="E11" s="342">
        <f>E10+SUM(Martial!B15:B16)+1</f>
        <v>19</v>
      </c>
      <c r="F11" s="29"/>
      <c r="G11" s="25"/>
    </row>
    <row r="12" spans="1:7" ht="17.399999999999999" thickBot="1">
      <c r="A12" s="49" t="s">
        <v>12</v>
      </c>
      <c r="B12" s="50">
        <v>18</v>
      </c>
      <c r="C12" s="51" t="str">
        <f t="shared" si="0"/>
        <v>+4</v>
      </c>
      <c r="D12" s="52" t="s">
        <v>101</v>
      </c>
      <c r="E12" s="298">
        <f>E11-C8</f>
        <v>18</v>
      </c>
      <c r="F12" s="29"/>
      <c r="G12" s="25"/>
    </row>
    <row r="13" spans="1:7" ht="24" thickTop="1" thickBot="1">
      <c r="A13" s="53" t="s">
        <v>26</v>
      </c>
      <c r="B13" s="54"/>
      <c r="C13" s="54"/>
      <c r="D13" s="55"/>
      <c r="E13" s="55"/>
      <c r="F13" s="55"/>
      <c r="G13" s="56"/>
    </row>
    <row r="14" spans="1:7" s="7" customFormat="1" ht="17.399999999999999" thickTop="1">
      <c r="A14" s="57"/>
      <c r="B14" s="58"/>
      <c r="C14" s="58"/>
      <c r="D14" s="58"/>
      <c r="E14" s="58"/>
      <c r="F14" s="58"/>
      <c r="G14" s="59"/>
    </row>
    <row r="15" spans="1:7" s="7" customFormat="1" ht="16.8">
      <c r="A15" s="60"/>
      <c r="B15" s="61"/>
      <c r="C15" s="61"/>
      <c r="D15" s="61"/>
      <c r="E15" s="61"/>
      <c r="F15" s="61"/>
      <c r="G15" s="62"/>
    </row>
    <row r="16" spans="1:7" s="7" customFormat="1" ht="16.8">
      <c r="A16" s="60"/>
      <c r="B16" s="61"/>
      <c r="C16" s="61"/>
      <c r="D16" s="61"/>
      <c r="E16" s="61"/>
      <c r="F16" s="61"/>
      <c r="G16" s="62"/>
    </row>
    <row r="17" spans="1:7" s="7" customFormat="1" ht="16.8">
      <c r="A17" s="60"/>
      <c r="B17" s="61"/>
      <c r="C17" s="61"/>
      <c r="D17" s="61"/>
      <c r="E17" s="61"/>
      <c r="F17" s="61"/>
      <c r="G17" s="62"/>
    </row>
    <row r="18" spans="1:7" s="7" customFormat="1" ht="16.8">
      <c r="A18" s="60"/>
      <c r="B18" s="61"/>
      <c r="C18" s="61"/>
      <c r="D18" s="61"/>
      <c r="E18" s="61"/>
      <c r="F18" s="61"/>
      <c r="G18" s="62"/>
    </row>
    <row r="19" spans="1:7" s="7" customFormat="1" ht="16.8">
      <c r="A19" s="60"/>
      <c r="B19" s="61"/>
      <c r="C19" s="61"/>
      <c r="D19" s="61"/>
      <c r="E19" s="61"/>
      <c r="F19" s="61"/>
      <c r="G19" s="62"/>
    </row>
    <row r="20" spans="1:7" s="7" customFormat="1" ht="16.8">
      <c r="A20" s="60"/>
      <c r="B20" s="61"/>
      <c r="C20" s="61"/>
      <c r="D20" s="61"/>
      <c r="E20" s="61"/>
      <c r="F20" s="61"/>
      <c r="G20" s="62"/>
    </row>
    <row r="21" spans="1:7" ht="17.399999999999999" thickBot="1">
      <c r="A21" s="63"/>
      <c r="B21" s="64"/>
      <c r="C21" s="64"/>
      <c r="D21" s="64"/>
      <c r="E21" s="64"/>
      <c r="F21" s="64"/>
      <c r="G21" s="65"/>
    </row>
    <row r="22"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showGridLines="0" workbookViewId="0">
      <pane ySplit="2" topLeftCell="A3" activePane="bottomLeft" state="frozen"/>
      <selection pane="bottomLeft" activeCell="A3" sqref="A3"/>
    </sheetView>
  </sheetViews>
  <sheetFormatPr defaultColWidth="13" defaultRowHeight="15.6"/>
  <cols>
    <col min="1" max="1" width="21.69921875" style="66" bestFit="1" customWidth="1"/>
    <col min="2" max="2" width="5.8984375" style="66" bestFit="1" customWidth="1"/>
    <col min="3" max="3" width="7.59765625" style="67" hidden="1" customWidth="1"/>
    <col min="4" max="4" width="5.8984375" style="67" hidden="1" customWidth="1"/>
    <col min="5" max="5" width="9.19921875" style="67" bestFit="1" customWidth="1"/>
    <col min="6" max="6" width="6.69921875" style="67" bestFit="1" customWidth="1"/>
    <col min="7" max="7" width="6" style="172" bestFit="1" customWidth="1"/>
    <col min="8" max="8" width="5.19921875" style="172" bestFit="1" customWidth="1"/>
    <col min="9" max="9" width="6.8984375" style="172" bestFit="1" customWidth="1"/>
    <col min="10" max="10" width="41.5" style="66" customWidth="1"/>
    <col min="11" max="16384" width="13" style="19"/>
  </cols>
  <sheetData>
    <row r="1" spans="1:11" ht="25.8" thickBot="1">
      <c r="A1" s="68" t="s">
        <v>11</v>
      </c>
      <c r="B1" s="69"/>
      <c r="C1" s="69"/>
      <c r="D1" s="69"/>
      <c r="E1" s="69"/>
      <c r="F1" s="69"/>
      <c r="G1" s="70"/>
      <c r="H1" s="70"/>
      <c r="I1" s="70"/>
      <c r="J1" s="69"/>
    </row>
    <row r="2" spans="1:11" s="7" customFormat="1" ht="34.200000000000003" thickBot="1">
      <c r="A2" s="1" t="s">
        <v>99</v>
      </c>
      <c r="B2" s="2" t="s">
        <v>31</v>
      </c>
      <c r="C2" s="2" t="s">
        <v>38</v>
      </c>
      <c r="D2" s="2" t="s">
        <v>30</v>
      </c>
      <c r="E2" s="3" t="s">
        <v>63</v>
      </c>
      <c r="F2" s="3" t="s">
        <v>39</v>
      </c>
      <c r="G2" s="4" t="s">
        <v>69</v>
      </c>
      <c r="H2" s="338" t="s">
        <v>98</v>
      </c>
      <c r="I2" s="5" t="s">
        <v>85</v>
      </c>
      <c r="J2" s="6" t="s">
        <v>83</v>
      </c>
    </row>
    <row r="3" spans="1:11" s="7" customFormat="1" ht="16.8">
      <c r="A3" s="71" t="s">
        <v>71</v>
      </c>
      <c r="B3" s="72">
        <v>6</v>
      </c>
      <c r="C3" s="73" t="s">
        <v>33</v>
      </c>
      <c r="D3" s="73" t="str">
        <f>IF(C3="Str",'Personal File'!$C$7,IF(C3="Dex",'Personal File'!$C$8,IF(C3="Con",'Personal File'!$C$9,IF(C3="Int",'Personal File'!$C$10,IF(C3="Wis",'Personal File'!$C$11,IF(C3="Cha",'Personal File'!$C$12))))))</f>
        <v>+1</v>
      </c>
      <c r="E3" s="74" t="str">
        <f t="shared" ref="E3:E5" si="0">CONCATENATE(C3," (",D3,")")</f>
        <v>Con (+1)</v>
      </c>
      <c r="F3" s="75">
        <v>0</v>
      </c>
      <c r="G3" s="76">
        <f t="shared" ref="G3:G42" si="1">B3+D3+F3</f>
        <v>7</v>
      </c>
      <c r="H3" s="77">
        <f t="shared" ref="H3:H5" ca="1" si="2">RANDBETWEEN(1,20)</f>
        <v>8</v>
      </c>
      <c r="I3" s="76">
        <f t="shared" ref="I3:I42" ca="1" si="3">SUM(G3:H3)</f>
        <v>15</v>
      </c>
      <c r="J3" s="78" t="s">
        <v>152</v>
      </c>
    </row>
    <row r="4" spans="1:11" s="7" customFormat="1" ht="16.8">
      <c r="A4" s="79" t="s">
        <v>72</v>
      </c>
      <c r="B4" s="72">
        <v>3</v>
      </c>
      <c r="C4" s="73" t="s">
        <v>36</v>
      </c>
      <c r="D4" s="73" t="str">
        <f>IF(C4="Str",'Personal File'!$C$7,IF(C4="Dex",'Personal File'!$C$8,IF(C4="Con",'Personal File'!$C$9,IF(C4="Int",'Personal File'!$C$10,IF(C4="Wis",'Personal File'!$C$11,IF(C4="Cha",'Personal File'!$C$12))))))</f>
        <v>+1</v>
      </c>
      <c r="E4" s="80" t="str">
        <f t="shared" si="0"/>
        <v>Dex (+1)</v>
      </c>
      <c r="F4" s="95" t="s">
        <v>64</v>
      </c>
      <c r="G4" s="76">
        <f t="shared" si="1"/>
        <v>4</v>
      </c>
      <c r="H4" s="77">
        <f t="shared" ca="1" si="2"/>
        <v>10</v>
      </c>
      <c r="I4" s="76">
        <f t="shared" ca="1" si="3"/>
        <v>14</v>
      </c>
      <c r="J4" s="78" t="s">
        <v>152</v>
      </c>
      <c r="K4" s="352"/>
    </row>
    <row r="5" spans="1:11" s="7" customFormat="1" ht="16.8">
      <c r="A5" s="81" t="s">
        <v>73</v>
      </c>
      <c r="B5" s="82">
        <v>6</v>
      </c>
      <c r="C5" s="83" t="s">
        <v>35</v>
      </c>
      <c r="D5" s="83" t="str">
        <f>IF(C5="Str",'Personal File'!$C$7,IF(C5="Dex",'Personal File'!$C$8,IF(C5="Con",'Personal File'!$C$9,IF(C5="Int",'Personal File'!$C$10,IF(C5="Wis",'Personal File'!$C$11,IF(C5="Cha",'Personal File'!$C$12))))))</f>
        <v>+1</v>
      </c>
      <c r="E5" s="84" t="str">
        <f t="shared" si="0"/>
        <v>Wis (+1)</v>
      </c>
      <c r="F5" s="85">
        <v>0</v>
      </c>
      <c r="G5" s="86">
        <f t="shared" si="1"/>
        <v>7</v>
      </c>
      <c r="H5" s="87">
        <f t="shared" ca="1" si="2"/>
        <v>7</v>
      </c>
      <c r="I5" s="86">
        <f t="shared" ca="1" si="3"/>
        <v>14</v>
      </c>
      <c r="J5" s="88" t="s">
        <v>152</v>
      </c>
    </row>
    <row r="6" spans="1:11" s="97" customFormat="1" ht="16.8">
      <c r="A6" s="89" t="s">
        <v>40</v>
      </c>
      <c r="B6" s="90">
        <v>0</v>
      </c>
      <c r="C6" s="91" t="s">
        <v>34</v>
      </c>
      <c r="D6" s="92" t="str">
        <f>IF(C6="Str",'Personal File'!$C$7,IF(C6="Dex",'Personal File'!$C$8,IF(C6="Con",'Personal File'!$C$9,IF(C6="Int",'Personal File'!$C$10,IF(C6="Wis",'Personal File'!$C$11,IF(C6="Cha",'Personal File'!$C$12))))))</f>
        <v>+0</v>
      </c>
      <c r="E6" s="93" t="str">
        <f t="shared" ref="E6:E42" si="4">CONCATENATE(C6," (",D6,")")</f>
        <v>Int (+0)</v>
      </c>
      <c r="F6" s="94" t="s">
        <v>64</v>
      </c>
      <c r="G6" s="95">
        <f t="shared" si="1"/>
        <v>0</v>
      </c>
      <c r="H6" s="77">
        <f ca="1">RANDBETWEEN(1,20)</f>
        <v>16</v>
      </c>
      <c r="I6" s="95">
        <f t="shared" ca="1" si="3"/>
        <v>16</v>
      </c>
      <c r="J6" s="96"/>
    </row>
    <row r="7" spans="1:11" s="101" customFormat="1" ht="16.8">
      <c r="A7" s="98" t="s">
        <v>41</v>
      </c>
      <c r="B7" s="90">
        <v>0</v>
      </c>
      <c r="C7" s="99" t="s">
        <v>36</v>
      </c>
      <c r="D7" s="100" t="str">
        <f>IF(C7="Str",'Personal File'!$C$7,IF(C7="Dex",'Personal File'!$C$8,IF(C7="Con",'Personal File'!$C$9,IF(C7="Int",'Personal File'!$C$10,IF(C7="Wis",'Personal File'!$C$11,IF(C7="Cha",'Personal File'!$C$12))))))</f>
        <v>+1</v>
      </c>
      <c r="E7" s="80" t="str">
        <f t="shared" si="4"/>
        <v>Dex (+1)</v>
      </c>
      <c r="F7" s="95">
        <v>-3</v>
      </c>
      <c r="G7" s="95">
        <f t="shared" si="1"/>
        <v>-2</v>
      </c>
      <c r="H7" s="77">
        <f ca="1">RANDBETWEEN(1,20)</f>
        <v>15</v>
      </c>
      <c r="I7" s="95">
        <f t="shared" ca="1" si="3"/>
        <v>13</v>
      </c>
      <c r="J7" s="96"/>
    </row>
    <row r="8" spans="1:11" s="106" customFormat="1" ht="16.8">
      <c r="A8" s="328" t="s">
        <v>42</v>
      </c>
      <c r="B8" s="128">
        <v>10</v>
      </c>
      <c r="C8" s="329" t="s">
        <v>32</v>
      </c>
      <c r="D8" s="330" t="str">
        <f>IF(C8="Str",'Personal File'!$C$7,IF(C8="Dex",'Personal File'!$C$8,IF(C8="Con",'Personal File'!$C$9,IF(C8="Int",'Personal File'!$C$10,IF(C8="Wis",'Personal File'!$C$11,IF(C8="Cha",'Personal File'!$C$12))))))</f>
        <v>+4</v>
      </c>
      <c r="E8" s="331" t="str">
        <f t="shared" si="4"/>
        <v>Cha (+4)</v>
      </c>
      <c r="F8" s="129" t="s">
        <v>64</v>
      </c>
      <c r="G8" s="129">
        <f t="shared" si="1"/>
        <v>14</v>
      </c>
      <c r="H8" s="77">
        <f t="shared" ref="H8:H42" ca="1" si="5">RANDBETWEEN(1,20)</f>
        <v>19</v>
      </c>
      <c r="I8" s="129">
        <f t="shared" ca="1" si="3"/>
        <v>33</v>
      </c>
      <c r="J8" s="130"/>
    </row>
    <row r="9" spans="1:11" s="111" customFormat="1" ht="16.8">
      <c r="A9" s="300" t="s">
        <v>43</v>
      </c>
      <c r="B9" s="128">
        <v>2</v>
      </c>
      <c r="C9" s="301" t="s">
        <v>37</v>
      </c>
      <c r="D9" s="302" t="str">
        <f>IF(C9="Str",'Personal File'!$C$7,IF(C9="Dex",'Personal File'!$C$8,IF(C9="Con",'Personal File'!$C$9,IF(C9="Int",'Personal File'!$C$10,IF(C9="Wis",'Personal File'!$C$11,IF(C9="Cha",'Personal File'!$C$12))))))</f>
        <v>+1</v>
      </c>
      <c r="E9" s="303" t="str">
        <f t="shared" si="4"/>
        <v>Str (+1)</v>
      </c>
      <c r="F9" s="129">
        <v>-3</v>
      </c>
      <c r="G9" s="129">
        <f t="shared" si="1"/>
        <v>0</v>
      </c>
      <c r="H9" s="77">
        <f t="shared" ca="1" si="5"/>
        <v>15</v>
      </c>
      <c r="I9" s="129">
        <f t="shared" ca="1" si="3"/>
        <v>15</v>
      </c>
      <c r="J9" s="130"/>
    </row>
    <row r="10" spans="1:11" s="111" customFormat="1" ht="16.8">
      <c r="A10" s="304" t="s">
        <v>17</v>
      </c>
      <c r="B10" s="90">
        <v>0</v>
      </c>
      <c r="C10" s="305" t="s">
        <v>33</v>
      </c>
      <c r="D10" s="306" t="str">
        <f>IF(C10="Str",'Personal File'!$C$7,IF(C10="Dex",'Personal File'!$C$8,IF(C10="Con",'Personal File'!$C$9,IF(C10="Int",'Personal File'!$C$10,IF(C10="Wis",'Personal File'!$C$11,IF(C10="Cha",'Personal File'!$C$12))))))</f>
        <v>+1</v>
      </c>
      <c r="E10" s="307" t="str">
        <f t="shared" si="4"/>
        <v>Con (+1)</v>
      </c>
      <c r="F10" s="95" t="s">
        <v>64</v>
      </c>
      <c r="G10" s="95">
        <f t="shared" si="1"/>
        <v>1</v>
      </c>
      <c r="H10" s="77">
        <f t="shared" ca="1" si="5"/>
        <v>7</v>
      </c>
      <c r="I10" s="95">
        <f t="shared" ca="1" si="3"/>
        <v>8</v>
      </c>
      <c r="J10" s="96"/>
    </row>
    <row r="11" spans="1:11" s="97" customFormat="1" ht="16.8">
      <c r="A11" s="89" t="s">
        <v>166</v>
      </c>
      <c r="B11" s="90">
        <v>0</v>
      </c>
      <c r="C11" s="91" t="s">
        <v>34</v>
      </c>
      <c r="D11" s="92" t="str">
        <f>IF(C11="Str",'Personal File'!$C$7,IF(C11="Dex",'Personal File'!$C$8,IF(C11="Con",'Personal File'!$C$9,IF(C11="Int",'Personal File'!$C$10,IF(C11="Wis",'Personal File'!$C$11,IF(C11="Cha",'Personal File'!$C$12))))))</f>
        <v>+0</v>
      </c>
      <c r="E11" s="93" t="str">
        <f t="shared" si="4"/>
        <v>Int (+0)</v>
      </c>
      <c r="F11" s="95" t="s">
        <v>64</v>
      </c>
      <c r="G11" s="95">
        <f t="shared" si="1"/>
        <v>0</v>
      </c>
      <c r="H11" s="77">
        <f t="shared" ca="1" si="5"/>
        <v>13</v>
      </c>
      <c r="I11" s="95">
        <f t="shared" ca="1" si="3"/>
        <v>13</v>
      </c>
      <c r="J11" s="96"/>
    </row>
    <row r="12" spans="1:11" s="119" customFormat="1" ht="16.8">
      <c r="A12" s="112" t="s">
        <v>44</v>
      </c>
      <c r="B12" s="113">
        <v>0</v>
      </c>
      <c r="C12" s="114" t="s">
        <v>34</v>
      </c>
      <c r="D12" s="115" t="str">
        <f>IF(C12="Str",'Personal File'!$C$7,IF(C12="Dex",'Personal File'!$C$8,IF(C12="Con",'Personal File'!$C$9,IF(C12="Int",'Personal File'!$C$10,IF(C12="Wis",'Personal File'!$C$11,IF(C12="Cha",'Personal File'!$C$12))))))</f>
        <v>+0</v>
      </c>
      <c r="E12" s="116" t="str">
        <f t="shared" si="4"/>
        <v>Int (+0)</v>
      </c>
      <c r="F12" s="117" t="s">
        <v>64</v>
      </c>
      <c r="G12" s="117">
        <f t="shared" si="1"/>
        <v>0</v>
      </c>
      <c r="H12" s="77">
        <f t="shared" ca="1" si="5"/>
        <v>16</v>
      </c>
      <c r="I12" s="117">
        <f t="shared" ca="1" si="3"/>
        <v>16</v>
      </c>
      <c r="J12" s="118"/>
    </row>
    <row r="13" spans="1:11" s="101" customFormat="1" ht="16.8">
      <c r="A13" s="102" t="s">
        <v>45</v>
      </c>
      <c r="B13" s="90">
        <v>0</v>
      </c>
      <c r="C13" s="103" t="s">
        <v>32</v>
      </c>
      <c r="D13" s="104" t="str">
        <f>IF(C13="Str",'Personal File'!$C$7,IF(C13="Dex",'Personal File'!$C$8,IF(C13="Con",'Personal File'!$C$9,IF(C13="Int",'Personal File'!$C$10,IF(C13="Wis",'Personal File'!$C$11,IF(C13="Cha",'Personal File'!$C$12))))))</f>
        <v>+4</v>
      </c>
      <c r="E13" s="105" t="str">
        <f t="shared" si="4"/>
        <v>Cha (+4)</v>
      </c>
      <c r="F13" s="95" t="s">
        <v>64</v>
      </c>
      <c r="G13" s="95">
        <f t="shared" si="1"/>
        <v>4</v>
      </c>
      <c r="H13" s="77">
        <f t="shared" ca="1" si="5"/>
        <v>13</v>
      </c>
      <c r="I13" s="95">
        <f t="shared" ca="1" si="3"/>
        <v>17</v>
      </c>
      <c r="J13" s="120"/>
    </row>
    <row r="14" spans="1:11" s="101" customFormat="1" ht="16.8">
      <c r="A14" s="112" t="s">
        <v>46</v>
      </c>
      <c r="B14" s="113">
        <v>0</v>
      </c>
      <c r="C14" s="114" t="s">
        <v>34</v>
      </c>
      <c r="D14" s="115" t="str">
        <f>IF(C14="Str",'Personal File'!$C$7,IF(C14="Dex",'Personal File'!$C$8,IF(C14="Con",'Personal File'!$C$9,IF(C14="Int",'Personal File'!$C$10,IF(C14="Wis",'Personal File'!$C$11,IF(C14="Cha",'Personal File'!$C$12))))))</f>
        <v>+0</v>
      </c>
      <c r="E14" s="116" t="str">
        <f t="shared" si="4"/>
        <v>Int (+0)</v>
      </c>
      <c r="F14" s="117" t="s">
        <v>64</v>
      </c>
      <c r="G14" s="117">
        <f t="shared" si="1"/>
        <v>0</v>
      </c>
      <c r="H14" s="77">
        <f t="shared" ca="1" si="5"/>
        <v>18</v>
      </c>
      <c r="I14" s="117">
        <f t="shared" ca="1" si="3"/>
        <v>18</v>
      </c>
      <c r="J14" s="118"/>
    </row>
    <row r="15" spans="1:11" s="101" customFormat="1" ht="16.8">
      <c r="A15" s="102" t="s">
        <v>47</v>
      </c>
      <c r="B15" s="90">
        <v>0</v>
      </c>
      <c r="C15" s="103" t="s">
        <v>32</v>
      </c>
      <c r="D15" s="104" t="str">
        <f>IF(C15="Str",'Personal File'!$C$7,IF(C15="Dex",'Personal File'!$C$8,IF(C15="Con",'Personal File'!$C$9,IF(C15="Int",'Personal File'!$C$10,IF(C15="Wis",'Personal File'!$C$11,IF(C15="Cha",'Personal File'!$C$12))))))</f>
        <v>+4</v>
      </c>
      <c r="E15" s="105" t="str">
        <f t="shared" si="4"/>
        <v>Cha (+4)</v>
      </c>
      <c r="F15" s="95" t="s">
        <v>64</v>
      </c>
      <c r="G15" s="95">
        <f t="shared" si="1"/>
        <v>4</v>
      </c>
      <c r="H15" s="77">
        <f t="shared" ca="1" si="5"/>
        <v>12</v>
      </c>
      <c r="I15" s="95">
        <f t="shared" ca="1" si="3"/>
        <v>16</v>
      </c>
      <c r="J15" s="96"/>
    </row>
    <row r="16" spans="1:11" s="101" customFormat="1" ht="16.8">
      <c r="A16" s="98" t="s">
        <v>48</v>
      </c>
      <c r="B16" s="90">
        <v>0</v>
      </c>
      <c r="C16" s="99" t="s">
        <v>36</v>
      </c>
      <c r="D16" s="100" t="str">
        <f>IF(C16="Str",'Personal File'!$C$7,IF(C16="Dex",'Personal File'!$C$8,IF(C16="Con",'Personal File'!$C$9,IF(C16="Int",'Personal File'!$C$10,IF(C16="Wis",'Personal File'!$C$11,IF(C16="Cha",'Personal File'!$C$12))))))</f>
        <v>+1</v>
      </c>
      <c r="E16" s="80" t="str">
        <f t="shared" si="4"/>
        <v>Dex (+1)</v>
      </c>
      <c r="F16" s="95">
        <v>-3</v>
      </c>
      <c r="G16" s="95">
        <f t="shared" si="1"/>
        <v>-2</v>
      </c>
      <c r="H16" s="77">
        <f t="shared" ca="1" si="5"/>
        <v>16</v>
      </c>
      <c r="I16" s="95">
        <f t="shared" ca="1" si="3"/>
        <v>14</v>
      </c>
      <c r="J16" s="96"/>
    </row>
    <row r="17" spans="1:10" s="101" customFormat="1" ht="16.8">
      <c r="A17" s="121" t="s">
        <v>49</v>
      </c>
      <c r="B17" s="122">
        <v>0</v>
      </c>
      <c r="C17" s="123" t="s">
        <v>34</v>
      </c>
      <c r="D17" s="124" t="str">
        <f>IF(C17="Str",'Personal File'!$C$7,IF(C17="Dex",'Personal File'!$C$8,IF(C17="Con",'Personal File'!$C$9,IF(C17="Int",'Personal File'!$C$10,IF(C17="Wis",'Personal File'!$C$11,IF(C17="Cha",'Personal File'!$C$12))))))</f>
        <v>+0</v>
      </c>
      <c r="E17" s="125" t="str">
        <f t="shared" si="4"/>
        <v>Int (+0)</v>
      </c>
      <c r="F17" s="126" t="s">
        <v>64</v>
      </c>
      <c r="G17" s="126">
        <f t="shared" si="1"/>
        <v>0</v>
      </c>
      <c r="H17" s="77">
        <f t="shared" ca="1" si="5"/>
        <v>9</v>
      </c>
      <c r="I17" s="126">
        <f t="shared" ca="1" si="3"/>
        <v>9</v>
      </c>
      <c r="J17" s="127"/>
    </row>
    <row r="18" spans="1:10" s="101" customFormat="1" ht="16.8">
      <c r="A18" s="328" t="s">
        <v>50</v>
      </c>
      <c r="B18" s="128">
        <v>1</v>
      </c>
      <c r="C18" s="329" t="s">
        <v>32</v>
      </c>
      <c r="D18" s="330" t="str">
        <f>IF(C18="Str",'Personal File'!$C$7,IF(C18="Dex",'Personal File'!$C$8,IF(C18="Con",'Personal File'!$C$9,IF(C18="Int",'Personal File'!$C$10,IF(C18="Wis",'Personal File'!$C$11,IF(C18="Cha",'Personal File'!$C$12))))))</f>
        <v>+4</v>
      </c>
      <c r="E18" s="331" t="str">
        <f t="shared" si="4"/>
        <v>Cha (+4)</v>
      </c>
      <c r="F18" s="129" t="s">
        <v>64</v>
      </c>
      <c r="G18" s="129">
        <f t="shared" si="1"/>
        <v>5</v>
      </c>
      <c r="H18" s="77">
        <f t="shared" ca="1" si="5"/>
        <v>18</v>
      </c>
      <c r="I18" s="129">
        <f t="shared" ca="1" si="3"/>
        <v>23</v>
      </c>
      <c r="J18" s="130"/>
    </row>
    <row r="19" spans="1:10" s="101" customFormat="1" ht="16.8">
      <c r="A19" s="102" t="s">
        <v>19</v>
      </c>
      <c r="B19" s="90">
        <v>0</v>
      </c>
      <c r="C19" s="103" t="s">
        <v>32</v>
      </c>
      <c r="D19" s="104" t="str">
        <f>IF(C19="Str",'Personal File'!$C$7,IF(C19="Dex",'Personal File'!$C$8,IF(C19="Con",'Personal File'!$C$9,IF(C19="Int",'Personal File'!$C$10,IF(C19="Wis",'Personal File'!$C$11,IF(C19="Cha",'Personal File'!$C$12))))))</f>
        <v>+4</v>
      </c>
      <c r="E19" s="105" t="str">
        <f t="shared" si="4"/>
        <v>Cha (+4)</v>
      </c>
      <c r="F19" s="95" t="s">
        <v>64</v>
      </c>
      <c r="G19" s="95">
        <f t="shared" si="1"/>
        <v>4</v>
      </c>
      <c r="H19" s="77">
        <f t="shared" ca="1" si="5"/>
        <v>14</v>
      </c>
      <c r="I19" s="95">
        <f t="shared" ca="1" si="3"/>
        <v>18</v>
      </c>
      <c r="J19" s="96"/>
    </row>
    <row r="20" spans="1:10" s="101" customFormat="1" ht="16.8">
      <c r="A20" s="131" t="s">
        <v>51</v>
      </c>
      <c r="B20" s="90">
        <v>0</v>
      </c>
      <c r="C20" s="132" t="s">
        <v>35</v>
      </c>
      <c r="D20" s="133" t="str">
        <f>IF(C20="Str",'Personal File'!$C$7,IF(C20="Dex",'Personal File'!$C$8,IF(C20="Con",'Personal File'!$C$9,IF(C20="Int",'Personal File'!$C$10,IF(C20="Wis",'Personal File'!$C$11,IF(C20="Cha",'Personal File'!$C$12))))))</f>
        <v>+1</v>
      </c>
      <c r="E20" s="134" t="str">
        <f t="shared" si="4"/>
        <v>Wis (+1)</v>
      </c>
      <c r="F20" s="95" t="s">
        <v>64</v>
      </c>
      <c r="G20" s="95">
        <f t="shared" si="1"/>
        <v>1</v>
      </c>
      <c r="H20" s="77">
        <f t="shared" ca="1" si="5"/>
        <v>16</v>
      </c>
      <c r="I20" s="95">
        <f t="shared" ca="1" si="3"/>
        <v>17</v>
      </c>
      <c r="J20" s="96"/>
    </row>
    <row r="21" spans="1:10" s="101" customFormat="1" ht="16.8">
      <c r="A21" s="98" t="s">
        <v>52</v>
      </c>
      <c r="B21" s="90">
        <v>0</v>
      </c>
      <c r="C21" s="99" t="s">
        <v>36</v>
      </c>
      <c r="D21" s="100" t="str">
        <f>IF(C21="Str",'Personal File'!$C$7,IF(C21="Dex",'Personal File'!$C$8,IF(C21="Con",'Personal File'!$C$9,IF(C21="Int",'Personal File'!$C$10,IF(C21="Wis",'Personal File'!$C$11,IF(C21="Cha",'Personal File'!$C$12))))))</f>
        <v>+1</v>
      </c>
      <c r="E21" s="80" t="str">
        <f t="shared" si="4"/>
        <v>Dex (+1)</v>
      </c>
      <c r="F21" s="95">
        <v>-3</v>
      </c>
      <c r="G21" s="95">
        <f t="shared" si="1"/>
        <v>-2</v>
      </c>
      <c r="H21" s="77">
        <f t="shared" ca="1" si="5"/>
        <v>14</v>
      </c>
      <c r="I21" s="95">
        <f t="shared" ca="1" si="3"/>
        <v>12</v>
      </c>
      <c r="J21" s="96"/>
    </row>
    <row r="22" spans="1:10" s="101" customFormat="1" ht="16.8">
      <c r="A22" s="328" t="s">
        <v>53</v>
      </c>
      <c r="B22" s="128">
        <v>5</v>
      </c>
      <c r="C22" s="353" t="s">
        <v>32</v>
      </c>
      <c r="D22" s="354" t="str">
        <f>IF(C22="Str",'Personal File'!$C$7,IF(C22="Dex",'Personal File'!$C$8,IF(C22="Con",'Personal File'!$C$9,IF(C22="Int",'Personal File'!$C$10,IF(C22="Wis",'Personal File'!$C$11,IF(C22="Cha",'Personal File'!$C$12))))))</f>
        <v>+4</v>
      </c>
      <c r="E22" s="331" t="str">
        <f t="shared" si="4"/>
        <v>Cha (+4)</v>
      </c>
      <c r="F22" s="129" t="s">
        <v>64</v>
      </c>
      <c r="G22" s="129">
        <f t="shared" si="1"/>
        <v>9</v>
      </c>
      <c r="H22" s="77">
        <f t="shared" ca="1" si="5"/>
        <v>2</v>
      </c>
      <c r="I22" s="129">
        <f t="shared" ca="1" si="3"/>
        <v>11</v>
      </c>
      <c r="J22" s="130"/>
    </row>
    <row r="23" spans="1:10" s="101" customFormat="1" ht="16.8">
      <c r="A23" s="300" t="s">
        <v>54</v>
      </c>
      <c r="B23" s="128">
        <v>3</v>
      </c>
      <c r="C23" s="301" t="s">
        <v>37</v>
      </c>
      <c r="D23" s="302" t="str">
        <f>IF(C23="Str",'Personal File'!$C$7,IF(C23="Dex",'Personal File'!$C$8,IF(C23="Con",'Personal File'!$C$9,IF(C23="Int",'Personal File'!$C$10,IF(C23="Wis",'Personal File'!$C$11,IF(C23="Cha",'Personal File'!$C$12))))))</f>
        <v>+1</v>
      </c>
      <c r="E23" s="303" t="str">
        <f t="shared" si="4"/>
        <v>Str (+1)</v>
      </c>
      <c r="F23" s="129">
        <v>-3</v>
      </c>
      <c r="G23" s="129">
        <f t="shared" si="1"/>
        <v>1</v>
      </c>
      <c r="H23" s="77">
        <f t="shared" ca="1" si="5"/>
        <v>2</v>
      </c>
      <c r="I23" s="129">
        <f t="shared" ca="1" si="3"/>
        <v>3</v>
      </c>
      <c r="J23" s="130"/>
    </row>
    <row r="24" spans="1:10" s="101" customFormat="1" ht="16.8">
      <c r="A24" s="147" t="s">
        <v>103</v>
      </c>
      <c r="B24" s="140">
        <v>0</v>
      </c>
      <c r="C24" s="148" t="s">
        <v>34</v>
      </c>
      <c r="D24" s="149" t="str">
        <f>IF(C24="Str",'Personal File'!$C$7,IF(C24="Dex",'Personal File'!$C$8,IF(C24="Con",'Personal File'!$C$9,IF(C24="Int",'Personal File'!$C$10,IF(C24="Wis",'Personal File'!$C$11,IF(C24="Cha",'Personal File'!$C$12))))))</f>
        <v>+0</v>
      </c>
      <c r="E24" s="150" t="str">
        <f>CONCATENATE(C24," (",D24,")")</f>
        <v>Int (+0)</v>
      </c>
      <c r="F24" s="144" t="s">
        <v>64</v>
      </c>
      <c r="G24" s="144">
        <f t="shared" si="1"/>
        <v>0</v>
      </c>
      <c r="H24" s="77">
        <f t="shared" ca="1" si="5"/>
        <v>2</v>
      </c>
      <c r="I24" s="144">
        <f t="shared" ca="1" si="3"/>
        <v>2</v>
      </c>
      <c r="J24" s="146"/>
    </row>
    <row r="25" spans="1:10" s="101" customFormat="1" ht="16.8">
      <c r="A25" s="147" t="s">
        <v>102</v>
      </c>
      <c r="B25" s="140">
        <v>0</v>
      </c>
      <c r="C25" s="148" t="s">
        <v>34</v>
      </c>
      <c r="D25" s="149" t="str">
        <f>IF(C25="Str",'Personal File'!$C$7,IF(C25="Dex",'Personal File'!$C$8,IF(C25="Con",'Personal File'!$C$9,IF(C25="Int",'Personal File'!$C$10,IF(C25="Wis",'Personal File'!$C$11,IF(C25="Cha",'Personal File'!$C$12))))))</f>
        <v>+0</v>
      </c>
      <c r="E25" s="150" t="str">
        <f>CONCATENATE(C25," (",D25,")")</f>
        <v>Int (+0)</v>
      </c>
      <c r="F25" s="144" t="s">
        <v>64</v>
      </c>
      <c r="G25" s="144">
        <f t="shared" si="1"/>
        <v>0</v>
      </c>
      <c r="H25" s="77">
        <f t="shared" ca="1" si="5"/>
        <v>4</v>
      </c>
      <c r="I25" s="144">
        <f t="shared" ca="1" si="3"/>
        <v>4</v>
      </c>
      <c r="J25" s="146"/>
    </row>
    <row r="26" spans="1:10" s="101" customFormat="1" ht="16.8">
      <c r="A26" s="309" t="s">
        <v>55</v>
      </c>
      <c r="B26" s="128">
        <v>2</v>
      </c>
      <c r="C26" s="310" t="s">
        <v>35</v>
      </c>
      <c r="D26" s="311" t="str">
        <f>IF(C26="Str",'Personal File'!$C$7,IF(C26="Dex",'Personal File'!$C$8,IF(C26="Con",'Personal File'!$C$9,IF(C26="Int",'Personal File'!$C$10,IF(C26="Wis",'Personal File'!$C$11,IF(C26="Cha",'Personal File'!$C$12))))))</f>
        <v>+1</v>
      </c>
      <c r="E26" s="312" t="str">
        <f t="shared" si="4"/>
        <v>Wis (+1)</v>
      </c>
      <c r="F26" s="129" t="s">
        <v>64</v>
      </c>
      <c r="G26" s="129">
        <f t="shared" si="1"/>
        <v>3</v>
      </c>
      <c r="H26" s="77">
        <f t="shared" ca="1" si="5"/>
        <v>12</v>
      </c>
      <c r="I26" s="129">
        <f t="shared" ca="1" si="3"/>
        <v>15</v>
      </c>
      <c r="J26" s="130" t="s">
        <v>146</v>
      </c>
    </row>
    <row r="27" spans="1:10" s="101" customFormat="1" ht="16.8">
      <c r="A27" s="98" t="s">
        <v>20</v>
      </c>
      <c r="B27" s="90">
        <v>0</v>
      </c>
      <c r="C27" s="99" t="s">
        <v>36</v>
      </c>
      <c r="D27" s="100" t="str">
        <f>IF(C27="Str",'Personal File'!$C$7,IF(C27="Dex",'Personal File'!$C$8,IF(C27="Con",'Personal File'!$C$9,IF(C27="Int",'Personal File'!$C$10,IF(C27="Wis",'Personal File'!$C$11,IF(C27="Cha",'Personal File'!$C$12))))))</f>
        <v>+1</v>
      </c>
      <c r="E27" s="80" t="str">
        <f t="shared" si="4"/>
        <v>Dex (+1)</v>
      </c>
      <c r="F27" s="95">
        <v>-3</v>
      </c>
      <c r="G27" s="95">
        <f t="shared" si="1"/>
        <v>-2</v>
      </c>
      <c r="H27" s="77">
        <f t="shared" ca="1" si="5"/>
        <v>6</v>
      </c>
      <c r="I27" s="95">
        <f t="shared" ca="1" si="3"/>
        <v>4</v>
      </c>
      <c r="J27" s="96"/>
    </row>
    <row r="28" spans="1:10" s="101" customFormat="1" ht="16.8">
      <c r="A28" s="135" t="s">
        <v>56</v>
      </c>
      <c r="B28" s="113">
        <v>0</v>
      </c>
      <c r="C28" s="136" t="s">
        <v>36</v>
      </c>
      <c r="D28" s="137" t="str">
        <f>IF(C28="Str",'Personal File'!$C$7,IF(C28="Dex",'Personal File'!$C$8,IF(C28="Con",'Personal File'!$C$9,IF(C28="Int",'Personal File'!$C$10,IF(C28="Wis",'Personal File'!$C$11,IF(C28="Cha",'Personal File'!$C$12))))))</f>
        <v>+1</v>
      </c>
      <c r="E28" s="138" t="str">
        <f t="shared" si="4"/>
        <v>Dex (+1)</v>
      </c>
      <c r="F28" s="117" t="s">
        <v>64</v>
      </c>
      <c r="G28" s="117">
        <f t="shared" si="1"/>
        <v>1</v>
      </c>
      <c r="H28" s="77">
        <f t="shared" ca="1" si="5"/>
        <v>13</v>
      </c>
      <c r="I28" s="117">
        <f t="shared" ca="1" si="3"/>
        <v>14</v>
      </c>
      <c r="J28" s="118"/>
    </row>
    <row r="29" spans="1:10" ht="16.8">
      <c r="A29" s="102" t="s">
        <v>105</v>
      </c>
      <c r="B29" s="90">
        <v>0</v>
      </c>
      <c r="C29" s="103" t="s">
        <v>32</v>
      </c>
      <c r="D29" s="104" t="str">
        <f>IF(C29="Str",'Personal File'!$C$7,IF(C29="Dex",'Personal File'!$C$8,IF(C29="Con",'Personal File'!$C$9,IF(C29="Int",'Personal File'!$C$10,IF(C29="Wis",'Personal File'!$C$11,IF(C29="Cha",'Personal File'!$C$12))))))</f>
        <v>+4</v>
      </c>
      <c r="E29" s="105" t="str">
        <f t="shared" si="4"/>
        <v>Cha (+4)</v>
      </c>
      <c r="F29" s="95" t="s">
        <v>64</v>
      </c>
      <c r="G29" s="95">
        <f t="shared" si="1"/>
        <v>4</v>
      </c>
      <c r="H29" s="77">
        <f t="shared" ca="1" si="5"/>
        <v>2</v>
      </c>
      <c r="I29" s="95">
        <f t="shared" ca="1" si="3"/>
        <v>6</v>
      </c>
      <c r="J29" s="96"/>
    </row>
    <row r="30" spans="1:10" ht="16.8">
      <c r="A30" s="139" t="s">
        <v>106</v>
      </c>
      <c r="B30" s="140">
        <v>0</v>
      </c>
      <c r="C30" s="141" t="s">
        <v>35</v>
      </c>
      <c r="D30" s="142" t="str">
        <f>IF(C30="Str",'Personal File'!$C$7,IF(C30="Dex",'Personal File'!$C$8,IF(C30="Con",'Personal File'!$C$9,IF(C30="Int",'Personal File'!$C$10,IF(C30="Wis",'Personal File'!$C$11,IF(C30="Cha",'Personal File'!$C$12))))))</f>
        <v>+1</v>
      </c>
      <c r="E30" s="143" t="str">
        <f t="shared" ref="E30" si="6">CONCATENATE(C30," (",D30,")")</f>
        <v>Wis (+1)</v>
      </c>
      <c r="F30" s="144" t="s">
        <v>64</v>
      </c>
      <c r="G30" s="145">
        <f t="shared" si="1"/>
        <v>1</v>
      </c>
      <c r="H30" s="77">
        <f t="shared" ca="1" si="5"/>
        <v>14</v>
      </c>
      <c r="I30" s="145">
        <f t="shared" ca="1" si="3"/>
        <v>15</v>
      </c>
      <c r="J30" s="146"/>
    </row>
    <row r="31" spans="1:10" ht="16.8">
      <c r="A31" s="98" t="s">
        <v>21</v>
      </c>
      <c r="B31" s="90">
        <v>0</v>
      </c>
      <c r="C31" s="99" t="s">
        <v>36</v>
      </c>
      <c r="D31" s="100" t="str">
        <f>IF(C31="Str",'Personal File'!$C$7,IF(C31="Dex",'Personal File'!$C$8,IF(C31="Con",'Personal File'!$C$9,IF(C31="Int",'Personal File'!$C$10,IF(C31="Wis",'Personal File'!$C$11,IF(C31="Cha",'Personal File'!$C$12))))))</f>
        <v>+1</v>
      </c>
      <c r="E31" s="80" t="str">
        <f t="shared" si="4"/>
        <v>Dex (+1)</v>
      </c>
      <c r="F31" s="95" t="s">
        <v>64</v>
      </c>
      <c r="G31" s="95">
        <f t="shared" si="1"/>
        <v>1</v>
      </c>
      <c r="H31" s="77">
        <f t="shared" ca="1" si="5"/>
        <v>20</v>
      </c>
      <c r="I31" s="95">
        <f t="shared" ca="1" si="3"/>
        <v>21</v>
      </c>
      <c r="J31" s="96"/>
    </row>
    <row r="32" spans="1:10" ht="16.8">
      <c r="A32" s="332" t="s">
        <v>22</v>
      </c>
      <c r="B32" s="128">
        <v>2</v>
      </c>
      <c r="C32" s="333" t="s">
        <v>34</v>
      </c>
      <c r="D32" s="334" t="str">
        <f>IF(C32="Str",'Personal File'!$C$7,IF(C32="Dex",'Personal File'!$C$8,IF(C32="Con",'Personal File'!$C$9,IF(C32="Int",'Personal File'!$C$10,IF(C32="Wis",'Personal File'!$C$11,IF(C32="Cha",'Personal File'!$C$12))))))</f>
        <v>+0</v>
      </c>
      <c r="E32" s="335" t="str">
        <f t="shared" si="4"/>
        <v>Int (+0)</v>
      </c>
      <c r="F32" s="129" t="s">
        <v>64</v>
      </c>
      <c r="G32" s="129">
        <f t="shared" si="1"/>
        <v>2</v>
      </c>
      <c r="H32" s="77">
        <f t="shared" ca="1" si="5"/>
        <v>19</v>
      </c>
      <c r="I32" s="129">
        <f t="shared" ca="1" si="3"/>
        <v>21</v>
      </c>
      <c r="J32" s="130"/>
    </row>
    <row r="33" spans="1:10" ht="16.8">
      <c r="A33" s="131" t="s">
        <v>57</v>
      </c>
      <c r="B33" s="90">
        <v>0</v>
      </c>
      <c r="C33" s="132" t="s">
        <v>35</v>
      </c>
      <c r="D33" s="133" t="str">
        <f>IF(C33="Str",'Personal File'!$C$7,IF(C33="Dex",'Personal File'!$C$8,IF(C33="Con",'Personal File'!$C$9,IF(C33="Int",'Personal File'!$C$10,IF(C33="Wis",'Personal File'!$C$11,IF(C33="Cha",'Personal File'!$C$12))))))</f>
        <v>+1</v>
      </c>
      <c r="E33" s="134" t="str">
        <f t="shared" si="4"/>
        <v>Wis (+1)</v>
      </c>
      <c r="F33" s="95" t="s">
        <v>64</v>
      </c>
      <c r="G33" s="95">
        <f t="shared" si="1"/>
        <v>1</v>
      </c>
      <c r="H33" s="77">
        <f t="shared" ca="1" si="5"/>
        <v>3</v>
      </c>
      <c r="I33" s="95">
        <f t="shared" ca="1" si="3"/>
        <v>4</v>
      </c>
      <c r="J33" s="96"/>
    </row>
    <row r="34" spans="1:10" ht="16.8">
      <c r="A34" s="135" t="s">
        <v>89</v>
      </c>
      <c r="B34" s="113">
        <v>0</v>
      </c>
      <c r="C34" s="136" t="s">
        <v>36</v>
      </c>
      <c r="D34" s="137" t="str">
        <f>IF(C34="Str",'Personal File'!$C$7,IF(C34="Dex",'Personal File'!$C$8,IF(C34="Con",'Personal File'!$C$9,IF(C34="Int",'Personal File'!$C$10,IF(C34="Wis",'Personal File'!$C$11,IF(C34="Cha",'Personal File'!$C$12))))))</f>
        <v>+1</v>
      </c>
      <c r="E34" s="138" t="str">
        <f t="shared" si="4"/>
        <v>Dex (+1)</v>
      </c>
      <c r="F34" s="144">
        <v>-3</v>
      </c>
      <c r="G34" s="117">
        <f t="shared" si="1"/>
        <v>-2</v>
      </c>
      <c r="H34" s="77">
        <f t="shared" ca="1" si="5"/>
        <v>16</v>
      </c>
      <c r="I34" s="117">
        <f t="shared" ca="1" si="3"/>
        <v>14</v>
      </c>
      <c r="J34" s="118"/>
    </row>
    <row r="35" spans="1:10" ht="16.8">
      <c r="A35" s="147" t="s">
        <v>88</v>
      </c>
      <c r="B35" s="140">
        <v>0</v>
      </c>
      <c r="C35" s="148" t="s">
        <v>34</v>
      </c>
      <c r="D35" s="149" t="str">
        <f>IF(C35="Str",'Personal File'!$C$7,IF(C35="Dex",'Personal File'!$C$8,IF(C35="Con",'Personal File'!$C$9,IF(C35="Int",'Personal File'!$C$10,IF(C35="Wis",'Personal File'!$C$11,IF(C35="Cha",'Personal File'!$C$12))))))</f>
        <v>+0</v>
      </c>
      <c r="E35" s="150" t="str">
        <f t="shared" si="4"/>
        <v>Int (+0)</v>
      </c>
      <c r="F35" s="144" t="s">
        <v>64</v>
      </c>
      <c r="G35" s="117">
        <f t="shared" si="1"/>
        <v>0</v>
      </c>
      <c r="H35" s="77">
        <f t="shared" ca="1" si="5"/>
        <v>15</v>
      </c>
      <c r="I35" s="117">
        <f t="shared" ca="1" si="3"/>
        <v>15</v>
      </c>
      <c r="J35" s="151"/>
    </row>
    <row r="36" spans="1:10" ht="16.8">
      <c r="A36" s="147" t="s">
        <v>58</v>
      </c>
      <c r="B36" s="140">
        <v>0</v>
      </c>
      <c r="C36" s="148" t="s">
        <v>34</v>
      </c>
      <c r="D36" s="149" t="str">
        <f>IF(C36="Str",'Personal File'!$C$7,IF(C36="Dex",'Personal File'!$C$8,IF(C36="Con",'Personal File'!$C$9,IF(C36="Int",'Personal File'!$C$10,IF(C36="Wis",'Personal File'!$C$11,IF(C36="Cha",'Personal File'!$C$12))))))</f>
        <v>+0</v>
      </c>
      <c r="E36" s="150" t="str">
        <f t="shared" si="4"/>
        <v>Int (+0)</v>
      </c>
      <c r="F36" s="144" t="s">
        <v>64</v>
      </c>
      <c r="G36" s="144">
        <f t="shared" si="1"/>
        <v>0</v>
      </c>
      <c r="H36" s="77">
        <f t="shared" ca="1" si="5"/>
        <v>6</v>
      </c>
      <c r="I36" s="144">
        <f t="shared" ca="1" si="3"/>
        <v>6</v>
      </c>
      <c r="J36" s="151"/>
    </row>
    <row r="37" spans="1:10" ht="16.8">
      <c r="A37" s="309" t="s">
        <v>59</v>
      </c>
      <c r="B37" s="128">
        <v>6</v>
      </c>
      <c r="C37" s="310" t="s">
        <v>35</v>
      </c>
      <c r="D37" s="311" t="str">
        <f>IF(C37="Str",'Personal File'!$C$7,IF(C37="Dex",'Personal File'!$C$8,IF(C37="Con",'Personal File'!$C$9,IF(C37="Int",'Personal File'!$C$10,IF(C37="Wis",'Personal File'!$C$11,IF(C37="Cha",'Personal File'!$C$12))))))</f>
        <v>+1</v>
      </c>
      <c r="E37" s="312" t="str">
        <f t="shared" si="4"/>
        <v>Wis (+1)</v>
      </c>
      <c r="F37" s="129" t="s">
        <v>64</v>
      </c>
      <c r="G37" s="129">
        <f t="shared" si="1"/>
        <v>7</v>
      </c>
      <c r="H37" s="77">
        <f t="shared" ca="1" si="5"/>
        <v>4</v>
      </c>
      <c r="I37" s="129">
        <f t="shared" ca="1" si="3"/>
        <v>11</v>
      </c>
      <c r="J37" s="130" t="s">
        <v>146</v>
      </c>
    </row>
    <row r="38" spans="1:10" ht="16.8">
      <c r="A38" s="309" t="s">
        <v>90</v>
      </c>
      <c r="B38" s="128">
        <v>1</v>
      </c>
      <c r="C38" s="310" t="s">
        <v>35</v>
      </c>
      <c r="D38" s="311" t="str">
        <f>IF(C38="Str",'Personal File'!$C$7,IF(C38="Dex",'Personal File'!$C$8,IF(C38="Con",'Personal File'!$C$9,IF(C38="Int",'Personal File'!$C$10,IF(C38="Wis",'Personal File'!$C$11,IF(C38="Cha",'Personal File'!$C$12))))))</f>
        <v>+1</v>
      </c>
      <c r="E38" s="312" t="str">
        <f t="shared" si="4"/>
        <v>Wis (+1)</v>
      </c>
      <c r="F38" s="129" t="s">
        <v>139</v>
      </c>
      <c r="G38" s="129">
        <f t="shared" si="1"/>
        <v>5</v>
      </c>
      <c r="H38" s="77">
        <f t="shared" ca="1" si="5"/>
        <v>8</v>
      </c>
      <c r="I38" s="129">
        <f t="shared" ca="1" si="3"/>
        <v>13</v>
      </c>
      <c r="J38" s="130"/>
    </row>
    <row r="39" spans="1:10" ht="16.8">
      <c r="A39" s="107" t="s">
        <v>23</v>
      </c>
      <c r="B39" s="90">
        <v>0</v>
      </c>
      <c r="C39" s="108" t="s">
        <v>37</v>
      </c>
      <c r="D39" s="109" t="str">
        <f>IF(C39="Str",'Personal File'!$C$7,IF(C39="Dex",'Personal File'!$C$8,IF(C39="Con",'Personal File'!$C$9,IF(C39="Int",'Personal File'!$C$10,IF(C39="Wis",'Personal File'!$C$11,IF(C39="Cha",'Personal File'!$C$12))))))</f>
        <v>+1</v>
      </c>
      <c r="E39" s="110" t="str">
        <f t="shared" si="4"/>
        <v>Str (+1)</v>
      </c>
      <c r="F39" s="95" t="s">
        <v>64</v>
      </c>
      <c r="G39" s="95">
        <f t="shared" si="1"/>
        <v>1</v>
      </c>
      <c r="H39" s="77">
        <f t="shared" ca="1" si="5"/>
        <v>9</v>
      </c>
      <c r="I39" s="95">
        <f t="shared" ca="1" si="3"/>
        <v>10</v>
      </c>
      <c r="J39" s="120"/>
    </row>
    <row r="40" spans="1:10" ht="16.8">
      <c r="A40" s="152" t="s">
        <v>60</v>
      </c>
      <c r="B40" s="153">
        <v>0</v>
      </c>
      <c r="C40" s="154" t="s">
        <v>36</v>
      </c>
      <c r="D40" s="155" t="str">
        <f>IF(C40="Str",'Personal File'!$C$7,IF(C40="Dex",'Personal File'!$C$8,IF(C40="Con",'Personal File'!$C$9,IF(C40="Int",'Personal File'!$C$10,IF(C40="Wis",'Personal File'!$C$11,IF(C40="Cha",'Personal File'!$C$12))))))</f>
        <v>+1</v>
      </c>
      <c r="E40" s="156" t="str">
        <f t="shared" si="4"/>
        <v>Dex (+1)</v>
      </c>
      <c r="F40" s="117">
        <v>-3</v>
      </c>
      <c r="G40" s="117">
        <f t="shared" si="1"/>
        <v>-2</v>
      </c>
      <c r="H40" s="77">
        <f t="shared" ca="1" si="5"/>
        <v>8</v>
      </c>
      <c r="I40" s="117">
        <f t="shared" ca="1" si="3"/>
        <v>6</v>
      </c>
      <c r="J40" s="157"/>
    </row>
    <row r="41" spans="1:10" ht="16.8">
      <c r="A41" s="158" t="s">
        <v>61</v>
      </c>
      <c r="B41" s="113">
        <v>0</v>
      </c>
      <c r="C41" s="159" t="s">
        <v>32</v>
      </c>
      <c r="D41" s="160" t="str">
        <f>IF(C41="Str",'Personal File'!$C$7,IF(C41="Dex",'Personal File'!$C$8,IF(C41="Con",'Personal File'!$C$9,IF(C41="Int",'Personal File'!$C$10,IF(C41="Wis",'Personal File'!$C$11,IF(C41="Cha",'Personal File'!$C$12))))))</f>
        <v>+4</v>
      </c>
      <c r="E41" s="161" t="str">
        <f t="shared" si="4"/>
        <v>Cha (+4)</v>
      </c>
      <c r="F41" s="117" t="s">
        <v>64</v>
      </c>
      <c r="G41" s="117">
        <f t="shared" si="1"/>
        <v>4</v>
      </c>
      <c r="H41" s="77">
        <f t="shared" ca="1" si="5"/>
        <v>16</v>
      </c>
      <c r="I41" s="117">
        <f t="shared" ca="1" si="3"/>
        <v>20</v>
      </c>
      <c r="J41" s="118"/>
    </row>
    <row r="42" spans="1:10" ht="17.399999999999999" thickBot="1">
      <c r="A42" s="162" t="s">
        <v>62</v>
      </c>
      <c r="B42" s="163">
        <v>0</v>
      </c>
      <c r="C42" s="164" t="s">
        <v>36</v>
      </c>
      <c r="D42" s="165" t="str">
        <f>IF(C42="Str",'Personal File'!$C$7,IF(C42="Dex",'Personal File'!$C$8,IF(C42="Con",'Personal File'!$C$9,IF(C42="Int",'Personal File'!$C$10,IF(C42="Wis",'Personal File'!$C$11,IF(C42="Cha",'Personal File'!$C$12))))))</f>
        <v>+1</v>
      </c>
      <c r="E42" s="166" t="str">
        <f t="shared" si="4"/>
        <v>Dex (+1)</v>
      </c>
      <c r="F42" s="167" t="s">
        <v>64</v>
      </c>
      <c r="G42" s="167">
        <f t="shared" si="1"/>
        <v>1</v>
      </c>
      <c r="H42" s="168">
        <f t="shared" ca="1" si="5"/>
        <v>19</v>
      </c>
      <c r="I42" s="167">
        <f t="shared" ca="1" si="3"/>
        <v>20</v>
      </c>
      <c r="J42" s="169"/>
    </row>
    <row r="43" spans="1:10" ht="16.2" thickTop="1">
      <c r="B43" s="170">
        <f>SUM(B6:B42)</f>
        <v>32</v>
      </c>
      <c r="E43" s="170">
        <f>SUM(E44:E54)</f>
        <v>32</v>
      </c>
      <c r="F43" s="171" t="s">
        <v>69</v>
      </c>
    </row>
    <row r="44" spans="1:10">
      <c r="B44" s="170"/>
      <c r="E44" s="170">
        <v>4</v>
      </c>
      <c r="F44" s="173" t="s">
        <v>123</v>
      </c>
    </row>
    <row r="45" spans="1:10">
      <c r="E45" s="170">
        <v>2</v>
      </c>
      <c r="F45" s="173" t="s">
        <v>129</v>
      </c>
    </row>
    <row r="46" spans="1:10">
      <c r="E46" s="170">
        <v>2</v>
      </c>
      <c r="F46" s="173" t="s">
        <v>130</v>
      </c>
    </row>
    <row r="47" spans="1:10">
      <c r="E47" s="170">
        <v>2</v>
      </c>
      <c r="F47" s="173" t="s">
        <v>131</v>
      </c>
    </row>
    <row r="48" spans="1:10">
      <c r="E48" s="170">
        <v>2</v>
      </c>
      <c r="F48" s="173" t="s">
        <v>132</v>
      </c>
    </row>
    <row r="49" spans="5:6">
      <c r="E49" s="170">
        <v>2</v>
      </c>
      <c r="F49" s="173" t="s">
        <v>133</v>
      </c>
    </row>
    <row r="50" spans="5:6">
      <c r="E50" s="170">
        <v>2</v>
      </c>
      <c r="F50" s="173" t="s">
        <v>134</v>
      </c>
    </row>
    <row r="51" spans="5:6">
      <c r="E51" s="170">
        <v>2</v>
      </c>
      <c r="F51" s="173" t="s">
        <v>135</v>
      </c>
    </row>
    <row r="52" spans="5:6">
      <c r="E52" s="170">
        <v>2</v>
      </c>
      <c r="F52" s="173" t="s">
        <v>136</v>
      </c>
    </row>
    <row r="53" spans="5:6">
      <c r="E53" s="170" t="s">
        <v>155</v>
      </c>
      <c r="F53" s="173" t="s">
        <v>137</v>
      </c>
    </row>
    <row r="54" spans="5:6">
      <c r="E54" s="170">
        <f>3+'Personal File'!E3</f>
        <v>12</v>
      </c>
      <c r="F54" s="173"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zoomScaleNormal="100" workbookViewId="0"/>
  </sheetViews>
  <sheetFormatPr defaultColWidth="8.59765625" defaultRowHeight="16.8"/>
  <cols>
    <col min="1" max="1" width="32.8984375" style="175" bestFit="1" customWidth="1"/>
    <col min="2" max="2" width="1.8984375" style="176" customWidth="1"/>
    <col min="3" max="3" width="27.19921875" style="174" bestFit="1" customWidth="1"/>
    <col min="4" max="4" width="8.59765625" style="178"/>
    <col min="5" max="16384" width="8.59765625" style="174"/>
  </cols>
  <sheetData>
    <row r="1" spans="1:3" ht="24" thickTop="1" thickBot="1">
      <c r="A1" s="177" t="s">
        <v>97</v>
      </c>
      <c r="B1" s="174"/>
      <c r="C1" s="177" t="s">
        <v>92</v>
      </c>
    </row>
    <row r="2" spans="1:3">
      <c r="A2" s="179" t="s">
        <v>124</v>
      </c>
      <c r="B2" s="174"/>
      <c r="C2" s="13" t="s">
        <v>194</v>
      </c>
    </row>
    <row r="3" spans="1:3">
      <c r="A3" s="179" t="s">
        <v>169</v>
      </c>
      <c r="B3" s="174"/>
      <c r="C3" s="13" t="str">
        <f>CONCATENATE("Touch of Vitality, ",2*'Personal File'!E3*'Personal File'!C12)</f>
        <v>Touch of Vitality, 72</v>
      </c>
    </row>
    <row r="4" spans="1:3">
      <c r="A4" s="179" t="s">
        <v>149</v>
      </c>
      <c r="B4" s="174"/>
      <c r="C4" s="13" t="s">
        <v>177</v>
      </c>
    </row>
    <row r="5" spans="1:3">
      <c r="A5" s="179" t="s">
        <v>168</v>
      </c>
      <c r="B5" s="174"/>
      <c r="C5" s="13" t="s">
        <v>140</v>
      </c>
    </row>
    <row r="6" spans="1:3" ht="17.399999999999999" thickBot="1">
      <c r="A6" s="308" t="s">
        <v>196</v>
      </c>
      <c r="B6" s="174"/>
      <c r="C6" s="13" t="s">
        <v>191</v>
      </c>
    </row>
    <row r="7" spans="1:3" ht="18" thickTop="1" thickBot="1">
      <c r="B7" s="174"/>
      <c r="C7" s="13" t="s">
        <v>195</v>
      </c>
    </row>
    <row r="8" spans="1:3" ht="24" thickTop="1" thickBot="1">
      <c r="A8" s="8" t="s">
        <v>94</v>
      </c>
      <c r="B8" s="174"/>
      <c r="C8" s="13" t="s">
        <v>151</v>
      </c>
    </row>
    <row r="9" spans="1:3">
      <c r="A9" s="180" t="s">
        <v>95</v>
      </c>
      <c r="B9" s="174"/>
      <c r="C9" s="13" t="s">
        <v>154</v>
      </c>
    </row>
    <row r="10" spans="1:3">
      <c r="A10" s="13" t="s">
        <v>111</v>
      </c>
      <c r="B10" s="174"/>
      <c r="C10" s="13" t="s">
        <v>190</v>
      </c>
    </row>
    <row r="11" spans="1:3" ht="17.399999999999999" thickBot="1">
      <c r="A11" s="182" t="s">
        <v>118</v>
      </c>
      <c r="B11" s="174"/>
      <c r="C11" s="13" t="s">
        <v>120</v>
      </c>
    </row>
    <row r="12" spans="1:3" ht="17.399999999999999" thickTop="1">
      <c r="A12" s="29"/>
      <c r="B12" s="174"/>
      <c r="C12" s="13" t="s">
        <v>167</v>
      </c>
    </row>
    <row r="13" spans="1:3">
      <c r="B13" s="174"/>
      <c r="C13" s="13" t="str">
        <f>CONCATENATE("Aura:  Resistance, ",(RIGHT(C9,1)*5)," fire")</f>
        <v>Aura:  Resistance, 10 fire</v>
      </c>
    </row>
    <row r="14" spans="1:3">
      <c r="C14" s="13" t="s">
        <v>145</v>
      </c>
    </row>
    <row r="15" spans="1:3">
      <c r="C15" s="13" t="s">
        <v>122</v>
      </c>
    </row>
    <row r="16" spans="1:3" ht="17.399999999999999" thickBot="1">
      <c r="C16" s="299" t="s">
        <v>121</v>
      </c>
    </row>
    <row r="17" spans="3:3" ht="18" thickTop="1" thickBot="1"/>
    <row r="18" spans="3:3" ht="24" thickTop="1" thickBot="1">
      <c r="C18" s="9" t="s">
        <v>79</v>
      </c>
    </row>
    <row r="19" spans="3:3" ht="17.399999999999999" thickBot="1">
      <c r="C19" s="181" t="s">
        <v>176</v>
      </c>
    </row>
    <row r="20" spans="3: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showGridLines="0" workbookViewId="0"/>
  </sheetViews>
  <sheetFormatPr defaultColWidth="13" defaultRowHeight="15.6"/>
  <cols>
    <col min="1" max="1" width="27.3984375" style="184" bestFit="1" customWidth="1"/>
    <col min="2" max="2" width="8.59765625" style="184" customWidth="1"/>
    <col min="3" max="3" width="10.59765625" style="184" bestFit="1" customWidth="1"/>
    <col min="4" max="4" width="6.19921875" style="184" bestFit="1" customWidth="1"/>
    <col min="5" max="5" width="8.5" style="184" bestFit="1" customWidth="1"/>
    <col min="6" max="6" width="8" style="184" bestFit="1" customWidth="1"/>
    <col min="7" max="7" width="4.5" style="184" bestFit="1" customWidth="1"/>
    <col min="8" max="8" width="5.59765625" style="184" customWidth="1"/>
    <col min="9" max="9" width="5.5" style="184" bestFit="1" customWidth="1"/>
    <col min="10" max="10" width="6.19921875" style="184" bestFit="1" customWidth="1"/>
    <col min="11" max="11" width="21.19921875" style="184" bestFit="1" customWidth="1"/>
    <col min="12" max="12" width="2.19921875" style="184" customWidth="1"/>
    <col min="13" max="13" width="5.8984375" style="19" bestFit="1" customWidth="1"/>
    <col min="14" max="16384" width="13" style="19"/>
  </cols>
  <sheetData>
    <row r="1" spans="1:13" ht="23.4" thickBot="1">
      <c r="A1" s="183" t="s">
        <v>24</v>
      </c>
      <c r="B1" s="183"/>
      <c r="C1" s="183"/>
      <c r="D1" s="183"/>
      <c r="E1" s="183"/>
      <c r="F1" s="183"/>
      <c r="G1" s="183"/>
      <c r="H1" s="183"/>
      <c r="I1" s="183"/>
      <c r="J1" s="183"/>
      <c r="K1" s="183"/>
      <c r="M1" s="183"/>
    </row>
    <row r="2" spans="1:13" ht="16.8" thickTop="1" thickBot="1">
      <c r="A2" s="185" t="s">
        <v>5</v>
      </c>
      <c r="B2" s="186" t="s">
        <v>6</v>
      </c>
      <c r="C2" s="186" t="s">
        <v>27</v>
      </c>
      <c r="D2" s="186" t="s">
        <v>28</v>
      </c>
      <c r="E2" s="187" t="s">
        <v>70</v>
      </c>
      <c r="F2" s="186" t="s">
        <v>25</v>
      </c>
      <c r="G2" s="186" t="s">
        <v>29</v>
      </c>
      <c r="H2" s="188" t="s">
        <v>96</v>
      </c>
      <c r="I2" s="189" t="s">
        <v>98</v>
      </c>
      <c r="J2" s="188" t="s">
        <v>85</v>
      </c>
      <c r="K2" s="190" t="s">
        <v>83</v>
      </c>
      <c r="M2" s="191" t="s">
        <v>110</v>
      </c>
    </row>
    <row r="3" spans="1:13">
      <c r="A3" s="313" t="s">
        <v>215</v>
      </c>
      <c r="B3" s="314" t="s">
        <v>197</v>
      </c>
      <c r="C3" s="315" t="str">
        <f>CONCATENATE('Personal File'!$C$7," +1")</f>
        <v>+1 +1</v>
      </c>
      <c r="D3" s="316" t="s">
        <v>171</v>
      </c>
      <c r="E3" s="316" t="s">
        <v>125</v>
      </c>
      <c r="F3" s="317" t="s">
        <v>126</v>
      </c>
      <c r="G3" s="318">
        <v>9</v>
      </c>
      <c r="H3" s="319" t="str">
        <f>CONCATENATE('Personal File'!$B$5+'Personal File'!$C$7+D3+1)</f>
        <v>9</v>
      </c>
      <c r="I3" s="320">
        <f t="shared" ref="I3:I6" ca="1" si="0">RANDBETWEEN(1,20)</f>
        <v>9</v>
      </c>
      <c r="J3" s="336">
        <f t="shared" ref="J3:J6" ca="1" si="1">I3+H3</f>
        <v>18</v>
      </c>
      <c r="K3" s="403" t="s">
        <v>170</v>
      </c>
      <c r="L3" s="281"/>
      <c r="M3" s="372">
        <v>8000</v>
      </c>
    </row>
    <row r="4" spans="1:13">
      <c r="A4" s="192" t="s">
        <v>216</v>
      </c>
      <c r="B4" s="404" t="s">
        <v>197</v>
      </c>
      <c r="C4" s="194" t="str">
        <f>CONCATENATE('Personal File'!$C$7," +1")</f>
        <v>+1 +1</v>
      </c>
      <c r="D4" s="405" t="s">
        <v>171</v>
      </c>
      <c r="E4" s="405" t="s">
        <v>125</v>
      </c>
      <c r="F4" s="406" t="s">
        <v>126</v>
      </c>
      <c r="G4" s="407">
        <v>6</v>
      </c>
      <c r="H4" s="363" t="str">
        <f>CONCATENATE('Personal File'!$B$5+'Personal File'!$C$7+D4+1-5)</f>
        <v>4</v>
      </c>
      <c r="I4" s="293">
        <f t="shared" ca="1" si="0"/>
        <v>19</v>
      </c>
      <c r="J4" s="292">
        <f t="shared" ca="1" si="1"/>
        <v>23</v>
      </c>
      <c r="K4" s="402" t="s">
        <v>170</v>
      </c>
      <c r="L4" s="281"/>
      <c r="M4" s="378"/>
    </row>
    <row r="5" spans="1:13">
      <c r="A5" s="197" t="s">
        <v>209</v>
      </c>
      <c r="B5" s="198" t="s">
        <v>173</v>
      </c>
      <c r="C5" s="359" t="s">
        <v>210</v>
      </c>
      <c r="D5" s="360" t="s">
        <v>171</v>
      </c>
      <c r="E5" s="360" t="s">
        <v>174</v>
      </c>
      <c r="F5" s="361" t="s">
        <v>175</v>
      </c>
      <c r="G5" s="362">
        <v>1</v>
      </c>
      <c r="H5" s="363" t="str">
        <f>CONCATENATE('Personal File'!$B$5+'Personal File'!$C$7+D5)</f>
        <v>8</v>
      </c>
      <c r="I5" s="293">
        <f t="shared" ca="1" si="0"/>
        <v>1</v>
      </c>
      <c r="J5" s="292">
        <f t="shared" ref="J5" ca="1" si="2">I5+H5</f>
        <v>9</v>
      </c>
      <c r="K5" s="402" t="s">
        <v>170</v>
      </c>
      <c r="L5" s="281"/>
      <c r="M5" s="373">
        <v>2000</v>
      </c>
    </row>
    <row r="6" spans="1:13" ht="16.2" thickBot="1">
      <c r="A6" s="321" t="s">
        <v>141</v>
      </c>
      <c r="B6" s="322" t="s">
        <v>147</v>
      </c>
      <c r="C6" s="323">
        <v>0</v>
      </c>
      <c r="D6" s="324" t="s">
        <v>64</v>
      </c>
      <c r="E6" s="324" t="s">
        <v>142</v>
      </c>
      <c r="F6" s="325" t="s">
        <v>143</v>
      </c>
      <c r="G6" s="326">
        <v>0</v>
      </c>
      <c r="H6" s="355" t="str">
        <f>CONCATENATE('Personal File'!$B$5+'Personal File'!$C$7+D6)</f>
        <v>7</v>
      </c>
      <c r="I6" s="356">
        <f t="shared" ca="1" si="0"/>
        <v>15</v>
      </c>
      <c r="J6" s="357">
        <f t="shared" ca="1" si="1"/>
        <v>22</v>
      </c>
      <c r="K6" s="358" t="s">
        <v>170</v>
      </c>
      <c r="M6" s="374"/>
    </row>
    <row r="7" spans="1:13" ht="6" customHeight="1" thickTop="1" thickBot="1">
      <c r="M7" s="375"/>
    </row>
    <row r="8" spans="1:13" ht="16.8" thickTop="1" thickBot="1">
      <c r="A8" s="185" t="s">
        <v>8</v>
      </c>
      <c r="B8" s="186" t="s">
        <v>9</v>
      </c>
      <c r="C8" s="186" t="s">
        <v>27</v>
      </c>
      <c r="D8" s="186" t="s">
        <v>28</v>
      </c>
      <c r="E8" s="187" t="s">
        <v>70</v>
      </c>
      <c r="F8" s="186" t="s">
        <v>10</v>
      </c>
      <c r="G8" s="186" t="s">
        <v>29</v>
      </c>
      <c r="H8" s="188" t="s">
        <v>96</v>
      </c>
      <c r="I8" s="189" t="s">
        <v>98</v>
      </c>
      <c r="J8" s="188" t="s">
        <v>85</v>
      </c>
      <c r="K8" s="190" t="s">
        <v>83</v>
      </c>
      <c r="M8" s="376" t="s">
        <v>110</v>
      </c>
    </row>
    <row r="9" spans="1:13">
      <c r="A9" s="192" t="s">
        <v>200</v>
      </c>
      <c r="B9" s="193" t="s">
        <v>197</v>
      </c>
      <c r="C9" s="195" t="s">
        <v>64</v>
      </c>
      <c r="D9" s="194">
        <v>1</v>
      </c>
      <c r="E9" s="198" t="s">
        <v>158</v>
      </c>
      <c r="F9" s="199" t="s">
        <v>148</v>
      </c>
      <c r="G9" s="232">
        <v>1</v>
      </c>
      <c r="H9" s="319" t="str">
        <f>CONCATENATE('Personal File'!$B$5+'Personal File'!$C$8+D9)</f>
        <v>8</v>
      </c>
      <c r="I9" s="196">
        <f t="shared" ref="I9:I12" ca="1" si="3">RANDBETWEEN(1,20)</f>
        <v>13</v>
      </c>
      <c r="J9" s="337">
        <f t="shared" ref="J9:J12" ca="1" si="4">I9+H9</f>
        <v>21</v>
      </c>
      <c r="K9" s="370" t="s">
        <v>170</v>
      </c>
      <c r="M9" s="377">
        <v>8000</v>
      </c>
    </row>
    <row r="10" spans="1:13">
      <c r="A10" s="192" t="s">
        <v>178</v>
      </c>
      <c r="B10" s="193" t="s">
        <v>197</v>
      </c>
      <c r="C10" s="195" t="s">
        <v>172</v>
      </c>
      <c r="D10" s="194" t="s">
        <v>171</v>
      </c>
      <c r="E10" s="198" t="s">
        <v>125</v>
      </c>
      <c r="F10" s="199" t="s">
        <v>188</v>
      </c>
      <c r="G10" s="232">
        <v>6</v>
      </c>
      <c r="H10" s="369" t="str">
        <f>CONCATENATE('Personal File'!$B$5+'Personal File'!$C$8+D10)</f>
        <v>8</v>
      </c>
      <c r="I10" s="196">
        <f t="shared" ca="1" si="3"/>
        <v>6</v>
      </c>
      <c r="J10" s="337">
        <f t="shared" ref="J10" ca="1" si="5">I10+H10</f>
        <v>14</v>
      </c>
      <c r="K10" s="370" t="s">
        <v>170</v>
      </c>
      <c r="M10" s="378"/>
    </row>
    <row r="11" spans="1:13">
      <c r="A11" s="197" t="s">
        <v>192</v>
      </c>
      <c r="B11" s="401" t="s">
        <v>208</v>
      </c>
      <c r="C11" s="195" t="s">
        <v>128</v>
      </c>
      <c r="D11" s="194" t="s">
        <v>128</v>
      </c>
      <c r="E11" s="198" t="s">
        <v>128</v>
      </c>
      <c r="F11" s="199" t="s">
        <v>148</v>
      </c>
      <c r="G11" s="232" t="s">
        <v>128</v>
      </c>
      <c r="H11" s="292" t="s">
        <v>128</v>
      </c>
      <c r="I11" s="293" t="s">
        <v>128</v>
      </c>
      <c r="J11" s="292" t="s">
        <v>128</v>
      </c>
      <c r="K11" s="200" t="str">
        <f>CONCATENATE("DC 10 + 2 focus + ",ROUNDDOWN('Personal File'!E3/2,0))</f>
        <v>DC 10 + 2 focus + 4</v>
      </c>
      <c r="M11" s="378"/>
    </row>
    <row r="12" spans="1:13" ht="16.2" thickBot="1">
      <c r="A12" s="327" t="s">
        <v>144</v>
      </c>
      <c r="B12" s="11" t="s">
        <v>128</v>
      </c>
      <c r="C12" s="14" t="s">
        <v>128</v>
      </c>
      <c r="D12" s="11">
        <v>0</v>
      </c>
      <c r="E12" s="11" t="s">
        <v>128</v>
      </c>
      <c r="F12" s="11" t="s">
        <v>128</v>
      </c>
      <c r="G12" s="12" t="s">
        <v>128</v>
      </c>
      <c r="H12" s="201" t="str">
        <f>CONCATENATE('Personal File'!$B$5+'Personal File'!$C$8+D12)</f>
        <v>7</v>
      </c>
      <c r="I12" s="10">
        <f t="shared" ca="1" si="3"/>
        <v>6</v>
      </c>
      <c r="J12" s="201">
        <f t="shared" ca="1" si="4"/>
        <v>13</v>
      </c>
      <c r="K12" s="202" t="s">
        <v>170</v>
      </c>
      <c r="M12" s="374"/>
    </row>
    <row r="13" spans="1:13" ht="6" customHeight="1" thickTop="1" thickBot="1">
      <c r="D13" s="203"/>
      <c r="E13" s="203"/>
      <c r="G13" s="204"/>
      <c r="H13" s="204"/>
      <c r="I13" s="204"/>
      <c r="J13" s="204"/>
      <c r="M13" s="375"/>
    </row>
    <row r="14" spans="1:13" ht="16.8" thickTop="1" thickBot="1">
      <c r="A14" s="185" t="s">
        <v>74</v>
      </c>
      <c r="B14" s="186" t="s">
        <v>18</v>
      </c>
      <c r="C14" s="186" t="s">
        <v>36</v>
      </c>
      <c r="D14" s="186" t="s">
        <v>85</v>
      </c>
      <c r="E14" s="186" t="s">
        <v>86</v>
      </c>
      <c r="F14" s="186" t="s">
        <v>87</v>
      </c>
      <c r="G14" s="186" t="s">
        <v>29</v>
      </c>
      <c r="H14" s="205" t="s">
        <v>83</v>
      </c>
      <c r="I14" s="206"/>
      <c r="J14" s="206"/>
      <c r="K14" s="207"/>
      <c r="M14" s="376" t="s">
        <v>110</v>
      </c>
    </row>
    <row r="15" spans="1:13">
      <c r="A15" s="208" t="s">
        <v>165</v>
      </c>
      <c r="B15" s="209">
        <v>5</v>
      </c>
      <c r="C15" s="209">
        <v>3</v>
      </c>
      <c r="D15" s="209">
        <v>-3</v>
      </c>
      <c r="E15" s="210">
        <v>0.25</v>
      </c>
      <c r="F15" s="209" t="s">
        <v>156</v>
      </c>
      <c r="G15" s="211">
        <v>25</v>
      </c>
      <c r="H15" s="212" t="s">
        <v>170</v>
      </c>
      <c r="I15" s="213"/>
      <c r="J15" s="213"/>
      <c r="K15" s="214"/>
      <c r="M15" s="379">
        <v>2300</v>
      </c>
    </row>
    <row r="16" spans="1:13" ht="16.2" thickBot="1">
      <c r="A16" s="215" t="s">
        <v>187</v>
      </c>
      <c r="B16" s="216">
        <v>2</v>
      </c>
      <c r="C16" s="217" t="s">
        <v>128</v>
      </c>
      <c r="D16" s="217" t="s">
        <v>128</v>
      </c>
      <c r="E16" s="217" t="s">
        <v>128</v>
      </c>
      <c r="F16" s="217" t="s">
        <v>128</v>
      </c>
      <c r="G16" s="217" t="s">
        <v>128</v>
      </c>
      <c r="H16" s="219"/>
      <c r="I16" s="220"/>
      <c r="J16" s="220"/>
      <c r="K16" s="221"/>
      <c r="M16" s="374"/>
    </row>
    <row r="17" spans="1:13" ht="6.75" customHeight="1" thickTop="1" thickBot="1">
      <c r="M17" s="375"/>
    </row>
    <row r="18" spans="1:13" ht="16.8" thickTop="1" thickBot="1">
      <c r="A18" s="222"/>
      <c r="B18" s="204"/>
      <c r="C18" s="223" t="s">
        <v>75</v>
      </c>
      <c r="D18" s="206"/>
      <c r="E18" s="224"/>
      <c r="F18" s="188" t="s">
        <v>7</v>
      </c>
      <c r="G18" s="186" t="s">
        <v>29</v>
      </c>
      <c r="H18" s="188" t="s">
        <v>96</v>
      </c>
      <c r="I18" s="205" t="s">
        <v>83</v>
      </c>
      <c r="J18" s="206"/>
      <c r="K18" s="207"/>
      <c r="M18" s="376" t="s">
        <v>110</v>
      </c>
    </row>
    <row r="19" spans="1:13">
      <c r="A19" s="222"/>
      <c r="B19" s="204"/>
      <c r="C19" s="225" t="s">
        <v>150</v>
      </c>
      <c r="D19" s="226"/>
      <c r="E19" s="227"/>
      <c r="F19" s="364">
        <v>19</v>
      </c>
      <c r="G19" s="228">
        <f t="shared" ref="G19:G22" si="6">(F19*3)/20</f>
        <v>2.85</v>
      </c>
      <c r="H19" s="339" t="s">
        <v>64</v>
      </c>
      <c r="I19" s="229"/>
      <c r="J19" s="230"/>
      <c r="K19" s="231"/>
      <c r="M19" s="377">
        <v>0</v>
      </c>
    </row>
    <row r="20" spans="1:13">
      <c r="A20" s="222"/>
      <c r="B20" s="204"/>
      <c r="C20" s="343" t="s">
        <v>179</v>
      </c>
      <c r="D20" s="344"/>
      <c r="E20" s="345"/>
      <c r="F20" s="365">
        <v>5</v>
      </c>
      <c r="G20" s="346">
        <f t="shared" si="6"/>
        <v>0.75</v>
      </c>
      <c r="H20" s="347" t="s">
        <v>183</v>
      </c>
      <c r="I20" s="348" t="s">
        <v>184</v>
      </c>
      <c r="J20" s="349"/>
      <c r="K20" s="350"/>
      <c r="M20" s="381">
        <f t="shared" ref="M20:M26" si="7">F20*100</f>
        <v>500</v>
      </c>
    </row>
    <row r="21" spans="1:13">
      <c r="A21" s="222"/>
      <c r="B21" s="204"/>
      <c r="C21" s="343" t="s">
        <v>180</v>
      </c>
      <c r="D21" s="344"/>
      <c r="E21" s="345"/>
      <c r="F21" s="365">
        <v>5</v>
      </c>
      <c r="G21" s="346">
        <f t="shared" si="6"/>
        <v>0.75</v>
      </c>
      <c r="H21" s="347" t="s">
        <v>183</v>
      </c>
      <c r="I21" s="348" t="s">
        <v>184</v>
      </c>
      <c r="J21" s="349"/>
      <c r="K21" s="350"/>
      <c r="M21" s="381">
        <f t="shared" si="7"/>
        <v>500</v>
      </c>
    </row>
    <row r="22" spans="1:13">
      <c r="A22" s="222"/>
      <c r="B22" s="204"/>
      <c r="C22" s="343" t="s">
        <v>181</v>
      </c>
      <c r="D22" s="344"/>
      <c r="E22" s="345"/>
      <c r="F22" s="365">
        <v>5</v>
      </c>
      <c r="G22" s="346">
        <f t="shared" si="6"/>
        <v>0.75</v>
      </c>
      <c r="H22" s="347" t="s">
        <v>183</v>
      </c>
      <c r="I22" s="348" t="s">
        <v>184</v>
      </c>
      <c r="J22" s="349"/>
      <c r="K22" s="350"/>
      <c r="M22" s="381">
        <f t="shared" si="7"/>
        <v>500</v>
      </c>
    </row>
    <row r="23" spans="1:13">
      <c r="A23" s="222"/>
      <c r="B23" s="204"/>
      <c r="C23" s="343" t="s">
        <v>182</v>
      </c>
      <c r="D23" s="344"/>
      <c r="E23" s="345"/>
      <c r="F23" s="365">
        <v>5</v>
      </c>
      <c r="G23" s="346">
        <f t="shared" ref="G23:G26" si="8">(F23*3)/20</f>
        <v>0.75</v>
      </c>
      <c r="H23" s="347" t="s">
        <v>183</v>
      </c>
      <c r="I23" s="348" t="s">
        <v>184</v>
      </c>
      <c r="J23" s="349"/>
      <c r="K23" s="350"/>
      <c r="M23" s="381">
        <f t="shared" si="7"/>
        <v>500</v>
      </c>
    </row>
    <row r="24" spans="1:13">
      <c r="A24" s="222"/>
      <c r="B24" s="204"/>
      <c r="C24" s="343" t="s">
        <v>159</v>
      </c>
      <c r="D24" s="344"/>
      <c r="E24" s="345"/>
      <c r="F24" s="365">
        <v>10</v>
      </c>
      <c r="G24" s="346">
        <f t="shared" si="8"/>
        <v>1.5</v>
      </c>
      <c r="H24" s="347" t="s">
        <v>64</v>
      </c>
      <c r="I24" s="348" t="s">
        <v>162</v>
      </c>
      <c r="J24" s="349"/>
      <c r="K24" s="350"/>
      <c r="M24" s="381">
        <f t="shared" si="7"/>
        <v>1000</v>
      </c>
    </row>
    <row r="25" spans="1:13">
      <c r="A25" s="222"/>
      <c r="B25" s="204"/>
      <c r="C25" s="233" t="s">
        <v>160</v>
      </c>
      <c r="D25" s="234"/>
      <c r="E25" s="235"/>
      <c r="F25" s="366">
        <v>10</v>
      </c>
      <c r="G25" s="232">
        <f t="shared" si="8"/>
        <v>1.5</v>
      </c>
      <c r="H25" s="340" t="s">
        <v>64</v>
      </c>
      <c r="I25" s="236" t="s">
        <v>163</v>
      </c>
      <c r="J25" s="237"/>
      <c r="K25" s="238"/>
      <c r="M25" s="382">
        <f t="shared" si="7"/>
        <v>1000</v>
      </c>
    </row>
    <row r="26" spans="1:13" ht="16.2" thickBot="1">
      <c r="C26" s="239" t="s">
        <v>161</v>
      </c>
      <c r="D26" s="240"/>
      <c r="E26" s="241"/>
      <c r="F26" s="367">
        <v>10</v>
      </c>
      <c r="G26" s="218">
        <f t="shared" si="8"/>
        <v>1.5</v>
      </c>
      <c r="H26" s="341" t="s">
        <v>64</v>
      </c>
      <c r="I26" s="242" t="s">
        <v>164</v>
      </c>
      <c r="J26" s="243"/>
      <c r="K26" s="244"/>
      <c r="M26" s="380">
        <f t="shared" si="7"/>
        <v>1000</v>
      </c>
    </row>
    <row r="27" spans="1:13" ht="16.8" thickTop="1" thickBot="1">
      <c r="M27" s="375"/>
    </row>
    <row r="28" spans="1:13" ht="16.8" thickTop="1" thickBot="1">
      <c r="C28" s="223" t="s">
        <v>107</v>
      </c>
      <c r="D28" s="206"/>
      <c r="E28" s="206"/>
      <c r="F28" s="206"/>
      <c r="G28" s="245" t="s">
        <v>7</v>
      </c>
      <c r="H28" s="245" t="s">
        <v>4</v>
      </c>
      <c r="I28" s="245" t="s">
        <v>108</v>
      </c>
      <c r="J28" s="205" t="s">
        <v>83</v>
      </c>
      <c r="K28" s="207"/>
      <c r="M28" s="376" t="s">
        <v>110</v>
      </c>
    </row>
    <row r="29" spans="1:13">
      <c r="C29" s="246" t="s">
        <v>211</v>
      </c>
      <c r="D29" s="247"/>
      <c r="E29" s="247"/>
      <c r="F29" s="247"/>
      <c r="G29" s="248">
        <v>1</v>
      </c>
      <c r="H29" s="248">
        <v>3</v>
      </c>
      <c r="I29" s="248">
        <v>5</v>
      </c>
      <c r="J29" s="236"/>
      <c r="K29" s="249"/>
      <c r="M29" s="382">
        <v>750</v>
      </c>
    </row>
    <row r="30" spans="1:13">
      <c r="C30" s="250" t="s">
        <v>213</v>
      </c>
      <c r="D30" s="251"/>
      <c r="E30" s="251"/>
      <c r="F30" s="251"/>
      <c r="G30" s="252">
        <v>1</v>
      </c>
      <c r="H30" s="252" t="s">
        <v>104</v>
      </c>
      <c r="I30" s="252">
        <v>4</v>
      </c>
      <c r="J30" s="253"/>
      <c r="K30" s="254"/>
      <c r="M30" s="383">
        <v>300</v>
      </c>
    </row>
    <row r="31" spans="1:13" ht="16.2" thickBot="1">
      <c r="C31" s="255" t="s">
        <v>214</v>
      </c>
      <c r="D31" s="240"/>
      <c r="E31" s="240"/>
      <c r="F31" s="240"/>
      <c r="G31" s="256">
        <v>1</v>
      </c>
      <c r="H31" s="256" t="s">
        <v>104</v>
      </c>
      <c r="I31" s="256">
        <v>4</v>
      </c>
      <c r="J31" s="242"/>
      <c r="K31" s="221"/>
      <c r="M31" s="380">
        <v>300</v>
      </c>
    </row>
    <row r="32" spans="1:13" ht="16.2" thickTop="1">
      <c r="M32" s="375"/>
    </row>
    <row r="33" spans="3:13">
      <c r="C33" s="257"/>
      <c r="K33" s="66" t="s">
        <v>112</v>
      </c>
      <c r="L33" s="257"/>
      <c r="M33" s="384">
        <f>SUM(M3:M31)</f>
        <v>26650</v>
      </c>
    </row>
    <row r="34" spans="3:13">
      <c r="M34" s="184"/>
    </row>
    <row r="35" spans="3:13">
      <c r="M35" s="184"/>
    </row>
    <row r="36" spans="3:13">
      <c r="M36" s="184"/>
    </row>
    <row r="37" spans="3:13">
      <c r="M37" s="184"/>
    </row>
    <row r="38" spans="3:13">
      <c r="M38" s="184"/>
    </row>
    <row r="39" spans="3:13">
      <c r="M39" s="184"/>
    </row>
    <row r="40" spans="3:13">
      <c r="M40" s="184"/>
    </row>
  </sheetData>
  <phoneticPr fontId="0" type="noConversion"/>
  <conditionalFormatting sqref="I6">
    <cfRule type="cellIs" dxfId="14" priority="15" operator="equal">
      <formula>20</formula>
    </cfRule>
    <cfRule type="cellIs" dxfId="13" priority="16" operator="equal">
      <formula>1</formula>
    </cfRule>
  </conditionalFormatting>
  <conditionalFormatting sqref="I12">
    <cfRule type="cellIs" dxfId="12" priority="13" operator="equal">
      <formula>20</formula>
    </cfRule>
    <cfRule type="cellIs" dxfId="11" priority="14" operator="equal">
      <formula>1</formula>
    </cfRule>
  </conditionalFormatting>
  <conditionalFormatting sqref="I11">
    <cfRule type="cellIs" dxfId="10" priority="7" operator="equal">
      <formula>20</formula>
    </cfRule>
    <cfRule type="cellIs" dxfId="9" priority="8" operator="equal">
      <formula>1</formula>
    </cfRule>
  </conditionalFormatting>
  <conditionalFormatting sqref="I9:I10">
    <cfRule type="cellIs" dxfId="8" priority="5" operator="equal">
      <formula>20</formula>
    </cfRule>
    <cfRule type="cellIs" dxfId="7" priority="6" operator="equal">
      <formula>1</formula>
    </cfRule>
  </conditionalFormatting>
  <conditionalFormatting sqref="I3 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workbookViewId="0"/>
  </sheetViews>
  <sheetFormatPr defaultColWidth="13" defaultRowHeight="15.6"/>
  <cols>
    <col min="1" max="1" width="28.09765625" style="184" bestFit="1" customWidth="1"/>
    <col min="2" max="2" width="4.5" style="184" bestFit="1" customWidth="1"/>
    <col min="3" max="3" width="5.59765625" style="204" bestFit="1" customWidth="1"/>
    <col min="4" max="5" width="26.59765625" style="19" customWidth="1"/>
    <col min="6" max="6" width="2.3984375" style="184" customWidth="1"/>
    <col min="7" max="7" width="5.8984375" style="19" bestFit="1" customWidth="1"/>
    <col min="8" max="16384" width="13" style="19"/>
  </cols>
  <sheetData>
    <row r="1" spans="1:7" ht="23.4" thickBot="1">
      <c r="A1" s="183" t="s">
        <v>80</v>
      </c>
      <c r="B1" s="183"/>
      <c r="C1" s="258"/>
      <c r="D1" s="183"/>
      <c r="E1" s="183"/>
    </row>
    <row r="2" spans="1:7" s="184" customFormat="1" ht="16.8" thickTop="1" thickBot="1">
      <c r="A2" s="259" t="s">
        <v>81</v>
      </c>
      <c r="B2" s="259" t="s">
        <v>7</v>
      </c>
      <c r="C2" s="260" t="s">
        <v>29</v>
      </c>
      <c r="D2" s="261" t="s">
        <v>82</v>
      </c>
      <c r="E2" s="262" t="s">
        <v>83</v>
      </c>
      <c r="G2" s="263" t="s">
        <v>110</v>
      </c>
    </row>
    <row r="3" spans="1:7">
      <c r="A3" s="264" t="s">
        <v>157</v>
      </c>
      <c r="B3" s="265">
        <v>1</v>
      </c>
      <c r="C3" s="266">
        <v>1</v>
      </c>
      <c r="D3" s="291"/>
      <c r="E3" s="267"/>
      <c r="G3" s="385">
        <v>35</v>
      </c>
    </row>
    <row r="4" spans="1:7">
      <c r="A4" s="288" t="s">
        <v>185</v>
      </c>
      <c r="B4" s="289">
        <v>1</v>
      </c>
      <c r="C4" s="284">
        <v>0</v>
      </c>
      <c r="D4" s="368" t="s">
        <v>186</v>
      </c>
      <c r="E4" s="371" t="s">
        <v>193</v>
      </c>
      <c r="G4" s="386">
        <v>2000</v>
      </c>
    </row>
    <row r="5" spans="1:7">
      <c r="A5" s="264" t="s">
        <v>206</v>
      </c>
      <c r="B5" s="265">
        <v>1</v>
      </c>
      <c r="C5" s="268">
        <v>0</v>
      </c>
      <c r="D5" s="291" t="s">
        <v>207</v>
      </c>
      <c r="E5" s="267"/>
      <c r="G5" s="386">
        <v>10</v>
      </c>
    </row>
    <row r="6" spans="1:7" ht="16.2" thickBot="1">
      <c r="A6" s="290" t="s">
        <v>212</v>
      </c>
      <c r="B6" s="270"/>
      <c r="C6" s="271"/>
      <c r="D6" s="272"/>
      <c r="E6" s="273"/>
      <c r="G6" s="387"/>
    </row>
    <row r="7" spans="1:7" ht="24" thickTop="1" thickBot="1">
      <c r="A7" s="183" t="s">
        <v>84</v>
      </c>
      <c r="B7" s="183"/>
      <c r="C7" s="274"/>
      <c r="D7" s="183"/>
      <c r="E7" s="275"/>
      <c r="G7" s="388"/>
    </row>
    <row r="8" spans="1:7" ht="16.8" thickTop="1" thickBot="1">
      <c r="A8" s="259" t="s">
        <v>81</v>
      </c>
      <c r="B8" s="259" t="s">
        <v>7</v>
      </c>
      <c r="C8" s="260" t="s">
        <v>29</v>
      </c>
      <c r="D8" s="261" t="s">
        <v>82</v>
      </c>
      <c r="E8" s="262" t="s">
        <v>83</v>
      </c>
      <c r="G8" s="389" t="s">
        <v>110</v>
      </c>
    </row>
    <row r="9" spans="1:7">
      <c r="A9" s="276"/>
      <c r="B9" s="277"/>
      <c r="C9" s="278"/>
      <c r="D9" s="279"/>
      <c r="E9" s="280"/>
      <c r="F9" s="281"/>
      <c r="G9" s="390"/>
    </row>
    <row r="10" spans="1:7">
      <c r="A10" s="282"/>
      <c r="B10" s="283"/>
      <c r="C10" s="284"/>
      <c r="D10" s="285"/>
      <c r="E10" s="286"/>
      <c r="G10" s="391"/>
    </row>
    <row r="11" spans="1:7">
      <c r="A11" s="282"/>
      <c r="B11" s="283"/>
      <c r="C11" s="284"/>
      <c r="D11" s="287"/>
      <c r="E11" s="286"/>
      <c r="G11" s="391"/>
    </row>
    <row r="12" spans="1:7" ht="16.2" thickBot="1">
      <c r="A12" s="269"/>
      <c r="B12" s="270"/>
      <c r="C12" s="271"/>
      <c r="D12" s="272"/>
      <c r="E12" s="273"/>
      <c r="G12" s="387"/>
    </row>
    <row r="13" spans="1:7" ht="24" thickTop="1" thickBot="1">
      <c r="A13" s="183" t="s">
        <v>201</v>
      </c>
      <c r="B13" s="183"/>
      <c r="C13" s="274"/>
      <c r="D13" s="183"/>
      <c r="E13" s="275"/>
      <c r="F13" s="392"/>
      <c r="G13" s="257"/>
    </row>
    <row r="14" spans="1:7" ht="16.8" thickTop="1" thickBot="1">
      <c r="A14" s="259" t="s">
        <v>81</v>
      </c>
      <c r="B14" s="259" t="s">
        <v>7</v>
      </c>
      <c r="C14" s="260" t="s">
        <v>29</v>
      </c>
      <c r="D14" s="261" t="s">
        <v>82</v>
      </c>
      <c r="E14" s="262" t="s">
        <v>83</v>
      </c>
      <c r="F14" s="257"/>
      <c r="G14" s="263" t="s">
        <v>110</v>
      </c>
    </row>
    <row r="15" spans="1:7">
      <c r="A15" s="288" t="s">
        <v>202</v>
      </c>
      <c r="B15" s="283">
        <v>0</v>
      </c>
      <c r="C15" s="284">
        <f>B15/100</f>
        <v>0</v>
      </c>
      <c r="D15" s="291"/>
      <c r="E15" s="371"/>
      <c r="F15" s="257"/>
      <c r="G15" s="385">
        <f>B15</f>
        <v>0</v>
      </c>
    </row>
    <row r="16" spans="1:7">
      <c r="A16" s="399" t="s">
        <v>204</v>
      </c>
      <c r="B16" s="283">
        <v>1</v>
      </c>
      <c r="C16" s="266">
        <v>4</v>
      </c>
      <c r="D16" s="400" t="s">
        <v>205</v>
      </c>
      <c r="E16" s="371"/>
      <c r="F16" s="257"/>
      <c r="G16" s="385">
        <v>7200</v>
      </c>
    </row>
    <row r="17" spans="1:7">
      <c r="A17" s="393"/>
      <c r="B17" s="394"/>
      <c r="C17" s="266"/>
      <c r="D17" s="291"/>
      <c r="E17" s="371"/>
      <c r="F17" s="257"/>
      <c r="G17" s="385"/>
    </row>
    <row r="18" spans="1:7" ht="16.2" thickBot="1">
      <c r="A18" s="269"/>
      <c r="B18" s="270"/>
      <c r="C18" s="271"/>
      <c r="D18" s="395"/>
      <c r="E18" s="396"/>
      <c r="F18" s="257"/>
      <c r="G18" s="387"/>
    </row>
    <row r="19" spans="1:7" ht="16.2" thickTop="1">
      <c r="A19" s="281"/>
      <c r="B19" s="397" t="s">
        <v>203</v>
      </c>
      <c r="C19" s="398">
        <f>SUM(C15:C18)/100</f>
        <v>0.04</v>
      </c>
      <c r="D19" s="257"/>
      <c r="E19" s="257"/>
      <c r="F19" s="257"/>
      <c r="G19" s="257"/>
    </row>
    <row r="20" spans="1:7">
      <c r="E20" s="66" t="s">
        <v>112</v>
      </c>
      <c r="F20" s="257"/>
      <c r="G20" s="384">
        <f>SUM(G3:G12)+5</f>
        <v>2050</v>
      </c>
    </row>
    <row r="21" spans="1:7">
      <c r="E21" s="66" t="s">
        <v>113</v>
      </c>
      <c r="G21" s="375">
        <f>G20+Martial!M33</f>
        <v>28700</v>
      </c>
    </row>
    <row r="22" spans="1:7">
      <c r="E22" s="66" t="s">
        <v>199</v>
      </c>
      <c r="G22" s="375">
        <v>36000</v>
      </c>
    </row>
  </sheetData>
  <sortState ref="A8:E24">
    <sortCondition ref="A8:A24"/>
  </sortState>
  <phoneticPr fontId="0" type="noConversion"/>
  <conditionalFormatting sqref="C19">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2016-04-03T23:20:03Z</dcterms:modified>
</cp:coreProperties>
</file>