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08" windowWidth="11916" windowHeight="1060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45621"/>
</workbook>
</file>

<file path=xl/calcChain.xml><?xml version="1.0" encoding="utf-8"?>
<calcChain xmlns="http://schemas.openxmlformats.org/spreadsheetml/2006/main">
  <c r="H4" i="6" l="1"/>
  <c r="C3" i="6" l="1"/>
  <c r="F26" i="15" l="1"/>
  <c r="F21" i="15"/>
  <c r="F23" i="15"/>
  <c r="F16" i="15"/>
  <c r="F9" i="15"/>
  <c r="E10" i="4"/>
  <c r="B9" i="4"/>
  <c r="B8" i="4"/>
  <c r="E42" i="15" l="1"/>
  <c r="F8" i="6" l="1"/>
  <c r="I8" i="6"/>
  <c r="I9" i="6"/>
  <c r="I10" i="6"/>
  <c r="M24" i="6" l="1"/>
  <c r="H11" i="15" l="1"/>
  <c r="D3" i="15" l="1"/>
  <c r="E3" i="15" s="1"/>
  <c r="H3" i="15"/>
  <c r="H4" i="15"/>
  <c r="D5" i="15"/>
  <c r="E5" i="15" s="1"/>
  <c r="H5" i="15"/>
  <c r="D6" i="15"/>
  <c r="G6" i="15" s="1"/>
  <c r="E6" i="15"/>
  <c r="H6" i="15"/>
  <c r="F7" i="15"/>
  <c r="H7" i="15"/>
  <c r="D8" i="15"/>
  <c r="E8" i="15" s="1"/>
  <c r="H8" i="15"/>
  <c r="H9" i="15"/>
  <c r="D10" i="15"/>
  <c r="G10" i="15" s="1"/>
  <c r="E10" i="15"/>
  <c r="H10" i="15"/>
  <c r="D11" i="15"/>
  <c r="G11" i="15" s="1"/>
  <c r="D12" i="15"/>
  <c r="E12" i="15" s="1"/>
  <c r="H12" i="15"/>
  <c r="D13" i="15"/>
  <c r="E13" i="15" s="1"/>
  <c r="H13" i="15"/>
  <c r="D14" i="15"/>
  <c r="E14" i="15" s="1"/>
  <c r="H14" i="15"/>
  <c r="D15" i="15"/>
  <c r="G15" i="15" s="1"/>
  <c r="H15" i="15"/>
  <c r="G14" i="15" l="1"/>
  <c r="G5" i="15"/>
  <c r="I5" i="15" s="1"/>
  <c r="I10" i="15"/>
  <c r="G12" i="15"/>
  <c r="I12" i="15" s="1"/>
  <c r="I14" i="15"/>
  <c r="I6" i="15"/>
  <c r="G3" i="15"/>
  <c r="I3" i="15" s="1"/>
  <c r="I15" i="15"/>
  <c r="I11" i="15"/>
  <c r="G13" i="15"/>
  <c r="I13" i="15" s="1"/>
  <c r="G8" i="15"/>
  <c r="I8" i="15" s="1"/>
  <c r="E15" i="15"/>
  <c r="E11" i="15"/>
  <c r="B6" i="4"/>
  <c r="G18" i="6" l="1"/>
  <c r="G19" i="6"/>
  <c r="I3" i="6" l="1"/>
  <c r="G20" i="6" l="1"/>
  <c r="I11" i="6" l="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F33" i="15"/>
  <c r="F39" i="15"/>
  <c r="B42" i="15" l="1"/>
  <c r="E9" i="4" l="1"/>
  <c r="I4" i="6"/>
  <c r="I5" i="6"/>
  <c r="C13" i="4" l="1"/>
  <c r="C12" i="4"/>
  <c r="C11" i="4"/>
  <c r="C10" i="4"/>
  <c r="C9" i="4"/>
  <c r="C8" i="4"/>
  <c r="E11" i="4" l="1"/>
  <c r="E13" i="4" s="1"/>
  <c r="E12" i="4" s="1"/>
  <c r="H9" i="6"/>
  <c r="J9" i="6" s="1"/>
  <c r="H8" i="6"/>
  <c r="J8" i="6" s="1"/>
  <c r="H10" i="6"/>
  <c r="J10" i="6" s="1"/>
  <c r="D7" i="15"/>
  <c r="D4" i="15"/>
  <c r="H11" i="6"/>
  <c r="J11" i="6" s="1"/>
  <c r="C8" i="6"/>
  <c r="C10" i="6"/>
  <c r="C9" i="6"/>
  <c r="C11" i="6"/>
  <c r="D9" i="15"/>
  <c r="H5" i="6"/>
  <c r="J5" i="6" s="1"/>
  <c r="J4" i="6"/>
  <c r="H3" i="6"/>
  <c r="J3" i="6" s="1"/>
  <c r="B7" i="4"/>
  <c r="H41" i="15"/>
  <c r="G4" i="15" l="1"/>
  <c r="I4" i="15" s="1"/>
  <c r="E4" i="15"/>
  <c r="E7" i="15"/>
  <c r="G7" i="15"/>
  <c r="I7" i="15" s="1"/>
  <c r="E9" i="15"/>
  <c r="G9" i="15"/>
  <c r="I9" i="15" s="1"/>
  <c r="D29" i="15"/>
  <c r="E29" i="15" l="1"/>
  <c r="G29" i="15"/>
  <c r="D35" i="15"/>
  <c r="D19" i="15"/>
  <c r="D37" i="15"/>
  <c r="D34" i="15"/>
  <c r="D39" i="15"/>
  <c r="D36" i="15"/>
  <c r="D38" i="15"/>
  <c r="D31" i="15"/>
  <c r="D40" i="15"/>
  <c r="D27" i="15"/>
  <c r="D33" i="15"/>
  <c r="D24" i="15"/>
  <c r="D41" i="15"/>
  <c r="D32" i="15"/>
  <c r="D30" i="15"/>
  <c r="D28" i="15"/>
  <c r="D26" i="15"/>
  <c r="D25" i="15"/>
  <c r="D23" i="15"/>
  <c r="D22" i="15"/>
  <c r="D21" i="15"/>
  <c r="D20" i="15"/>
  <c r="D18" i="15"/>
  <c r="D17" i="15"/>
  <c r="D16" i="15"/>
  <c r="I29" i="15" l="1"/>
  <c r="E16" i="15"/>
  <c r="G16" i="15"/>
  <c r="E17" i="15"/>
  <c r="G17" i="15"/>
  <c r="E20" i="15"/>
  <c r="G20" i="15"/>
  <c r="E22" i="15"/>
  <c r="G22" i="15"/>
  <c r="E25" i="15"/>
  <c r="G25" i="15"/>
  <c r="E28" i="15"/>
  <c r="G28" i="15"/>
  <c r="E32" i="15"/>
  <c r="G32" i="15"/>
  <c r="E24" i="15"/>
  <c r="G24" i="15"/>
  <c r="E27" i="15"/>
  <c r="G27" i="15"/>
  <c r="E31" i="15"/>
  <c r="G31" i="15"/>
  <c r="E36" i="15"/>
  <c r="G36" i="15"/>
  <c r="E37" i="15"/>
  <c r="G37" i="15"/>
  <c r="E18" i="15"/>
  <c r="G18" i="15"/>
  <c r="E21" i="15"/>
  <c r="G21" i="15"/>
  <c r="E23" i="15"/>
  <c r="G23" i="15"/>
  <c r="E26" i="15"/>
  <c r="G26" i="15"/>
  <c r="E30" i="15"/>
  <c r="G30" i="15"/>
  <c r="E41" i="15"/>
  <c r="G41" i="15"/>
  <c r="E33" i="15"/>
  <c r="G33" i="15"/>
  <c r="E40" i="15"/>
  <c r="G40" i="15"/>
  <c r="E38" i="15"/>
  <c r="G38" i="15"/>
  <c r="E39" i="15"/>
  <c r="G39" i="15"/>
  <c r="E34" i="15"/>
  <c r="G34" i="15"/>
  <c r="E19" i="15"/>
  <c r="G19" i="15"/>
  <c r="E35" i="15"/>
  <c r="G35" i="15"/>
  <c r="I35" i="15" l="1"/>
  <c r="I19" i="15"/>
  <c r="I34" i="15"/>
  <c r="I39" i="15"/>
  <c r="I38" i="15"/>
  <c r="I40" i="15"/>
  <c r="I33" i="15"/>
  <c r="I41" i="15"/>
  <c r="I30" i="15"/>
  <c r="I26" i="15"/>
  <c r="I23" i="15"/>
  <c r="I21" i="15"/>
  <c r="I18" i="15"/>
  <c r="I37" i="15"/>
  <c r="I36" i="15"/>
  <c r="I31" i="15"/>
  <c r="I27" i="15"/>
  <c r="I24" i="15"/>
  <c r="I32" i="15"/>
  <c r="I28" i="15"/>
  <c r="I25" i="15"/>
  <c r="I22" i="15"/>
  <c r="I20" i="15"/>
  <c r="I17" i="15"/>
  <c r="I16" i="15"/>
</calcChain>
</file>

<file path=xl/comments1.xml><?xml version="1.0" encoding="utf-8"?>
<comments xmlns="http://schemas.openxmlformats.org/spreadsheetml/2006/main">
  <authors>
    <author>Alexis Álvarez</author>
  </authors>
  <commentList>
    <comment ref="C7" authorId="0">
      <text>
        <r>
          <rPr>
            <sz val="12"/>
            <color indexed="81"/>
            <rFont val="Times New Roman"/>
            <family val="1"/>
          </rPr>
          <t>Improved Initiative +4
Blooded +2</t>
        </r>
      </text>
    </comment>
    <comment ref="E8" authorId="0">
      <text>
        <r>
          <rPr>
            <sz val="12"/>
            <color indexed="81"/>
            <rFont val="Times New Roman"/>
            <family val="1"/>
          </rPr>
          <t>See PHB 162</t>
        </r>
      </text>
    </comment>
    <comment ref="E10" authorId="0">
      <text>
        <r>
          <rPr>
            <sz val="12"/>
            <color indexed="81"/>
            <rFont val="Times New Roman"/>
            <family val="1"/>
          </rPr>
          <t>[[(7 * 10 Fighter) * 75%] + (7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Chain Shirt</t>
        </r>
      </text>
    </comment>
    <comment ref="F33" authorId="0">
      <text>
        <r>
          <rPr>
            <sz val="12"/>
            <color indexed="81"/>
            <rFont val="Times New Roman"/>
            <family val="1"/>
          </rPr>
          <t>Chain Shirt</t>
        </r>
      </text>
    </comment>
    <comment ref="F39"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7"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A8" authorId="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List>
</comments>
</file>

<file path=xl/comments4.xml><?xml version="1.0" encoding="utf-8"?>
<comments xmlns="http://schemas.openxmlformats.org/spreadsheetml/2006/main">
  <authors>
    <author>Alexis Álvarez</author>
  </authors>
  <commentList>
    <comment ref="A8" authorId="0">
      <text>
        <r>
          <rPr>
            <sz val="12"/>
            <color indexed="81"/>
            <rFont val="Times New Roman"/>
            <family val="1"/>
          </rPr>
          <t>This property can only be placed on a ranged weapon.  A weapon of distance has double the range increment of other weapons of its kind.
Moderate divination; CL 6th; Craft Magic Arms and Armor, clairaudience/clairvoyance; Price +1 bonus.
DMG 224</t>
        </r>
      </text>
    </comment>
    <comment ref="C8" authorId="0">
      <text>
        <r>
          <rPr>
            <sz val="12"/>
            <color indexed="81"/>
            <rFont val="Times New Roman"/>
            <family val="1"/>
          </rPr>
          <t>Weapon Specialization 1 + Strength 2 + weapon bonus 1</t>
        </r>
      </text>
    </comment>
    <comment ref="F8" authorId="0">
      <text>
        <r>
          <rPr>
            <sz val="12"/>
            <color indexed="81"/>
            <rFont val="Times New Roman"/>
            <family val="1"/>
          </rPr>
          <t>Far Shot feat</t>
        </r>
      </text>
    </comment>
    <comment ref="H8" authorId="0">
      <text>
        <r>
          <rPr>
            <sz val="12"/>
            <color indexed="81"/>
            <rFont val="Times New Roman"/>
            <family val="1"/>
          </rPr>
          <t>Includes Weapon Focus +1</t>
        </r>
      </text>
    </comment>
    <comment ref="H9" authorId="0">
      <text>
        <r>
          <rPr>
            <sz val="12"/>
            <color indexed="81"/>
            <rFont val="Times New Roman"/>
            <family val="1"/>
          </rPr>
          <t>Includes Weapon Focus +1</t>
        </r>
      </text>
    </comment>
    <comment ref="H10" authorId="0">
      <text>
        <r>
          <rPr>
            <sz val="12"/>
            <color indexed="81"/>
            <rFont val="Times New Roman"/>
            <family val="1"/>
          </rPr>
          <t>Includes Weapon Focus +1</t>
        </r>
      </text>
    </comment>
    <comment ref="C11" authorId="0">
      <text>
        <r>
          <rPr>
            <sz val="12"/>
            <color indexed="81"/>
            <rFont val="Times New Roman"/>
            <family val="1"/>
          </rPr>
          <t>Weapon Specialization 1 + Strength 2 + weapon bonus 1</t>
        </r>
      </text>
    </comment>
    <comment ref="H11" authorId="0">
      <text>
        <r>
          <rPr>
            <sz val="12"/>
            <color indexed="81"/>
            <rFont val="Times New Roman"/>
            <family val="1"/>
          </rPr>
          <t>Includes Weapon Focus +1</t>
        </r>
      </text>
    </comment>
    <comment ref="D13"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<sst xmlns="http://schemas.openxmlformats.org/spreadsheetml/2006/main" count="289" uniqueCount="172">
  <si>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</si>
  <si>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</si>
  <si>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</si>
  <si>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</si>
  <si>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</si>
  <si>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</si>
  <si>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</si>
  <si>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</si>
  <si>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</si>
  <si>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</si>
  <si>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</si>
  <si>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</si>
  <si>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</si>
  <si>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</si>
  <si>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</si>
  <si>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</si>
  <si>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</si>
  <si>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</si>
  <si>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</si>
  <si>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</si>
  <si>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</si>
  <si>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</si>
  <si>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</si>
  <si>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</si>
  <si>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</si>
  <si>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</si>
  <si>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</si>
  <si>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</si>
  <si>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</si>
  <si>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</si>
  <si>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</si>
  <si>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</si>
  <si>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</si>
  <si>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</si>
  <si>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</si>
  <si>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</si>
  <si>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</si>
  <si>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</si>
  <si>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</si>
  <si>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</si>
  <si>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</si>
  <si>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</si>
  <si>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</si>
  <si>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</si>
  <si>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</si>
  <si>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</si>
  <si>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</si>
  <si>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</si>
  <si>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</si>
  <si>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</si>
  <si>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</si>
  <si>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</si>
  <si>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</si>
  <si>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</si>
  <si>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</si>
  <si>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</si>
  <si>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</si>
  <si>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</si>
  <si>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</si>
  <si>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</si>
  <si>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</si>
  <si>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</si>
  <si>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</si>
  <si>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</si>
  <si>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</si>
  <si>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</si>
  <si>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</si>
  <si>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</si>
  <si>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</si>
  <si>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</si>
  <si>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</si>
  <si>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</si>
  <si>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</si>
  <si>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</si>
  <si>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</si>
  <si>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</si>
  <si>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</si>
  <si>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</si>
  <si>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</si>
  <si>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</si>
  <si>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</si>
  <si>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</si>
  <si>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</si>
  <si>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</si>
  <si>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</si>
  <si>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</si>
  <si>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</si>
  <si>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</si>
  <si>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</si>
  <si>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</si>
  <si>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</si>
  <si>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</si>
  <si>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</si>
  <si>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</si>
  <si>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</si>
  <si>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</si>
  <si>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</si>
  <si>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</si>
  <si>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</si>
  <si>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</si>
  <si>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</si>
  <si>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Male</t>
  </si>
  <si>
    <t>Fighter</t>
  </si>
  <si>
    <t>Initiative:</t>
  </si>
  <si>
    <t>Fighter 1</t>
  </si>
  <si>
    <t>Fighter 2</t>
  </si>
  <si>
    <t>CROSS-CLASS</t>
  </si>
  <si>
    <t>FF AC:</t>
  </si>
  <si>
    <t>Actual Speed:</t>
  </si>
  <si>
    <t>Perform:  [type]</t>
  </si>
  <si>
    <t>Profession:  [type]</t>
  </si>
  <si>
    <t>All Armor and Shields</t>
  </si>
  <si>
    <t>All Simple &amp; Martial Weapons</t>
  </si>
  <si>
    <t>Eriven</t>
  </si>
  <si>
    <t>Ravensblood</t>
  </si>
  <si>
    <t>Elf</t>
  </si>
  <si>
    <t>Subrace:</t>
  </si>
  <si>
    <t>30’</t>
  </si>
  <si>
    <t>Fighter 1:  Rapid Shot</t>
  </si>
  <si>
    <t>1st:  Weapon Focus - Composite Longbow</t>
  </si>
  <si>
    <t>1d8</t>
  </si>
  <si>
    <t>19-20/x2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</si>
  <si>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</si>
  <si>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</si>
  <si>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</si>
  <si>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</si>
  <si>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</si>
  <si>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</si>
  <si>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</si>
  <si>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</si>
  <si>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</si>
  <si>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Grapple, Unarmed Strike</t>
  </si>
  <si>
    <t>1d3</t>
  </si>
  <si>
    <t>Bludgeon</t>
  </si>
  <si>
    <t>x2</t>
  </si>
  <si>
    <t>Fighter 3</t>
  </si>
  <si>
    <t>Value</t>
  </si>
  <si>
    <t>Loincloth</t>
  </si>
  <si>
    <t>½</t>
  </si>
  <si>
    <t>Mithral Chain Shirt</t>
  </si>
  <si>
    <t>Sleep Arrows</t>
  </si>
  <si>
    <t>Scrolls and Potions</t>
  </si>
  <si>
    <t>Level</t>
  </si>
  <si>
    <t>CLev</t>
  </si>
  <si>
    <t>Wand of Cure Light Wounds</t>
  </si>
  <si>
    <t>Sun</t>
  </si>
  <si>
    <t>Fighter 4</t>
  </si>
  <si>
    <t>Fighter 2:  Precise Shot</t>
  </si>
  <si>
    <t>3rd:  Point Blank Shot</t>
  </si>
  <si>
    <t>Potion of Cat’s Grace</t>
  </si>
  <si>
    <t>1</t>
  </si>
  <si>
    <t>2</t>
  </si>
  <si>
    <t>4</t>
  </si>
  <si>
    <t>Fighter 3:  Weapon Specializaton - Composite Longbow</t>
  </si>
  <si>
    <t>Fighter 5</t>
  </si>
  <si>
    <t>Fighter 6</t>
  </si>
  <si>
    <t>Craft:  Bowmaking</t>
  </si>
  <si>
    <t>6th:  Quick Draw</t>
  </si>
  <si>
    <t>Fighter 4:  Far Shot</t>
  </si>
  <si>
    <t>Potion of Cure Serious Wounds</t>
  </si>
  <si>
    <t>Rapid Shots 1, 2 and 3</t>
  </si>
  <si>
    <t>Composite Longbow of</t>
  </si>
  <si>
    <t>Distance + 1, Str +2</t>
  </si>
  <si>
    <t>Comp Longbow of Distance</t>
  </si>
  <si>
    <t>Fighter 7</t>
  </si>
  <si>
    <t>8 uses</t>
  </si>
  <si>
    <t>+2 vs. Enchantments (elf)</t>
  </si>
  <si>
    <t>Longsword +2</t>
  </si>
  <si>
    <t>+4</t>
  </si>
  <si>
    <t>Longsword +2, 2nd strike</t>
  </si>
  <si>
    <t>Lawful Evil</t>
  </si>
  <si>
    <t>NPC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</si>
</sst>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65">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6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164" fontId="1" fillId="0" borderId="70" xfId="0" applyNumberFormat="1" applyFont="1" applyFill="1" applyBorder="1" applyAlignment="1">
      <alignment horizontal="center" vertical="center"/>
    </xf>
    <xf numFmtId="0" fontId="1" fillId="0" borderId="68" xfId="0" quotePrefix="1" applyFont="1" applyFill="1" applyBorder="1" applyAlignment="1">
      <alignment horizontal="center" vertical="center" wrapText="1"/>
    </xf>
    <xf numFmtId="164" fontId="1" fillId="0" borderId="68" xfId="0" applyNumberFormat="1" applyFont="1" applyFill="1" applyBorder="1" applyAlignment="1">
      <alignment horizontal="center" vertical="center"/>
    </xf>
    <xf numFmtId="0" fontId="1" fillId="0" borderId="77" xfId="0" applyFont="1" applyBorder="1" applyAlignment="1">
      <alignment horizontal="center" vertical="center"/>
    </xf>
    <xf numFmtId="0" fontId="4" fillId="0" borderId="77" xfId="0" quotePrefix="1" applyFont="1" applyBorder="1" applyAlignment="1">
      <alignment horizontal="center" vertical="center" wrapText="1"/>
    </xf>
    <xf numFmtId="164" fontId="4" fillId="0" borderId="77" xfId="0" applyNumberFormat="1"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NumberFormat="1" applyFont="1" applyFill="1" applyBorder="1" applyAlignment="1">
      <alignment horizontal="center" vertical="center" wrapText="1"/>
    </xf>
    <xf numFmtId="0" fontId="52" fillId="0" borderId="30" xfId="0" applyFont="1" applyBorder="1" applyAlignment="1">
      <alignment horizontal="centerContinuous" vertical="center" wrapText="1"/>
    </xf>
    <xf numFmtId="164" fontId="1" fillId="0" borderId="56" xfId="0" applyNumberFormat="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4" fillId="0" borderId="51" xfId="0" applyNumberFormat="1" applyFont="1" applyBorder="1" applyAlignment="1">
      <alignment horizontal="center" vertical="center"/>
    </xf>
    <xf numFmtId="0" fontId="40" fillId="2" borderId="84" xfId="0" applyFont="1" applyFill="1" applyBorder="1" applyAlignment="1">
      <alignment horizontal="right"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Border="1" applyAlignment="1">
      <alignment horizontal="center" vertical="center"/>
    </xf>
    <xf numFmtId="0" fontId="5" fillId="8" borderId="0" xfId="0" applyFont="1" applyFill="1" applyBorder="1" applyAlignment="1">
      <alignment horizontal="right" vertical="center"/>
    </xf>
    <xf numFmtId="0" fontId="5" fillId="4" borderId="64" xfId="0" applyFont="1" applyFill="1" applyBorder="1" applyAlignment="1">
      <alignment horizontal="right" vertical="center"/>
    </xf>
    <xf numFmtId="0" fontId="1" fillId="0" borderId="88" xfId="0" applyFont="1" applyBorder="1" applyAlignment="1">
      <alignment horizontal="centerContinuous"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Border="1" applyAlignment="1">
      <alignment horizontal="left" vertical="center"/>
    </xf>
    <xf numFmtId="49" fontId="1" fillId="0" borderId="23" xfId="0" applyNumberFormat="1" applyFont="1" applyFill="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37"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10"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5"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2"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4" fillId="9"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xf>
    <xf numFmtId="0" fontId="43"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2" fillId="0" borderId="61"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44"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44" fillId="9"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wrapText="1"/>
    </xf>
    <xf numFmtId="0" fontId="1" fillId="0" borderId="63"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31" fillId="0" borderId="0" xfId="0" applyFont="1" applyBorder="1" applyAlignment="1">
      <alignment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NumberFormat="1" applyFont="1" applyFill="1" applyBorder="1" applyAlignment="1">
      <alignment horizontal="center" vertical="center"/>
    </xf>
    <xf numFmtId="0" fontId="22"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2" fillId="0" borderId="50" xfId="0" applyNumberFormat="1" applyFont="1" applyFill="1" applyBorder="1" applyAlignment="1">
      <alignment horizontal="center" vertical="center"/>
    </xf>
    <xf numFmtId="49" fontId="6" fillId="0" borderId="50" xfId="0" applyNumberFormat="1" applyFont="1" applyFill="1" applyBorder="1" applyAlignment="1">
      <alignment horizontal="center" vertical="center"/>
    </xf>
    <xf numFmtId="0" fontId="44" fillId="9" borderId="49"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9" fillId="0" borderId="30" xfId="0" applyFont="1" applyBorder="1" applyAlignment="1">
      <alignment horizontal="centerContinuous" vertical="center"/>
    </xf>
    <xf numFmtId="0" fontId="6" fillId="0" borderId="0" xfId="0" applyFont="1" applyBorder="1" applyAlignment="1">
      <alignment vertical="center" wrapText="1"/>
    </xf>
    <xf numFmtId="0" fontId="38" fillId="0" borderId="33" xfId="0" applyFont="1" applyFill="1" applyBorder="1" applyAlignment="1">
      <alignment horizontal="centerContinuous" vertical="center"/>
    </xf>
    <xf numFmtId="0" fontId="38" fillId="0" borderId="105" xfId="0" applyFont="1" applyFill="1" applyBorder="1" applyAlignment="1">
      <alignment horizontal="centerContinuous" vertical="center"/>
    </xf>
    <xf numFmtId="0" fontId="38" fillId="0" borderId="33" xfId="0" applyFont="1" applyFill="1" applyBorder="1" applyAlignment="1">
      <alignment horizontal="center" vertical="center" shrinkToFit="1"/>
    </xf>
    <xf numFmtId="0" fontId="38" fillId="0" borderId="5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6" xfId="0" applyFont="1" applyFill="1" applyBorder="1" applyAlignment="1">
      <alignment horizontal="centerContinuous" vertical="center"/>
    </xf>
    <xf numFmtId="0" fontId="6" fillId="0" borderId="51"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6" fillId="0" borderId="94" xfId="0" quotePrefix="1" applyFont="1" applyFill="1" applyBorder="1" applyAlignment="1">
      <alignment horizontal="centerContinuous" vertical="center"/>
    </xf>
    <xf numFmtId="0" fontId="6" fillId="0" borderId="94" xfId="0" applyFont="1" applyFill="1" applyBorder="1" applyAlignment="1">
      <alignment horizontal="centerContinuous" vertical="center"/>
    </xf>
    <xf numFmtId="0" fontId="6" fillId="0" borderId="51"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Fill="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7" xfId="0" applyFont="1" applyFill="1" applyBorder="1" applyAlignment="1">
      <alignment horizontal="center" vertical="center"/>
    </xf>
    <xf numFmtId="49" fontId="1" fillId="0" borderId="77" xfId="0" applyNumberFormat="1" applyFont="1" applyFill="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Fill="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1" fillId="0" borderId="103" xfId="0" applyFont="1" applyFill="1" applyBorder="1" applyAlignment="1">
      <alignment horizontal="center" vertical="center"/>
    </xf>
    <xf numFmtId="9" fontId="1" fillId="0" borderId="103" xfId="0" applyNumberFormat="1" applyFont="1" applyFill="1" applyBorder="1" applyAlignment="1">
      <alignment horizontal="center" vertical="center"/>
    </xf>
    <xf numFmtId="164" fontId="1" fillId="0" borderId="103"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0" xfId="0" applyNumberFormat="1" applyFont="1" applyFill="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Fill="1" applyBorder="1" applyAlignment="1">
      <alignment horizontal="center" vertical="center"/>
    </xf>
    <xf numFmtId="0" fontId="4" fillId="0" borderId="77" xfId="0" applyFont="1" applyBorder="1" applyAlignment="1">
      <alignment horizontal="center" vertical="center"/>
    </xf>
    <xf numFmtId="0" fontId="1" fillId="0" borderId="77" xfId="0" quotePrefix="1"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0" fontId="1"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4" xfId="0" applyFont="1" applyFill="1" applyBorder="1" applyAlignment="1">
      <alignment horizontal="centerContinuous" vertical="center"/>
    </xf>
    <xf numFmtId="49" fontId="1" fillId="0" borderId="74" xfId="0" applyNumberFormat="1" applyFont="1" applyFill="1" applyBorder="1" applyAlignment="1">
      <alignment horizontal="center" vertical="center"/>
    </xf>
    <xf numFmtId="49" fontId="1" fillId="0" borderId="74" xfId="0" applyNumberFormat="1" applyFont="1" applyFill="1" applyBorder="1" applyAlignment="1">
      <alignment horizontal="centerContinuous" vertical="center"/>
    </xf>
    <xf numFmtId="49" fontId="1" fillId="0" borderId="95"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45" xfId="0" applyFont="1" applyFill="1" applyBorder="1" applyAlignment="1">
      <alignment horizontal="centerContinuous" vertical="center"/>
    </xf>
    <xf numFmtId="0" fontId="4" fillId="0" borderId="102"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1" fillId="0" borderId="78" xfId="0" applyNumberFormat="1" applyFont="1" applyFill="1" applyBorder="1" applyAlignment="1">
      <alignment horizontal="center" vertical="center"/>
    </xf>
    <xf numFmtId="49" fontId="1" fillId="0" borderId="78" xfId="0" applyNumberFormat="1" applyFont="1" applyFill="1" applyBorder="1" applyAlignment="1">
      <alignment horizontal="centerContinuous" vertical="center"/>
    </xf>
    <xf numFmtId="49" fontId="1"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64" fontId="4" fillId="0" borderId="51" xfId="0" applyNumberFormat="1" applyFont="1" applyFill="1" applyBorder="1" applyAlignment="1">
      <alignment horizontal="center" vertical="center"/>
    </xf>
    <xf numFmtId="0" fontId="21" fillId="7" borderId="104"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xf numFmtId="0" fontId="6" fillId="0" borderId="87" xfId="0" applyNumberFormat="1" applyFont="1" applyBorder="1" applyAlignment="1">
      <alignment horizontal="centerContinuous" vertical="center"/>
    </xf>
    <xf numFmtId="0" fontId="1" fillId="10" borderId="91" xfId="0" applyNumberFormat="1" applyFont="1" applyFill="1" applyBorder="1" applyAlignment="1">
      <alignment horizontal="center" vertical="center"/>
    </xf>
    <xf numFmtId="0" fontId="3" fillId="0" borderId="90" xfId="0" applyFont="1" applyBorder="1" applyAlignment="1">
      <alignment horizontal="center" vertical="center" wrapText="1"/>
    </xf>
    <xf numFmtId="0" fontId="2" fillId="0" borderId="0" xfId="0" applyFont="1" applyBorder="1" applyAlignment="1">
      <alignment horizontal="centerContinuous" vertical="center" wrapText="1"/>
    </xf>
    <xf numFmtId="0" fontId="21" fillId="7" borderId="16"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76" xfId="0" applyFont="1" applyFill="1" applyBorder="1" applyAlignment="1">
      <alignment horizontal="center" vertical="center" wrapText="1"/>
    </xf>
    <xf numFmtId="0" fontId="3" fillId="0" borderId="69" xfId="0" applyFont="1" applyBorder="1" applyAlignment="1">
      <alignment horizontal="center" vertical="center" wrapText="1" shrinkToFit="1"/>
    </xf>
    <xf numFmtId="0" fontId="3" fillId="0" borderId="76" xfId="0" applyFont="1" applyBorder="1" applyAlignment="1">
      <alignment horizontal="center" vertical="center" wrapText="1"/>
    </xf>
    <xf numFmtId="0" fontId="18" fillId="0" borderId="0" xfId="0" applyFont="1" applyBorder="1" applyAlignment="1">
      <alignment horizontal="right" vertical="center" wrapText="1"/>
    </xf>
    <xf numFmtId="0" fontId="21" fillId="7" borderId="17" xfId="0" applyFont="1" applyFill="1" applyBorder="1" applyAlignment="1">
      <alignment horizontal="center" vertical="center" wrapText="1"/>
    </xf>
    <xf numFmtId="49" fontId="21" fillId="7" borderId="17" xfId="0" applyNumberFormat="1" applyFont="1" applyFill="1" applyBorder="1" applyAlignment="1">
      <alignment horizontal="center" vertical="center" wrapText="1"/>
    </xf>
    <xf numFmtId="0" fontId="21" fillId="7" borderId="21" xfId="0" applyFont="1" applyFill="1" applyBorder="1" applyAlignment="1">
      <alignment horizontal="center" vertical="center" wrapText="1"/>
    </xf>
    <xf numFmtId="0" fontId="45" fillId="9" borderId="21"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1" fillId="0" borderId="70" xfId="0" applyFont="1" applyFill="1" applyBorder="1" applyAlignment="1">
      <alignment horizontal="center" vertical="center" wrapText="1"/>
    </xf>
    <xf numFmtId="49" fontId="1" fillId="0" borderId="70" xfId="2" applyNumberFormat="1" applyFont="1" applyFill="1" applyBorder="1" applyAlignment="1">
      <alignment horizontal="center" vertical="center" wrapText="1"/>
    </xf>
    <xf numFmtId="0" fontId="1" fillId="0" borderId="70" xfId="0" applyFont="1" applyFill="1" applyBorder="1" applyAlignment="1">
      <alignment horizontal="center" vertical="center" wrapText="1" shrinkToFit="1"/>
    </xf>
    <xf numFmtId="164" fontId="1" fillId="0" borderId="70" xfId="0" applyNumberFormat="1" applyFont="1" applyFill="1" applyBorder="1" applyAlignment="1">
      <alignment horizontal="center" vertical="center" wrapText="1"/>
    </xf>
    <xf numFmtId="164" fontId="4" fillId="0" borderId="71" xfId="0" applyNumberFormat="1" applyFont="1" applyBorder="1" applyAlignment="1">
      <alignment horizontal="center" vertical="center" wrapText="1"/>
    </xf>
    <xf numFmtId="1" fontId="46" fillId="9" borderId="71" xfId="0" applyNumberFormat="1" applyFont="1" applyFill="1" applyBorder="1" applyAlignment="1">
      <alignment horizontal="center" vertical="center" wrapText="1"/>
    </xf>
    <xf numFmtId="1" fontId="1" fillId="0" borderId="71" xfId="0" applyNumberFormat="1" applyFont="1" applyBorder="1" applyAlignment="1">
      <alignment horizontal="center" vertical="center" wrapText="1"/>
    </xf>
    <xf numFmtId="0" fontId="4" fillId="0" borderId="72" xfId="0" applyFont="1" applyBorder="1" applyAlignment="1">
      <alignment horizontal="center" vertical="center" wrapText="1"/>
    </xf>
    <xf numFmtId="0" fontId="1" fillId="0" borderId="68" xfId="0" applyFont="1" applyFill="1" applyBorder="1" applyAlignment="1">
      <alignment horizontal="center" vertical="center" wrapText="1"/>
    </xf>
    <xf numFmtId="49" fontId="1" fillId="0" borderId="68" xfId="2" applyNumberFormat="1" applyFont="1" applyFill="1" applyBorder="1" applyAlignment="1">
      <alignment horizontal="center" vertical="center" wrapText="1"/>
    </xf>
    <xf numFmtId="164" fontId="4" fillId="0" borderId="74" xfId="0" applyNumberFormat="1" applyFont="1" applyBorder="1" applyAlignment="1">
      <alignment horizontal="center" vertical="center" wrapText="1"/>
    </xf>
    <xf numFmtId="1" fontId="46" fillId="9" borderId="74" xfId="0" applyNumberFormat="1" applyFont="1" applyFill="1" applyBorder="1" applyAlignment="1">
      <alignment horizontal="center" vertical="center" wrapText="1"/>
    </xf>
    <xf numFmtId="1" fontId="1" fillId="0" borderId="68" xfId="0" applyNumberFormat="1" applyFont="1" applyBorder="1" applyAlignment="1">
      <alignment horizontal="center" vertical="center" wrapText="1"/>
    </xf>
    <xf numFmtId="0" fontId="4" fillId="0" borderId="75" xfId="0" applyFont="1" applyBorder="1" applyAlignment="1">
      <alignment horizontal="center" vertical="center" wrapText="1"/>
    </xf>
    <xf numFmtId="0" fontId="1" fillId="0" borderId="77" xfId="0" applyFont="1" applyBorder="1" applyAlignment="1">
      <alignment horizontal="center" vertical="center" wrapText="1"/>
    </xf>
    <xf numFmtId="49" fontId="4" fillId="0" borderId="77" xfId="2" applyNumberFormat="1" applyFont="1" applyBorder="1" applyAlignment="1">
      <alignment horizontal="center" vertical="center" wrapText="1"/>
    </xf>
    <xf numFmtId="49" fontId="1" fillId="0" borderId="77" xfId="2" applyNumberFormat="1" applyFont="1" applyBorder="1" applyAlignment="1">
      <alignment horizontal="center" vertical="center" wrapText="1"/>
    </xf>
    <xf numFmtId="0" fontId="1" fillId="0" borderId="77" xfId="0" applyFont="1" applyBorder="1" applyAlignment="1">
      <alignment horizontal="center" vertical="center" wrapText="1" shrinkToFit="1"/>
    </xf>
    <xf numFmtId="164" fontId="4" fillId="0" borderId="77" xfId="0" applyNumberFormat="1" applyFont="1" applyBorder="1" applyAlignment="1">
      <alignment horizontal="center" vertical="center" wrapText="1"/>
    </xf>
    <xf numFmtId="164" fontId="4" fillId="0" borderId="78" xfId="0" applyNumberFormat="1" applyFont="1" applyBorder="1" applyAlignment="1">
      <alignment horizontal="center" vertical="center" wrapText="1"/>
    </xf>
    <xf numFmtId="1" fontId="46" fillId="9" borderId="78" xfId="0" applyNumberFormat="1" applyFont="1" applyFill="1" applyBorder="1" applyAlignment="1">
      <alignment horizontal="center" vertical="center" wrapText="1"/>
    </xf>
    <xf numFmtId="1" fontId="1" fillId="0" borderId="78" xfId="0" applyNumberFormat="1" applyFont="1" applyFill="1" applyBorder="1" applyAlignment="1">
      <alignment horizontal="center" vertical="center" wrapText="1"/>
    </xf>
    <xf numFmtId="0" fontId="3" fillId="0" borderId="79" xfId="0" applyFont="1" applyBorder="1" applyAlignment="1">
      <alignment horizontal="center" vertical="center" wrapText="1"/>
    </xf>
    <xf numFmtId="0" fontId="1" fillId="0" borderId="77" xfId="0" quotePrefix="1" applyNumberFormat="1" applyFont="1" applyFill="1" applyBorder="1" applyAlignment="1">
      <alignment horizontal="center" vertical="center" wrapText="1"/>
    </xf>
    <xf numFmtId="0" fontId="4" fillId="0" borderId="0" xfId="0" applyFont="1" applyFill="1" applyBorder="1" applyAlignment="1">
      <alignment vertical="center"/>
    </xf>
    <xf numFmtId="0" fontId="3" fillId="0" borderId="13" xfId="0" applyFont="1" applyBorder="1" applyAlignment="1">
      <alignment horizontal="center" vertical="center" wrapText="1"/>
    </xf>
    <xf numFmtId="0" fontId="1" fillId="0" borderId="24" xfId="0" applyFont="1" applyBorder="1" applyAlignment="1">
      <alignment horizontal="center" vertical="center"/>
    </xf>
    <xf numFmtId="0" fontId="1" fillId="0" borderId="24" xfId="0" quotePrefix="1" applyFont="1" applyFill="1" applyBorder="1" applyAlignment="1">
      <alignment horizontal="center" vertical="center" wrapText="1"/>
    </xf>
    <xf numFmtId="49" fontId="1" fillId="0" borderId="24"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1" fontId="46" fillId="9" borderId="25"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8" borderId="107" xfId="0" applyNumberFormat="1" applyFont="1" applyFill="1" applyBorder="1" applyAlignment="1">
      <alignment horizontal="center" vertical="center"/>
    </xf>
    <xf numFmtId="0" fontId="1" fillId="0" borderId="91" xfId="0" quotePrefix="1" applyFont="1" applyFill="1" applyBorder="1" applyAlignment="1">
      <alignment horizontal="center" vertical="center" wrapText="1"/>
    </xf>
    <xf numFmtId="164" fontId="1" fillId="8" borderId="24" xfId="0" applyNumberFormat="1" applyFont="1" applyFill="1" applyBorder="1" applyAlignment="1">
      <alignment horizontal="center" vertical="center"/>
    </xf>
    <xf numFmtId="1" fontId="6" fillId="10" borderId="27" xfId="0" applyNumberFormat="1" applyFont="1" applyFill="1" applyBorder="1" applyAlignment="1">
      <alignment horizontal="center" vertical="center"/>
    </xf>
    <xf numFmtId="1" fontId="6" fillId="10" borderId="12" xfId="0" applyNumberFormat="1" applyFont="1" applyFill="1" applyBorder="1" applyAlignment="1">
      <alignment horizontal="center" vertical="center"/>
    </xf>
    <xf numFmtId="0" fontId="6" fillId="10" borderId="14" xfId="0" applyFont="1" applyFill="1" applyBorder="1" applyAlignment="1">
      <alignment horizontal="center" vertical="center"/>
    </xf>
    <xf numFmtId="0" fontId="6" fillId="10" borderId="3" xfId="0" quotePrefix="1" applyFont="1" applyFill="1" applyBorder="1" applyAlignment="1">
      <alignment horizontal="center" vertical="center"/>
    </xf>
    <xf numFmtId="0" fontId="6" fillId="0" borderId="0" xfId="0" applyFont="1" applyBorder="1" applyAlignment="1">
      <alignment horizontal="centerContinuous" vertical="center"/>
    </xf>
    <xf numFmtId="0" fontId="6" fillId="8" borderId="0" xfId="0" applyFont="1" applyFill="1" applyBorder="1" applyAlignment="1">
      <alignment horizontal="centerContinuous" vertical="center"/>
    </xf>
    <xf numFmtId="0" fontId="1" fillId="0" borderId="37"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1" fillId="0" borderId="68" xfId="0" applyFont="1" applyFill="1" applyBorder="1" applyAlignment="1">
      <alignment horizontal="center" vertical="center"/>
    </xf>
    <xf numFmtId="0" fontId="1" fillId="0" borderId="74" xfId="0" applyNumberFormat="1" applyFont="1" applyFill="1" applyBorder="1" applyAlignment="1">
      <alignment horizontal="centerContinuous" vertical="center"/>
    </xf>
    <xf numFmtId="0" fontId="1" fillId="0" borderId="1" xfId="0" applyFont="1" applyFill="1" applyBorder="1" applyAlignment="1">
      <alignment horizontal="centerContinuous" vertical="center" shrinkToFit="1"/>
    </xf>
    <xf numFmtId="0" fontId="21" fillId="0" borderId="0" xfId="0" applyFont="1" applyFill="1" applyBorder="1" applyAlignment="1">
      <alignment horizontal="centerContinuous" vertical="center"/>
    </xf>
    <xf numFmtId="0" fontId="1" fillId="0" borderId="24" xfId="0" applyFont="1" applyFill="1" applyBorder="1" applyAlignment="1">
      <alignment horizontal="center" vertical="center"/>
    </xf>
    <xf numFmtId="49" fontId="1" fillId="0" borderId="25" xfId="0" applyNumberFormat="1" applyFont="1" applyFill="1" applyBorder="1" applyAlignment="1">
      <alignment horizontal="centerContinuous" vertical="center"/>
    </xf>
    <xf numFmtId="0" fontId="1" fillId="0" borderId="2" xfId="0" applyFont="1" applyFill="1" applyBorder="1" applyAlignment="1">
      <alignment horizontal="centerContinuous" vertical="center"/>
    </xf>
    <xf numFmtId="0" fontId="1" fillId="0" borderId="0" xfId="0" applyFont="1" applyFill="1" applyBorder="1" applyAlignment="1">
      <alignment vertical="center"/>
    </xf>
    <xf numFmtId="0" fontId="1" fillId="0" borderId="45" xfId="0" applyFont="1" applyFill="1" applyBorder="1" applyAlignment="1">
      <alignment horizontal="centerContinuous" vertical="center" shrinkToFit="1"/>
    </xf>
    <xf numFmtId="0" fontId="1" fillId="0" borderId="82" xfId="0" applyFont="1" applyFill="1" applyBorder="1" applyAlignment="1">
      <alignment horizontal="centerContinuous" vertical="center"/>
    </xf>
    <xf numFmtId="0" fontId="5" fillId="4" borderId="11" xfId="0" applyFont="1" applyFill="1" applyBorder="1" applyAlignment="1">
      <alignment horizontal="right" vertic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FF0000"/>
              </a:solidFill>
              <a:latin typeface="Times New Roman"/>
              <a:cs typeface="Times New Roman"/>
            </a:rPr>
            <a:t>Stoneskinned (90 points)</a:t>
          </a: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53340</xdr:colOff>
      <xdr:row>1</xdr:row>
      <xdr:rowOff>123825</xdr:rowOff>
    </xdr:from>
    <xdr:to>
      <xdr:col>3</xdr:col>
      <xdr:colOff>198120</xdr:colOff>
      <xdr:row>3</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tabSelected="1" zoomScaleNormal="100" workbookViewId="0"/>
  </sheetViews>
  <sheetFormatPr defaultColWidth="13" defaultRowHeight="15.6"/>
  <cols>
    <col min="1" max="1" width="15.09765625" style="80" customWidth="1"/>
    <col min="2" max="2" width="10" style="81" customWidth="1"/>
    <col min="3" max="3" width="6.09765625" style="81" customWidth="1"/>
    <col min="4" max="4" width="13.69921875" style="80" bestFit="1" customWidth="1"/>
    <col min="5" max="5" width="9.59765625" style="81" bestFit="1" customWidth="1"/>
    <col min="6" max="6" width="14.69921875" style="80" customWidth="1"/>
    <col min="7" max="7" width="17.09765625" style="81" customWidth="1"/>
    <col min="8" max="16384" width="13" style="27"/>
  </cols>
  <sheetData>
    <row r="1" spans="1:7" ht="29.4" thickTop="1" thickBot="1">
      <c r="A1" s="21" t="s">
        <v>113</v>
      </c>
      <c r="B1" s="22" t="s">
        <v>114</v>
      </c>
      <c r="C1" s="23"/>
      <c r="D1" s="24"/>
      <c r="E1" s="25"/>
      <c r="F1" s="24"/>
      <c r="G1" s="26" t="s">
        <v>171</v>
      </c>
    </row>
    <row r="2" spans="1:7" ht="17.399999999999999" thickTop="1">
      <c r="A2" s="28" t="s">
        <v>0</v>
      </c>
      <c r="B2" s="350" t="s">
        <v>115</v>
      </c>
      <c r="C2" s="350"/>
      <c r="D2" s="31" t="s">
        <v>116</v>
      </c>
      <c r="E2" s="30" t="s">
        <v>145</v>
      </c>
      <c r="F2" s="32"/>
      <c r="G2" s="33"/>
    </row>
    <row r="3" spans="1:7" ht="16.8">
      <c r="A3" s="34" t="s">
        <v>67</v>
      </c>
      <c r="B3" s="351"/>
      <c r="C3" s="351"/>
      <c r="D3" s="36" t="s">
        <v>68</v>
      </c>
      <c r="E3" s="35"/>
      <c r="F3" s="31"/>
      <c r="G3" s="33"/>
    </row>
    <row r="4" spans="1:7" ht="16.8">
      <c r="A4" s="28" t="s">
        <v>67</v>
      </c>
      <c r="B4" s="350" t="s">
        <v>102</v>
      </c>
      <c r="C4" s="350"/>
      <c r="D4" s="31" t="s">
        <v>68</v>
      </c>
      <c r="E4" s="30">
        <v>7</v>
      </c>
      <c r="F4" s="31"/>
      <c r="G4" s="33"/>
    </row>
    <row r="5" spans="1:7" ht="17.399999999999999" thickBot="1">
      <c r="A5" s="28" t="s">
        <v>69</v>
      </c>
      <c r="B5" s="350" t="s">
        <v>170</v>
      </c>
      <c r="C5" s="350"/>
      <c r="D5" s="31" t="s">
        <v>1</v>
      </c>
      <c r="E5" s="30" t="s">
        <v>101</v>
      </c>
      <c r="F5" s="31"/>
      <c r="G5" s="33"/>
    </row>
    <row r="6" spans="1:7" ht="17.399999999999999" thickTop="1">
      <c r="A6" s="37" t="s">
        <v>92</v>
      </c>
      <c r="B6" s="292" t="str">
        <f>CONCATENATE("+",E4)</f>
        <v>+7</v>
      </c>
      <c r="C6" s="38"/>
      <c r="D6" s="39" t="s">
        <v>79</v>
      </c>
      <c r="E6" s="40" t="s">
        <v>117</v>
      </c>
      <c r="F6" s="41"/>
      <c r="G6" s="33"/>
    </row>
    <row r="7" spans="1:7" ht="17.399999999999999" thickBot="1">
      <c r="A7" s="364" t="s">
        <v>103</v>
      </c>
      <c r="B7" s="42" t="str">
        <f>C9</f>
        <v>+7</v>
      </c>
      <c r="C7" s="43"/>
      <c r="D7" s="44" t="s">
        <v>108</v>
      </c>
      <c r="E7" s="45" t="s">
        <v>117</v>
      </c>
      <c r="F7" s="41"/>
      <c r="G7" s="33"/>
    </row>
    <row r="8" spans="1:7" ht="17.399999999999999" thickTop="1">
      <c r="A8" s="46" t="s">
        <v>2</v>
      </c>
      <c r="B8" s="348">
        <f>14+4</f>
        <v>18</v>
      </c>
      <c r="C8" s="47" t="str">
        <f t="shared" ref="C8:C13" si="0">IF(B8&gt;9.9,CONCATENATE("+",ROUNDDOWN((B8-10)/2,0)),ROUNDUP((B8-10)/2,0))</f>
        <v>+4</v>
      </c>
      <c r="D8" s="48" t="s">
        <v>77</v>
      </c>
      <c r="E8" s="49" t="s">
        <v>129</v>
      </c>
      <c r="F8" s="41"/>
      <c r="G8" s="33"/>
    </row>
    <row r="9" spans="1:7" ht="16.8">
      <c r="A9" s="50" t="s">
        <v>3</v>
      </c>
      <c r="B9" s="349">
        <f>20+4</f>
        <v>24</v>
      </c>
      <c r="C9" s="51" t="str">
        <f t="shared" si="0"/>
        <v>+7</v>
      </c>
      <c r="D9" s="52" t="s">
        <v>78</v>
      </c>
      <c r="E9" s="53">
        <f>SUM(Martial!G3:G20)+SUM(Equipment!C3:C16)</f>
        <v>23.6</v>
      </c>
      <c r="F9" s="41"/>
      <c r="G9" s="33"/>
    </row>
    <row r="10" spans="1:7" ht="16.8">
      <c r="A10" s="54" t="s">
        <v>14</v>
      </c>
      <c r="B10" s="55">
        <v>12</v>
      </c>
      <c r="C10" s="56" t="str">
        <f t="shared" si="0"/>
        <v>+1</v>
      </c>
      <c r="D10" s="52" t="s">
        <v>16</v>
      </c>
      <c r="E10" s="57">
        <f>ROUNDUP(((E3*0)*0.75)+((E4*10)*0.75)+(E3*C10),0)</f>
        <v>53</v>
      </c>
      <c r="F10" s="41"/>
      <c r="G10" s="33"/>
    </row>
    <row r="11" spans="1:7" ht="16.8">
      <c r="A11" s="58" t="s">
        <v>15</v>
      </c>
      <c r="B11" s="59">
        <v>10</v>
      </c>
      <c r="C11" s="51" t="str">
        <f t="shared" si="0"/>
        <v>+0</v>
      </c>
      <c r="D11" s="60" t="s">
        <v>93</v>
      </c>
      <c r="E11" s="346">
        <f>10+C9+4</f>
        <v>21</v>
      </c>
      <c r="F11" s="28"/>
      <c r="G11" s="33"/>
    </row>
    <row r="12" spans="1:7" ht="16.8">
      <c r="A12" s="61" t="s">
        <v>17</v>
      </c>
      <c r="B12" s="62">
        <v>10</v>
      </c>
      <c r="C12" s="51" t="str">
        <f t="shared" si="0"/>
        <v>+0</v>
      </c>
      <c r="D12" s="60" t="s">
        <v>107</v>
      </c>
      <c r="E12" s="346">
        <f>E13-C9</f>
        <v>20</v>
      </c>
      <c r="F12" s="41"/>
      <c r="G12" s="33"/>
    </row>
    <row r="13" spans="1:7" ht="17.399999999999999" thickBot="1">
      <c r="A13" s="63" t="s">
        <v>13</v>
      </c>
      <c r="B13" s="64">
        <v>10</v>
      </c>
      <c r="C13" s="65" t="str">
        <f t="shared" si="0"/>
        <v>+0</v>
      </c>
      <c r="D13" s="66" t="s">
        <v>66</v>
      </c>
      <c r="E13" s="347">
        <f>E11+SUM(Martial!B14:B15)</f>
        <v>27</v>
      </c>
      <c r="F13" s="41"/>
      <c r="G13" s="33"/>
    </row>
    <row r="14" spans="1:7" ht="24" thickTop="1" thickBot="1">
      <c r="A14" s="67" t="s">
        <v>27</v>
      </c>
      <c r="B14" s="68"/>
      <c r="C14" s="68"/>
      <c r="D14" s="69"/>
      <c r="E14" s="69"/>
      <c r="F14" s="69"/>
      <c r="G14" s="70"/>
    </row>
    <row r="15" spans="1:7" s="74" customFormat="1" ht="17.399999999999999" thickTop="1">
      <c r="A15" s="71"/>
      <c r="B15" s="72"/>
      <c r="C15" s="72"/>
      <c r="D15" s="72"/>
      <c r="E15" s="72"/>
      <c r="F15" s="72"/>
      <c r="G15" s="73"/>
    </row>
    <row r="16" spans="1:7" s="74" customFormat="1" ht="16.8">
      <c r="A16" s="75"/>
      <c r="B16" s="29"/>
      <c r="C16" s="29"/>
      <c r="D16" s="29"/>
      <c r="E16" s="29"/>
      <c r="F16" s="29"/>
      <c r="G16" s="76"/>
    </row>
    <row r="17" spans="1:8" s="74" customFormat="1" ht="16.8">
      <c r="A17" s="75"/>
      <c r="B17" s="29"/>
      <c r="C17" s="29"/>
      <c r="D17" s="29"/>
      <c r="E17" s="29"/>
      <c r="F17" s="29"/>
      <c r="G17" s="76"/>
    </row>
    <row r="18" spans="1:8" s="74" customFormat="1" ht="16.8">
      <c r="A18" s="75"/>
      <c r="B18" s="29"/>
      <c r="C18" s="29"/>
      <c r="D18" s="29"/>
      <c r="E18" s="29"/>
      <c r="F18" s="29"/>
      <c r="G18" s="76"/>
    </row>
    <row r="19" spans="1:8" s="74" customFormat="1" ht="16.8">
      <c r="A19" s="75"/>
      <c r="B19" s="29"/>
      <c r="C19" s="29"/>
      <c r="D19" s="29"/>
      <c r="E19" s="29"/>
      <c r="F19" s="29"/>
      <c r="G19" s="76"/>
    </row>
    <row r="20" spans="1:8" s="74" customFormat="1" ht="16.8">
      <c r="A20" s="75"/>
      <c r="B20" s="29"/>
      <c r="C20" s="29"/>
      <c r="D20" s="29"/>
      <c r="E20" s="29"/>
      <c r="F20" s="29"/>
      <c r="G20" s="76"/>
    </row>
    <row r="21" spans="1:8" s="74" customFormat="1" ht="16.8">
      <c r="A21" s="75"/>
      <c r="B21" s="29"/>
      <c r="C21" s="29"/>
      <c r="D21" s="29"/>
      <c r="E21" s="29"/>
      <c r="F21" s="29"/>
      <c r="G21" s="76"/>
    </row>
    <row r="22" spans="1:8" s="74" customFormat="1" ht="16.8">
      <c r="A22" s="75"/>
      <c r="B22" s="29"/>
      <c r="C22" s="29"/>
      <c r="D22" s="29"/>
      <c r="E22" s="29"/>
      <c r="F22" s="29"/>
      <c r="G22" s="76"/>
    </row>
    <row r="23" spans="1:8" ht="17.399999999999999" thickBot="1">
      <c r="A23" s="77"/>
      <c r="B23" s="78"/>
      <c r="C23" s="78"/>
      <c r="D23" s="78"/>
      <c r="E23" s="78"/>
      <c r="F23" s="78"/>
      <c r="G23" s="79"/>
      <c r="H23" s="74"/>
    </row>
    <row r="24" spans="1:8" ht="16.2" thickTop="1"/>
  </sheetData>
  <phoneticPr fontId="0" type="noConversion"/>
  <conditionalFormatting sqref="E9">
    <cfRule type="cellIs" dxfId="17" priority="4" stopIfTrue="1" operator="greaterThan">
      <formula>116</formula>
    </cfRule>
    <cfRule type="cellIs" dxfId="16"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showGridLines="0" workbookViewId="0">
      <pane ySplit="2" topLeftCell="A3" activePane="bottomLeft" state="frozen"/>
      <selection pane="bottomLeft" activeCell="A3" sqref="A3"/>
    </sheetView>
  </sheetViews>
  <sheetFormatPr defaultColWidth="13" defaultRowHeight="15.6"/>
  <cols>
    <col min="1" max="1" width="19.59765625" style="80" bestFit="1" customWidth="1"/>
    <col min="2" max="2" width="5.8984375" style="80" bestFit="1" customWidth="1"/>
    <col min="3" max="3" width="7.59765625" style="81" hidden="1" customWidth="1"/>
    <col min="4" max="4" width="5.8984375" style="81" hidden="1" customWidth="1"/>
    <col min="5" max="5" width="9.19921875" style="81" bestFit="1" customWidth="1"/>
    <col min="6" max="6" width="7.59765625" style="81" bestFit="1" customWidth="1"/>
    <col min="7" max="7" width="6" style="177" bestFit="1" customWidth="1"/>
    <col min="8" max="8" width="5.19921875" style="177" bestFit="1" customWidth="1"/>
    <col min="9" max="9" width="6.8984375" style="177" bestFit="1" customWidth="1"/>
    <col min="10" max="10" width="31.5" style="80" bestFit="1" customWidth="1"/>
    <col min="11" max="16384" width="13" style="27"/>
  </cols>
  <sheetData>
    <row r="1" spans="1:10" ht="23.4" thickBot="1">
      <c r="A1" s="82" t="s">
        <v>12</v>
      </c>
      <c r="B1" s="83"/>
      <c r="C1" s="83"/>
      <c r="D1" s="83"/>
      <c r="E1" s="83"/>
      <c r="F1" s="83"/>
      <c r="G1" s="84"/>
      <c r="H1" s="84"/>
      <c r="I1" s="84"/>
      <c r="J1" s="83"/>
    </row>
    <row r="2" spans="1:10" s="74" customFormat="1" ht="34.200000000000003" thickBot="1">
      <c r="A2" s="1" t="s">
        <v>4</v>
      </c>
      <c r="B2" s="2" t="s">
        <v>32</v>
      </c>
      <c r="C2" s="2" t="s">
        <v>39</v>
      </c>
      <c r="D2" s="2" t="s">
        <v>31</v>
      </c>
      <c r="E2" s="3" t="s">
        <v>64</v>
      </c>
      <c r="F2" s="3" t="s">
        <v>40</v>
      </c>
      <c r="G2" s="4" t="s">
        <v>70</v>
      </c>
      <c r="H2" s="16" t="s">
        <v>100</v>
      </c>
      <c r="I2" s="5" t="s">
        <v>86</v>
      </c>
      <c r="J2" s="6" t="s">
        <v>5</v>
      </c>
    </row>
    <row r="3" spans="1:10" s="74" customFormat="1" ht="16.8">
      <c r="A3" s="85" t="s">
        <v>72</v>
      </c>
      <c r="B3" s="86">
        <v>4</v>
      </c>
      <c r="C3" s="87" t="s">
        <v>34</v>
      </c>
      <c r="D3" s="87" t="str">
        <f>IF(C3="Str",'Personal File'!$C$8,IF(C3="Dex",'Personal File'!$C$9,IF(C3="Con",'Personal File'!$C$10,IF(C3="Int",'Personal File'!$C$11,IF(C3="Wis",'Personal File'!$C$12,IF(C3="Cha",'Personal File'!$C$13))))))</f>
        <v>+1</v>
      </c>
      <c r="E3" s="88" t="str">
        <f t="shared" ref="E3:E5" si="0">CONCATENATE(C3," (",D3,")")</f>
        <v>Con (+1)</v>
      </c>
      <c r="F3" s="89">
        <v>0</v>
      </c>
      <c r="G3" s="90">
        <f t="shared" ref="G3:G41" si="1">B3+D3+F3</f>
        <v>5</v>
      </c>
      <c r="H3" s="91">
        <f t="shared" ref="H3:H5" ca="1" si="2">RANDBETWEEN(1,20)</f>
        <v>3</v>
      </c>
      <c r="I3" s="92">
        <f t="shared" ref="I3:I5" ca="1" si="3">SUM(G3:H3)</f>
        <v>8</v>
      </c>
      <c r="J3" s="93" t="s">
        <v>166</v>
      </c>
    </row>
    <row r="4" spans="1:10" s="74" customFormat="1" ht="16.8">
      <c r="A4" s="94" t="s">
        <v>73</v>
      </c>
      <c r="B4" s="86">
        <v>1</v>
      </c>
      <c r="C4" s="87" t="s">
        <v>37</v>
      </c>
      <c r="D4" s="87" t="str">
        <f>IF(C4="Str",'Personal File'!$C$8,IF(C4="Dex",'Personal File'!$C$9,IF(C4="Con",'Personal File'!$C$10,IF(C4="Int",'Personal File'!$C$11,IF(C4="Wis",'Personal File'!$C$12,IF(C4="Cha",'Personal File'!$C$13))))))</f>
        <v>+7</v>
      </c>
      <c r="E4" s="95" t="str">
        <f t="shared" si="0"/>
        <v>Dex (+7)</v>
      </c>
      <c r="F4" s="89">
        <v>0</v>
      </c>
      <c r="G4" s="90">
        <f t="shared" si="1"/>
        <v>8</v>
      </c>
      <c r="H4" s="91">
        <f t="shared" ca="1" si="2"/>
        <v>15</v>
      </c>
      <c r="I4" s="92">
        <f t="shared" ca="1" si="3"/>
        <v>23</v>
      </c>
      <c r="J4" s="93" t="s">
        <v>166</v>
      </c>
    </row>
    <row r="5" spans="1:10" s="74" customFormat="1" ht="16.8">
      <c r="A5" s="96" t="s">
        <v>74</v>
      </c>
      <c r="B5" s="97">
        <v>1</v>
      </c>
      <c r="C5" s="98" t="s">
        <v>36</v>
      </c>
      <c r="D5" s="98" t="str">
        <f>IF(C5="Str",'Personal File'!$C$8,IF(C5="Dex",'Personal File'!$C$9,IF(C5="Con",'Personal File'!$C$10,IF(C5="Int",'Personal File'!$C$11,IF(C5="Wis",'Personal File'!$C$12,IF(C5="Cha",'Personal File'!$C$13))))))</f>
        <v>+0</v>
      </c>
      <c r="E5" s="99" t="str">
        <f t="shared" si="0"/>
        <v>Wis (+0)</v>
      </c>
      <c r="F5" s="100">
        <v>0</v>
      </c>
      <c r="G5" s="101">
        <f t="shared" si="1"/>
        <v>1</v>
      </c>
      <c r="H5" s="102">
        <f t="shared" ca="1" si="2"/>
        <v>3</v>
      </c>
      <c r="I5" s="103">
        <f t="shared" ca="1" si="3"/>
        <v>4</v>
      </c>
      <c r="J5" s="104" t="s">
        <v>166</v>
      </c>
    </row>
    <row r="6" spans="1:10" s="112" customFormat="1" ht="16.8">
      <c r="A6" s="105" t="s">
        <v>41</v>
      </c>
      <c r="B6" s="106">
        <v>0</v>
      </c>
      <c r="C6" s="107" t="s">
        <v>35</v>
      </c>
      <c r="D6" s="108" t="str">
        <f>IF(C6="Str",'Personal File'!$C$8,IF(C6="Dex",'Personal File'!$C$9,IF(C6="Con",'Personal File'!$C$10,IF(C6="Int",'Personal File'!$C$11,IF(C6="Wis",'Personal File'!$C$12,IF(C6="Cha",'Personal File'!$C$13))))))</f>
        <v>+0</v>
      </c>
      <c r="E6" s="109" t="str">
        <f t="shared" ref="E6:E41" si="4">CONCATENATE(C6," (",D6,")")</f>
        <v>Int (+0)</v>
      </c>
      <c r="F6" s="110" t="s">
        <v>65</v>
      </c>
      <c r="G6" s="110">
        <f t="shared" si="1"/>
        <v>0</v>
      </c>
      <c r="H6" s="91">
        <f ca="1">RANDBETWEEN(1,20)</f>
        <v>7</v>
      </c>
      <c r="I6" s="110">
        <f t="shared" ref="I6:I7" ca="1" si="5">SUM(G6:H6)</f>
        <v>7</v>
      </c>
      <c r="J6" s="111"/>
    </row>
    <row r="7" spans="1:10" s="117" customFormat="1" ht="16.8">
      <c r="A7" s="113" t="s">
        <v>42</v>
      </c>
      <c r="B7" s="106">
        <v>0</v>
      </c>
      <c r="C7" s="114" t="s">
        <v>37</v>
      </c>
      <c r="D7" s="115" t="str">
        <f>IF(C7="Str",'Personal File'!$C$8,IF(C7="Dex",'Personal File'!$C$9,IF(C7="Con",'Personal File'!$C$10,IF(C7="Int",'Personal File'!$C$11,IF(C7="Wis",'Personal File'!$C$12,IF(C7="Cha",'Personal File'!$C$13))))))</f>
        <v>+7</v>
      </c>
      <c r="E7" s="95" t="str">
        <f t="shared" si="4"/>
        <v>Dex (+7)</v>
      </c>
      <c r="F7" s="116">
        <f>SUM(Martial!$D$14:$D$15)</f>
        <v>0</v>
      </c>
      <c r="G7" s="110">
        <f t="shared" si="1"/>
        <v>7</v>
      </c>
      <c r="H7" s="91">
        <f ca="1">RANDBETWEEN(1,20)</f>
        <v>5</v>
      </c>
      <c r="I7" s="110">
        <f t="shared" ca="1" si="5"/>
        <v>12</v>
      </c>
      <c r="J7" s="111"/>
    </row>
    <row r="8" spans="1:10" s="122" customFormat="1" ht="16.8">
      <c r="A8" s="118" t="s">
        <v>43</v>
      </c>
      <c r="B8" s="106">
        <v>0</v>
      </c>
      <c r="C8" s="119" t="s">
        <v>33</v>
      </c>
      <c r="D8" s="120" t="str">
        <f>IF(C8="Str",'Personal File'!$C$8,IF(C8="Dex",'Personal File'!$C$9,IF(C8="Con",'Personal File'!$C$10,IF(C8="Int",'Personal File'!$C$11,IF(C8="Wis",'Personal File'!$C$12,IF(C8="Cha",'Personal File'!$C$13))))))</f>
        <v>+0</v>
      </c>
      <c r="E8" s="121" t="str">
        <f t="shared" si="4"/>
        <v>Cha (+0)</v>
      </c>
      <c r="F8" s="110" t="s">
        <v>65</v>
      </c>
      <c r="G8" s="110">
        <f t="shared" si="1"/>
        <v>0</v>
      </c>
      <c r="H8" s="91">
        <f t="shared" ref="H8:H41" ca="1" si="6">RANDBETWEEN(1,20)</f>
        <v>8</v>
      </c>
      <c r="I8" s="110">
        <f t="shared" ref="I8:I41" ca="1" si="7">SUM(G8:H8)</f>
        <v>8</v>
      </c>
      <c r="J8" s="111"/>
    </row>
    <row r="9" spans="1:10" s="127" customFormat="1" ht="16.8">
      <c r="A9" s="123" t="s">
        <v>44</v>
      </c>
      <c r="B9" s="106">
        <v>0</v>
      </c>
      <c r="C9" s="124" t="s">
        <v>38</v>
      </c>
      <c r="D9" s="125" t="str">
        <f>IF(C9="Str",'Personal File'!$C$8,IF(C9="Dex",'Personal File'!$C$9,IF(C9="Con",'Personal File'!$C$10,IF(C9="Int",'Personal File'!$C$11,IF(C9="Wis",'Personal File'!$C$12,IF(C9="Cha",'Personal File'!$C$13))))))</f>
        <v>+4</v>
      </c>
      <c r="E9" s="126" t="str">
        <f t="shared" si="4"/>
        <v>Str (+4)</v>
      </c>
      <c r="F9" s="116">
        <f>SUM(Martial!$D$14:$D$15)</f>
        <v>0</v>
      </c>
      <c r="G9" s="110">
        <f t="shared" si="1"/>
        <v>4</v>
      </c>
      <c r="H9" s="91">
        <f t="shared" ca="1" si="6"/>
        <v>14</v>
      </c>
      <c r="I9" s="110">
        <f t="shared" ca="1" si="7"/>
        <v>18</v>
      </c>
      <c r="J9" s="111"/>
    </row>
    <row r="10" spans="1:10" s="127" customFormat="1" ht="16.8">
      <c r="A10" s="128" t="s">
        <v>18</v>
      </c>
      <c r="B10" s="106">
        <v>0</v>
      </c>
      <c r="C10" s="129" t="s">
        <v>34</v>
      </c>
      <c r="D10" s="130" t="str">
        <f>IF(C10="Str",'Personal File'!$C$8,IF(C10="Dex",'Personal File'!$C$9,IF(C10="Con",'Personal File'!$C$10,IF(C10="Int",'Personal File'!$C$11,IF(C10="Wis",'Personal File'!$C$12,IF(C10="Cha",'Personal File'!$C$13))))))</f>
        <v>+1</v>
      </c>
      <c r="E10" s="131" t="str">
        <f t="shared" si="4"/>
        <v>Con (+1)</v>
      </c>
      <c r="F10" s="110" t="s">
        <v>65</v>
      </c>
      <c r="G10" s="110">
        <f t="shared" si="1"/>
        <v>1</v>
      </c>
      <c r="H10" s="91">
        <f t="shared" ca="1" si="6"/>
        <v>9</v>
      </c>
      <c r="I10" s="110">
        <f t="shared" ca="1" si="7"/>
        <v>10</v>
      </c>
      <c r="J10" s="111"/>
    </row>
    <row r="11" spans="1:10" s="112" customFormat="1" ht="16.8">
      <c r="A11" s="159" t="s">
        <v>156</v>
      </c>
      <c r="B11" s="145">
        <v>2</v>
      </c>
      <c r="C11" s="160" t="s">
        <v>35</v>
      </c>
      <c r="D11" s="161" t="str">
        <f>IF(C11="Str",'Personal File'!$C$8,IF(C11="Dex",'Personal File'!$C$9,IF(C11="Con",'Personal File'!$C$10,IF(C11="Int",'Personal File'!$C$11,IF(C11="Wis",'Personal File'!$C$12,IF(C11="Cha",'Personal File'!$C$13))))))</f>
        <v>+0</v>
      </c>
      <c r="E11" s="162" t="str">
        <f t="shared" ref="E11" si="8">CONCATENATE(C11," (",D11,")")</f>
        <v>Int (+0)</v>
      </c>
      <c r="F11" s="149" t="s">
        <v>65</v>
      </c>
      <c r="G11" s="149">
        <f t="shared" si="1"/>
        <v>2</v>
      </c>
      <c r="H11" s="91">
        <f t="shared" ca="1" si="6"/>
        <v>5</v>
      </c>
      <c r="I11" s="149">
        <f t="shared" ca="1" si="7"/>
        <v>7</v>
      </c>
      <c r="J11" s="150"/>
    </row>
    <row r="12" spans="1:10" s="139" customFormat="1" ht="16.8">
      <c r="A12" s="132" t="s">
        <v>45</v>
      </c>
      <c r="B12" s="133">
        <v>0</v>
      </c>
      <c r="C12" s="134" t="s">
        <v>35</v>
      </c>
      <c r="D12" s="135" t="str">
        <f>IF(C12="Str",'Personal File'!$C$8,IF(C12="Dex",'Personal File'!$C$9,IF(C12="Con",'Personal File'!$C$10,IF(C12="Int",'Personal File'!$C$11,IF(C12="Wis",'Personal File'!$C$12,IF(C12="Cha",'Personal File'!$C$13))))))</f>
        <v>+0</v>
      </c>
      <c r="E12" s="136" t="str">
        <f t="shared" si="4"/>
        <v>Int (+0)</v>
      </c>
      <c r="F12" s="137" t="s">
        <v>65</v>
      </c>
      <c r="G12" s="137">
        <f t="shared" si="1"/>
        <v>0</v>
      </c>
      <c r="H12" s="91">
        <f t="shared" ca="1" si="6"/>
        <v>7</v>
      </c>
      <c r="I12" s="137">
        <f t="shared" ca="1" si="7"/>
        <v>7</v>
      </c>
      <c r="J12" s="138"/>
    </row>
    <row r="13" spans="1:10" s="117" customFormat="1" ht="16.8">
      <c r="A13" s="118" t="s">
        <v>46</v>
      </c>
      <c r="B13" s="106">
        <v>0</v>
      </c>
      <c r="C13" s="119" t="s">
        <v>33</v>
      </c>
      <c r="D13" s="120" t="str">
        <f>IF(C13="Str",'Personal File'!$C$8,IF(C13="Dex",'Personal File'!$C$9,IF(C13="Con",'Personal File'!$C$10,IF(C13="Int",'Personal File'!$C$11,IF(C13="Wis",'Personal File'!$C$12,IF(C13="Cha",'Personal File'!$C$13))))))</f>
        <v>+0</v>
      </c>
      <c r="E13" s="121" t="str">
        <f t="shared" si="4"/>
        <v>Cha (+0)</v>
      </c>
      <c r="F13" s="110" t="s">
        <v>65</v>
      </c>
      <c r="G13" s="110">
        <f t="shared" si="1"/>
        <v>0</v>
      </c>
      <c r="H13" s="91">
        <f t="shared" ca="1" si="6"/>
        <v>19</v>
      </c>
      <c r="I13" s="110">
        <f t="shared" ca="1" si="7"/>
        <v>19</v>
      </c>
      <c r="J13" s="111"/>
    </row>
    <row r="14" spans="1:10" s="117" customFormat="1" ht="16.8">
      <c r="A14" s="132" t="s">
        <v>47</v>
      </c>
      <c r="B14" s="133">
        <v>0</v>
      </c>
      <c r="C14" s="134" t="s">
        <v>35</v>
      </c>
      <c r="D14" s="135" t="str">
        <f>IF(C14="Str",'Personal File'!$C$8,IF(C14="Dex",'Personal File'!$C$9,IF(C14="Con",'Personal File'!$C$10,IF(C14="Int",'Personal File'!$C$11,IF(C14="Wis",'Personal File'!$C$12,IF(C14="Cha",'Personal File'!$C$13))))))</f>
        <v>+0</v>
      </c>
      <c r="E14" s="136" t="str">
        <f t="shared" si="4"/>
        <v>Int (+0)</v>
      </c>
      <c r="F14" s="137" t="s">
        <v>65</v>
      </c>
      <c r="G14" s="137">
        <f t="shared" si="1"/>
        <v>0</v>
      </c>
      <c r="H14" s="91">
        <f t="shared" ca="1" si="6"/>
        <v>18</v>
      </c>
      <c r="I14" s="137">
        <f t="shared" ca="1" si="7"/>
        <v>18</v>
      </c>
      <c r="J14" s="138"/>
    </row>
    <row r="15" spans="1:10" s="117" customFormat="1" ht="16.8">
      <c r="A15" s="118" t="s">
        <v>48</v>
      </c>
      <c r="B15" s="106">
        <v>0</v>
      </c>
      <c r="C15" s="119" t="s">
        <v>33</v>
      </c>
      <c r="D15" s="120" t="str">
        <f>IF(C15="Str",'Personal File'!$C$8,IF(C15="Dex",'Personal File'!$C$9,IF(C15="Con",'Personal File'!$C$10,IF(C15="Int",'Personal File'!$C$11,IF(C15="Wis",'Personal File'!$C$12,IF(C15="Cha",'Personal File'!$C$13))))))</f>
        <v>+0</v>
      </c>
      <c r="E15" s="121" t="str">
        <f t="shared" si="4"/>
        <v>Cha (+0)</v>
      </c>
      <c r="F15" s="110" t="s">
        <v>65</v>
      </c>
      <c r="G15" s="110">
        <f t="shared" si="1"/>
        <v>0</v>
      </c>
      <c r="H15" s="91">
        <f t="shared" ca="1" si="6"/>
        <v>1</v>
      </c>
      <c r="I15" s="110">
        <f t="shared" ca="1" si="7"/>
        <v>1</v>
      </c>
      <c r="J15" s="111"/>
    </row>
    <row r="16" spans="1:10" s="117" customFormat="1" ht="16.8">
      <c r="A16" s="113" t="s">
        <v>49</v>
      </c>
      <c r="B16" s="106">
        <v>0</v>
      </c>
      <c r="C16" s="114" t="s">
        <v>37</v>
      </c>
      <c r="D16" s="115" t="str">
        <f>IF(C16="Str",'Personal File'!$C$8,IF(C16="Dex",'Personal File'!$C$9,IF(C16="Con",'Personal File'!$C$10,IF(C16="Int",'Personal File'!$C$11,IF(C16="Wis",'Personal File'!$C$12,IF(C16="Cha",'Personal File'!$C$13))))))</f>
        <v>+7</v>
      </c>
      <c r="E16" s="95" t="str">
        <f t="shared" si="4"/>
        <v>Dex (+7)</v>
      </c>
      <c r="F16" s="116">
        <f>SUM(Martial!$D$14:$D$15)</f>
        <v>0</v>
      </c>
      <c r="G16" s="110">
        <f t="shared" si="1"/>
        <v>7</v>
      </c>
      <c r="H16" s="91">
        <f t="shared" ca="1" si="6"/>
        <v>18</v>
      </c>
      <c r="I16" s="110">
        <f t="shared" ca="1" si="7"/>
        <v>25</v>
      </c>
      <c r="J16" s="111"/>
    </row>
    <row r="17" spans="1:10" s="117" customFormat="1" ht="16.8">
      <c r="A17" s="105" t="s">
        <v>50</v>
      </c>
      <c r="B17" s="106">
        <v>0</v>
      </c>
      <c r="C17" s="107" t="s">
        <v>35</v>
      </c>
      <c r="D17" s="108" t="str">
        <f>IF(C17="Str",'Personal File'!$C$8,IF(C17="Dex",'Personal File'!$C$9,IF(C17="Con",'Personal File'!$C$10,IF(C17="Int",'Personal File'!$C$11,IF(C17="Wis",'Personal File'!$C$12,IF(C17="Cha",'Personal File'!$C$13))))))</f>
        <v>+0</v>
      </c>
      <c r="E17" s="109" t="str">
        <f t="shared" si="4"/>
        <v>Int (+0)</v>
      </c>
      <c r="F17" s="110" t="s">
        <v>65</v>
      </c>
      <c r="G17" s="110">
        <f t="shared" si="1"/>
        <v>0</v>
      </c>
      <c r="H17" s="91">
        <f t="shared" ca="1" si="6"/>
        <v>20</v>
      </c>
      <c r="I17" s="110">
        <f t="shared" ca="1" si="7"/>
        <v>20</v>
      </c>
      <c r="J17" s="111"/>
    </row>
    <row r="18" spans="1:10" s="117" customFormat="1" ht="16.8">
      <c r="A18" s="118" t="s">
        <v>51</v>
      </c>
      <c r="B18" s="106">
        <v>0</v>
      </c>
      <c r="C18" s="119" t="s">
        <v>33</v>
      </c>
      <c r="D18" s="120" t="str">
        <f>IF(C18="Str",'Personal File'!$C$8,IF(C18="Dex",'Personal File'!$C$9,IF(C18="Con",'Personal File'!$C$10,IF(C18="Int",'Personal File'!$C$11,IF(C18="Wis",'Personal File'!$C$12,IF(C18="Cha",'Personal File'!$C$13))))))</f>
        <v>+0</v>
      </c>
      <c r="E18" s="121" t="str">
        <f t="shared" si="4"/>
        <v>Cha (+0)</v>
      </c>
      <c r="F18" s="110" t="s">
        <v>65</v>
      </c>
      <c r="G18" s="110">
        <f t="shared" si="1"/>
        <v>0</v>
      </c>
      <c r="H18" s="91">
        <f t="shared" ca="1" si="6"/>
        <v>2</v>
      </c>
      <c r="I18" s="110">
        <f t="shared" ca="1" si="7"/>
        <v>2</v>
      </c>
      <c r="J18" s="111"/>
    </row>
    <row r="19" spans="1:10" s="117" customFormat="1" ht="16.8">
      <c r="A19" s="118" t="s">
        <v>20</v>
      </c>
      <c r="B19" s="106">
        <v>0</v>
      </c>
      <c r="C19" s="119" t="s">
        <v>33</v>
      </c>
      <c r="D19" s="120" t="str">
        <f>IF(C19="Str",'Personal File'!$C$8,IF(C19="Dex",'Personal File'!$C$9,IF(C19="Con",'Personal File'!$C$10,IF(C19="Int",'Personal File'!$C$11,IF(C19="Wis",'Personal File'!$C$12,IF(C19="Cha",'Personal File'!$C$13))))))</f>
        <v>+0</v>
      </c>
      <c r="E19" s="121" t="str">
        <f t="shared" si="4"/>
        <v>Cha (+0)</v>
      </c>
      <c r="F19" s="110" t="s">
        <v>65</v>
      </c>
      <c r="G19" s="110">
        <f t="shared" si="1"/>
        <v>0</v>
      </c>
      <c r="H19" s="91">
        <f t="shared" ca="1" si="6"/>
        <v>7</v>
      </c>
      <c r="I19" s="110">
        <f t="shared" ca="1" si="7"/>
        <v>7</v>
      </c>
      <c r="J19" s="111"/>
    </row>
    <row r="20" spans="1:10" s="117" customFormat="1" ht="16.8">
      <c r="A20" s="140" t="s">
        <v>52</v>
      </c>
      <c r="B20" s="106">
        <v>0</v>
      </c>
      <c r="C20" s="141" t="s">
        <v>36</v>
      </c>
      <c r="D20" s="142" t="str">
        <f>IF(C20="Str",'Personal File'!$C$8,IF(C20="Dex",'Personal File'!$C$9,IF(C20="Con",'Personal File'!$C$10,IF(C20="Int",'Personal File'!$C$11,IF(C20="Wis",'Personal File'!$C$12,IF(C20="Cha",'Personal File'!$C$13))))))</f>
        <v>+0</v>
      </c>
      <c r="E20" s="143" t="str">
        <f t="shared" si="4"/>
        <v>Wis (+0)</v>
      </c>
      <c r="F20" s="110" t="s">
        <v>65</v>
      </c>
      <c r="G20" s="110">
        <f t="shared" si="1"/>
        <v>0</v>
      </c>
      <c r="H20" s="91">
        <f t="shared" ca="1" si="6"/>
        <v>16</v>
      </c>
      <c r="I20" s="110">
        <f t="shared" ca="1" si="7"/>
        <v>16</v>
      </c>
      <c r="J20" s="111"/>
    </row>
    <row r="21" spans="1:10" s="117" customFormat="1" ht="16.8">
      <c r="A21" s="113" t="s">
        <v>53</v>
      </c>
      <c r="B21" s="106">
        <v>0</v>
      </c>
      <c r="C21" s="114" t="s">
        <v>37</v>
      </c>
      <c r="D21" s="115" t="str">
        <f>IF(C21="Str",'Personal File'!$C$8,IF(C21="Dex",'Personal File'!$C$9,IF(C21="Con",'Personal File'!$C$10,IF(C21="Int",'Personal File'!$C$11,IF(C21="Wis",'Personal File'!$C$12,IF(C21="Cha",'Personal File'!$C$13))))))</f>
        <v>+7</v>
      </c>
      <c r="E21" s="95" t="str">
        <f t="shared" si="4"/>
        <v>Dex (+7)</v>
      </c>
      <c r="F21" s="116">
        <f>SUM(Martial!$D$14:$D$15)</f>
        <v>0</v>
      </c>
      <c r="G21" s="110">
        <f t="shared" si="1"/>
        <v>7</v>
      </c>
      <c r="H21" s="91">
        <f t="shared" ca="1" si="6"/>
        <v>2</v>
      </c>
      <c r="I21" s="110">
        <f t="shared" ca="1" si="7"/>
        <v>9</v>
      </c>
      <c r="J21" s="111"/>
    </row>
    <row r="22" spans="1:10" s="117" customFormat="1" ht="16.8">
      <c r="A22" s="118" t="s">
        <v>54</v>
      </c>
      <c r="B22" s="106">
        <v>0</v>
      </c>
      <c r="C22" s="119" t="s">
        <v>33</v>
      </c>
      <c r="D22" s="120" t="str">
        <f>IF(C22="Str",'Personal File'!$C$8,IF(C22="Dex",'Personal File'!$C$9,IF(C22="Con",'Personal File'!$C$10,IF(C22="Int",'Personal File'!$C$11,IF(C22="Wis",'Personal File'!$C$12,IF(C22="Cha",'Personal File'!$C$13))))))</f>
        <v>+0</v>
      </c>
      <c r="E22" s="121" t="str">
        <f t="shared" si="4"/>
        <v>Cha (+0)</v>
      </c>
      <c r="F22" s="110" t="s">
        <v>65</v>
      </c>
      <c r="G22" s="110">
        <f t="shared" si="1"/>
        <v>0</v>
      </c>
      <c r="H22" s="91">
        <f t="shared" ca="1" si="6"/>
        <v>9</v>
      </c>
      <c r="I22" s="110">
        <f t="shared" ca="1" si="7"/>
        <v>9</v>
      </c>
      <c r="J22" s="111"/>
    </row>
    <row r="23" spans="1:10" s="117" customFormat="1" ht="16.8">
      <c r="A23" s="123" t="s">
        <v>55</v>
      </c>
      <c r="B23" s="106">
        <v>0</v>
      </c>
      <c r="C23" s="124" t="s">
        <v>38</v>
      </c>
      <c r="D23" s="125" t="str">
        <f>IF(C23="Str",'Personal File'!$C$8,IF(C23="Dex",'Personal File'!$C$9,IF(C23="Con",'Personal File'!$C$10,IF(C23="Int",'Personal File'!$C$11,IF(C23="Wis",'Personal File'!$C$12,IF(C23="Cha",'Personal File'!$C$13))))))</f>
        <v>+4</v>
      </c>
      <c r="E23" s="126" t="str">
        <f t="shared" si="4"/>
        <v>Str (+4)</v>
      </c>
      <c r="F23" s="116">
        <f>SUM(Martial!$D$14:$D$15)</f>
        <v>0</v>
      </c>
      <c r="G23" s="110">
        <f t="shared" si="1"/>
        <v>4</v>
      </c>
      <c r="H23" s="91">
        <f t="shared" ca="1" si="6"/>
        <v>17</v>
      </c>
      <c r="I23" s="110">
        <f t="shared" ca="1" si="7"/>
        <v>21</v>
      </c>
      <c r="J23" s="111"/>
    </row>
    <row r="24" spans="1:10" s="117" customFormat="1" ht="16.8">
      <c r="A24" s="132" t="s">
        <v>97</v>
      </c>
      <c r="B24" s="133">
        <v>0</v>
      </c>
      <c r="C24" s="134" t="s">
        <v>35</v>
      </c>
      <c r="D24" s="135" t="str">
        <f>IF(C24="Str",'Personal File'!$C$8,IF(C24="Dex",'Personal File'!$C$9,IF(C24="Con",'Personal File'!$C$10,IF(C24="Int",'Personal File'!$C$11,IF(C24="Wis",'Personal File'!$C$12,IF(C24="Cha",'Personal File'!$C$13))))))</f>
        <v>+0</v>
      </c>
      <c r="E24" s="136" t="str">
        <f t="shared" si="4"/>
        <v>Int (+0)</v>
      </c>
      <c r="F24" s="137" t="s">
        <v>65</v>
      </c>
      <c r="G24" s="137">
        <f t="shared" si="1"/>
        <v>0</v>
      </c>
      <c r="H24" s="91">
        <f t="shared" ca="1" si="6"/>
        <v>8</v>
      </c>
      <c r="I24" s="137">
        <f t="shared" ca="1" si="7"/>
        <v>8</v>
      </c>
      <c r="J24" s="138"/>
    </row>
    <row r="25" spans="1:10" s="117" customFormat="1" ht="16.8">
      <c r="A25" s="144" t="s">
        <v>56</v>
      </c>
      <c r="B25" s="145">
        <v>4</v>
      </c>
      <c r="C25" s="146" t="s">
        <v>36</v>
      </c>
      <c r="D25" s="147" t="str">
        <f>IF(C25="Str",'Personal File'!$C$8,IF(C25="Dex",'Personal File'!$C$9,IF(C25="Con",'Personal File'!$C$10,IF(C25="Int",'Personal File'!$C$11,IF(C25="Wis",'Personal File'!$C$12,IF(C25="Cha",'Personal File'!$C$13))))))</f>
        <v>+0</v>
      </c>
      <c r="E25" s="148" t="str">
        <f t="shared" si="4"/>
        <v>Wis (+0)</v>
      </c>
      <c r="F25" s="149" t="s">
        <v>65</v>
      </c>
      <c r="G25" s="149">
        <f t="shared" si="1"/>
        <v>4</v>
      </c>
      <c r="H25" s="91">
        <f t="shared" ca="1" si="6"/>
        <v>7</v>
      </c>
      <c r="I25" s="149">
        <f t="shared" ca="1" si="7"/>
        <v>11</v>
      </c>
      <c r="J25" s="150"/>
    </row>
    <row r="26" spans="1:10" s="117" customFormat="1" ht="16.8">
      <c r="A26" s="113" t="s">
        <v>21</v>
      </c>
      <c r="B26" s="106">
        <v>0</v>
      </c>
      <c r="C26" s="114" t="s">
        <v>37</v>
      </c>
      <c r="D26" s="115" t="str">
        <f>IF(C26="Str",'Personal File'!$C$8,IF(C26="Dex",'Personal File'!$C$9,IF(C26="Con",'Personal File'!$C$10,IF(C26="Int",'Personal File'!$C$11,IF(C26="Wis",'Personal File'!$C$12,IF(C26="Cha",'Personal File'!$C$13))))))</f>
        <v>+7</v>
      </c>
      <c r="E26" s="95" t="str">
        <f t="shared" si="4"/>
        <v>Dex (+7)</v>
      </c>
      <c r="F26" s="116">
        <f>SUM(Martial!$D$14:$D$15)</f>
        <v>0</v>
      </c>
      <c r="G26" s="110">
        <f t="shared" si="1"/>
        <v>7</v>
      </c>
      <c r="H26" s="91">
        <f t="shared" ca="1" si="6"/>
        <v>20</v>
      </c>
      <c r="I26" s="110">
        <f t="shared" ca="1" si="7"/>
        <v>27</v>
      </c>
      <c r="J26" s="111"/>
    </row>
    <row r="27" spans="1:10" s="117" customFormat="1" ht="16.8">
      <c r="A27" s="151" t="s">
        <v>57</v>
      </c>
      <c r="B27" s="133">
        <v>0</v>
      </c>
      <c r="C27" s="152" t="s">
        <v>37</v>
      </c>
      <c r="D27" s="153" t="str">
        <f>IF(C27="Str",'Personal File'!$C$8,IF(C27="Dex",'Personal File'!$C$9,IF(C27="Con",'Personal File'!$C$10,IF(C27="Int",'Personal File'!$C$11,IF(C27="Wis",'Personal File'!$C$12,IF(C27="Cha",'Personal File'!$C$13))))))</f>
        <v>+7</v>
      </c>
      <c r="E27" s="154" t="str">
        <f t="shared" si="4"/>
        <v>Dex (+7)</v>
      </c>
      <c r="F27" s="137" t="s">
        <v>65</v>
      </c>
      <c r="G27" s="137">
        <f t="shared" si="1"/>
        <v>7</v>
      </c>
      <c r="H27" s="91">
        <f t="shared" ca="1" si="6"/>
        <v>4</v>
      </c>
      <c r="I27" s="137">
        <f t="shared" ca="1" si="7"/>
        <v>11</v>
      </c>
      <c r="J27" s="138"/>
    </row>
    <row r="28" spans="1:10" ht="16.8">
      <c r="A28" s="118" t="s">
        <v>109</v>
      </c>
      <c r="B28" s="106">
        <v>0</v>
      </c>
      <c r="C28" s="119" t="s">
        <v>33</v>
      </c>
      <c r="D28" s="120" t="str">
        <f>IF(C28="Str",'Personal File'!$C$8,IF(C28="Dex",'Personal File'!$C$9,IF(C28="Con",'Personal File'!$C$10,IF(C28="Int",'Personal File'!$C$11,IF(C28="Wis",'Personal File'!$C$12,IF(C28="Cha",'Personal File'!$C$13))))))</f>
        <v>+0</v>
      </c>
      <c r="E28" s="121" t="str">
        <f t="shared" si="4"/>
        <v>Cha (+0)</v>
      </c>
      <c r="F28" s="110" t="s">
        <v>65</v>
      </c>
      <c r="G28" s="110">
        <f t="shared" si="1"/>
        <v>0</v>
      </c>
      <c r="H28" s="91">
        <f t="shared" ca="1" si="6"/>
        <v>7</v>
      </c>
      <c r="I28" s="110">
        <f t="shared" ca="1" si="7"/>
        <v>7</v>
      </c>
      <c r="J28" s="111"/>
    </row>
    <row r="29" spans="1:10" ht="16.8">
      <c r="A29" s="155" t="s">
        <v>110</v>
      </c>
      <c r="B29" s="133">
        <v>0</v>
      </c>
      <c r="C29" s="156" t="s">
        <v>36</v>
      </c>
      <c r="D29" s="157" t="str">
        <f>IF(C29="Str",'Personal File'!$C$8,IF(C29="Dex",'Personal File'!$C$9,IF(C29="Con",'Personal File'!$C$10,IF(C29="Int",'Personal File'!$C$11,IF(C29="Wis",'Personal File'!$C$12,IF(C29="Cha",'Personal File'!$C$13))))))</f>
        <v>+0</v>
      </c>
      <c r="E29" s="158" t="str">
        <f t="shared" ref="E29" si="9">CONCATENATE(C29," (",D29,")")</f>
        <v>Wis (+0)</v>
      </c>
      <c r="F29" s="137" t="s">
        <v>65</v>
      </c>
      <c r="G29" s="137">
        <f t="shared" si="1"/>
        <v>0</v>
      </c>
      <c r="H29" s="91">
        <f t="shared" ca="1" si="6"/>
        <v>18</v>
      </c>
      <c r="I29" s="137">
        <f t="shared" ca="1" si="7"/>
        <v>18</v>
      </c>
      <c r="J29" s="138"/>
    </row>
    <row r="30" spans="1:10" ht="16.8">
      <c r="A30" s="113" t="s">
        <v>22</v>
      </c>
      <c r="B30" s="106">
        <v>0</v>
      </c>
      <c r="C30" s="114" t="s">
        <v>37</v>
      </c>
      <c r="D30" s="115" t="str">
        <f>IF(C30="Str",'Personal File'!$C$8,IF(C30="Dex",'Personal File'!$C$9,IF(C30="Con",'Personal File'!$C$10,IF(C30="Int",'Personal File'!$C$11,IF(C30="Wis",'Personal File'!$C$12,IF(C30="Cha",'Personal File'!$C$13))))))</f>
        <v>+7</v>
      </c>
      <c r="E30" s="95" t="str">
        <f t="shared" si="4"/>
        <v>Dex (+7)</v>
      </c>
      <c r="F30" s="110" t="s">
        <v>65</v>
      </c>
      <c r="G30" s="110">
        <f t="shared" si="1"/>
        <v>7</v>
      </c>
      <c r="H30" s="91">
        <f t="shared" ca="1" si="6"/>
        <v>1</v>
      </c>
      <c r="I30" s="110">
        <f t="shared" ca="1" si="7"/>
        <v>8</v>
      </c>
      <c r="J30" s="111"/>
    </row>
    <row r="31" spans="1:10" ht="16.8">
      <c r="A31" s="159" t="s">
        <v>23</v>
      </c>
      <c r="B31" s="145">
        <v>1</v>
      </c>
      <c r="C31" s="160" t="s">
        <v>35</v>
      </c>
      <c r="D31" s="161" t="str">
        <f>IF(C31="Str",'Personal File'!$C$8,IF(C31="Dex",'Personal File'!$C$9,IF(C31="Con",'Personal File'!$C$10,IF(C31="Int",'Personal File'!$C$11,IF(C31="Wis",'Personal File'!$C$12,IF(C31="Cha",'Personal File'!$C$13))))))</f>
        <v>+0</v>
      </c>
      <c r="E31" s="162" t="str">
        <f t="shared" si="4"/>
        <v>Int (+0)</v>
      </c>
      <c r="F31" s="149" t="s">
        <v>65</v>
      </c>
      <c r="G31" s="149">
        <f t="shared" si="1"/>
        <v>1</v>
      </c>
      <c r="H31" s="91">
        <f t="shared" ca="1" si="6"/>
        <v>1</v>
      </c>
      <c r="I31" s="149">
        <f t="shared" ca="1" si="7"/>
        <v>2</v>
      </c>
      <c r="J31" s="150" t="s">
        <v>106</v>
      </c>
    </row>
    <row r="32" spans="1:10" ht="16.8">
      <c r="A32" s="140" t="s">
        <v>58</v>
      </c>
      <c r="B32" s="106">
        <v>0</v>
      </c>
      <c r="C32" s="141" t="s">
        <v>36</v>
      </c>
      <c r="D32" s="142" t="str">
        <f>IF(C32="Str",'Personal File'!$C$8,IF(C32="Dex",'Personal File'!$C$9,IF(C32="Con",'Personal File'!$C$10,IF(C32="Int",'Personal File'!$C$11,IF(C32="Wis",'Personal File'!$C$12,IF(C32="Cha",'Personal File'!$C$13))))))</f>
        <v>+0</v>
      </c>
      <c r="E32" s="143" t="str">
        <f t="shared" si="4"/>
        <v>Wis (+0)</v>
      </c>
      <c r="F32" s="110" t="s">
        <v>65</v>
      </c>
      <c r="G32" s="110">
        <f t="shared" si="1"/>
        <v>0</v>
      </c>
      <c r="H32" s="91">
        <f t="shared" ca="1" si="6"/>
        <v>19</v>
      </c>
      <c r="I32" s="110">
        <f t="shared" ca="1" si="7"/>
        <v>19</v>
      </c>
      <c r="J32" s="111"/>
    </row>
    <row r="33" spans="1:10" ht="16.8">
      <c r="A33" s="151" t="s">
        <v>90</v>
      </c>
      <c r="B33" s="133">
        <v>0</v>
      </c>
      <c r="C33" s="152" t="s">
        <v>37</v>
      </c>
      <c r="D33" s="153" t="str">
        <f>IF(C33="Str",'Personal File'!$C$8,IF(C33="Dex",'Personal File'!$C$9,IF(C33="Con",'Personal File'!$C$10,IF(C33="Int",'Personal File'!$C$11,IF(C33="Wis",'Personal File'!$C$12,IF(C33="Cha",'Personal File'!$C$13))))))</f>
        <v>+7</v>
      </c>
      <c r="E33" s="154" t="str">
        <f t="shared" si="4"/>
        <v>Dex (+7)</v>
      </c>
      <c r="F33" s="137">
        <f>SUM(Martial!$D$14:$D$15)</f>
        <v>0</v>
      </c>
      <c r="G33" s="137">
        <f t="shared" si="1"/>
        <v>7</v>
      </c>
      <c r="H33" s="91">
        <f t="shared" ca="1" si="6"/>
        <v>8</v>
      </c>
      <c r="I33" s="137">
        <f t="shared" ca="1" si="7"/>
        <v>15</v>
      </c>
      <c r="J33" s="138"/>
    </row>
    <row r="34" spans="1:10" ht="16.8">
      <c r="A34" s="132" t="s">
        <v>89</v>
      </c>
      <c r="B34" s="133">
        <v>0</v>
      </c>
      <c r="C34" s="134" t="s">
        <v>35</v>
      </c>
      <c r="D34" s="135" t="str">
        <f>IF(C34="Str",'Personal File'!$C$8,IF(C34="Dex",'Personal File'!$C$9,IF(C34="Con",'Personal File'!$C$10,IF(C34="Int",'Personal File'!$C$11,IF(C34="Wis",'Personal File'!$C$12,IF(C34="Cha",'Personal File'!$C$13))))))</f>
        <v>+0</v>
      </c>
      <c r="E34" s="136" t="str">
        <f t="shared" si="4"/>
        <v>Int (+0)</v>
      </c>
      <c r="F34" s="137" t="s">
        <v>65</v>
      </c>
      <c r="G34" s="137">
        <f t="shared" si="1"/>
        <v>0</v>
      </c>
      <c r="H34" s="91">
        <f t="shared" ca="1" si="6"/>
        <v>6</v>
      </c>
      <c r="I34" s="137">
        <f t="shared" ca="1" si="7"/>
        <v>6</v>
      </c>
      <c r="J34" s="163"/>
    </row>
    <row r="35" spans="1:10" ht="16.8">
      <c r="A35" s="132" t="s">
        <v>59</v>
      </c>
      <c r="B35" s="133">
        <v>0</v>
      </c>
      <c r="C35" s="134" t="s">
        <v>35</v>
      </c>
      <c r="D35" s="135" t="str">
        <f>IF(C35="Str",'Personal File'!$C$8,IF(C35="Dex",'Personal File'!$C$9,IF(C35="Con",'Personal File'!$C$10,IF(C35="Int",'Personal File'!$C$11,IF(C35="Wis",'Personal File'!$C$12,IF(C35="Cha",'Personal File'!$C$13))))))</f>
        <v>+0</v>
      </c>
      <c r="E35" s="136" t="str">
        <f t="shared" si="4"/>
        <v>Int (+0)</v>
      </c>
      <c r="F35" s="137" t="s">
        <v>65</v>
      </c>
      <c r="G35" s="137">
        <f t="shared" si="1"/>
        <v>0</v>
      </c>
      <c r="H35" s="91">
        <f t="shared" ca="1" si="6"/>
        <v>2</v>
      </c>
      <c r="I35" s="137">
        <f t="shared" ca="1" si="7"/>
        <v>2</v>
      </c>
      <c r="J35" s="163"/>
    </row>
    <row r="36" spans="1:10" ht="16.8">
      <c r="A36" s="144" t="s">
        <v>60</v>
      </c>
      <c r="B36" s="145">
        <v>1</v>
      </c>
      <c r="C36" s="146" t="s">
        <v>36</v>
      </c>
      <c r="D36" s="147" t="str">
        <f>IF(C36="Str",'Personal File'!$C$8,IF(C36="Dex",'Personal File'!$C$9,IF(C36="Con",'Personal File'!$C$10,IF(C36="Int",'Personal File'!$C$11,IF(C36="Wis",'Personal File'!$C$12,IF(C36="Cha",'Personal File'!$C$13))))))</f>
        <v>+0</v>
      </c>
      <c r="E36" s="148" t="str">
        <f t="shared" si="4"/>
        <v>Wis (+0)</v>
      </c>
      <c r="F36" s="149" t="s">
        <v>65</v>
      </c>
      <c r="G36" s="149">
        <f t="shared" si="1"/>
        <v>1</v>
      </c>
      <c r="H36" s="91">
        <f t="shared" ca="1" si="6"/>
        <v>4</v>
      </c>
      <c r="I36" s="149">
        <f t="shared" ca="1" si="7"/>
        <v>5</v>
      </c>
      <c r="J36" s="150" t="s">
        <v>106</v>
      </c>
    </row>
    <row r="37" spans="1:10" ht="16.8">
      <c r="A37" s="140" t="s">
        <v>91</v>
      </c>
      <c r="B37" s="106">
        <v>0</v>
      </c>
      <c r="C37" s="141" t="s">
        <v>36</v>
      </c>
      <c r="D37" s="142" t="str">
        <f>IF(C37="Str",'Personal File'!$C$8,IF(C37="Dex",'Personal File'!$C$9,IF(C37="Con",'Personal File'!$C$10,IF(C37="Int",'Personal File'!$C$11,IF(C37="Wis",'Personal File'!$C$12,IF(C37="Cha",'Personal File'!$C$13))))))</f>
        <v>+0</v>
      </c>
      <c r="E37" s="143" t="str">
        <f t="shared" si="4"/>
        <v>Wis (+0)</v>
      </c>
      <c r="F37" s="110" t="s">
        <v>65</v>
      </c>
      <c r="G37" s="110">
        <f t="shared" si="1"/>
        <v>0</v>
      </c>
      <c r="H37" s="91">
        <f t="shared" ca="1" si="6"/>
        <v>18</v>
      </c>
      <c r="I37" s="110">
        <f t="shared" ca="1" si="7"/>
        <v>18</v>
      </c>
      <c r="J37" s="111"/>
    </row>
    <row r="38" spans="1:10" ht="16.8">
      <c r="A38" s="123" t="s">
        <v>24</v>
      </c>
      <c r="B38" s="106">
        <v>0</v>
      </c>
      <c r="C38" s="124" t="s">
        <v>38</v>
      </c>
      <c r="D38" s="125" t="str">
        <f>IF(C38="Str",'Personal File'!$C$8,IF(C38="Dex",'Personal File'!$C$9,IF(C38="Con",'Personal File'!$C$10,IF(C38="Int",'Personal File'!$C$11,IF(C38="Wis",'Personal File'!$C$12,IF(C38="Cha",'Personal File'!$C$13))))))</f>
        <v>+4</v>
      </c>
      <c r="E38" s="126" t="str">
        <f t="shared" si="4"/>
        <v>Str (+4)</v>
      </c>
      <c r="F38" s="110" t="s">
        <v>65</v>
      </c>
      <c r="G38" s="110">
        <f t="shared" si="1"/>
        <v>4</v>
      </c>
      <c r="H38" s="91">
        <f t="shared" ca="1" si="6"/>
        <v>19</v>
      </c>
      <c r="I38" s="110">
        <f t="shared" ca="1" si="7"/>
        <v>23</v>
      </c>
      <c r="J38" s="111"/>
    </row>
    <row r="39" spans="1:10" ht="16.8">
      <c r="A39" s="151" t="s">
        <v>61</v>
      </c>
      <c r="B39" s="133">
        <v>0</v>
      </c>
      <c r="C39" s="152" t="s">
        <v>37</v>
      </c>
      <c r="D39" s="153" t="str">
        <f>IF(C39="Str",'Personal File'!$C$8,IF(C39="Dex",'Personal File'!$C$9,IF(C39="Con",'Personal File'!$C$10,IF(C39="Int",'Personal File'!$C$11,IF(C39="Wis",'Personal File'!$C$12,IF(C39="Cha",'Personal File'!$C$13))))))</f>
        <v>+7</v>
      </c>
      <c r="E39" s="154" t="str">
        <f t="shared" si="4"/>
        <v>Dex (+7)</v>
      </c>
      <c r="F39" s="137">
        <f>SUM(Martial!$D$14:$D$15)</f>
        <v>0</v>
      </c>
      <c r="G39" s="137">
        <f t="shared" si="1"/>
        <v>7</v>
      </c>
      <c r="H39" s="91">
        <f t="shared" ca="1" si="6"/>
        <v>13</v>
      </c>
      <c r="I39" s="137">
        <f t="shared" ca="1" si="7"/>
        <v>20</v>
      </c>
      <c r="J39" s="138"/>
    </row>
    <row r="40" spans="1:10" ht="16.8">
      <c r="A40" s="155" t="s">
        <v>62</v>
      </c>
      <c r="B40" s="133">
        <v>0</v>
      </c>
      <c r="C40" s="164" t="s">
        <v>33</v>
      </c>
      <c r="D40" s="165" t="str">
        <f>IF(C40="Str",'Personal File'!$C$8,IF(C40="Dex",'Personal File'!$C$9,IF(C40="Con",'Personal File'!$C$10,IF(C40="Int",'Personal File'!$C$11,IF(C40="Wis",'Personal File'!$C$12,IF(C40="Cha",'Personal File'!$C$13))))))</f>
        <v>+0</v>
      </c>
      <c r="E40" s="166" t="str">
        <f t="shared" si="4"/>
        <v>Cha (+0)</v>
      </c>
      <c r="F40" s="137" t="s">
        <v>65</v>
      </c>
      <c r="G40" s="137">
        <f t="shared" si="1"/>
        <v>0</v>
      </c>
      <c r="H40" s="91">
        <f t="shared" ca="1" si="6"/>
        <v>4</v>
      </c>
      <c r="I40" s="137">
        <f t="shared" ca="1" si="7"/>
        <v>4</v>
      </c>
      <c r="J40" s="138"/>
    </row>
    <row r="41" spans="1:10" ht="17.399999999999999" thickBot="1">
      <c r="A41" s="167" t="s">
        <v>63</v>
      </c>
      <c r="B41" s="168">
        <v>0</v>
      </c>
      <c r="C41" s="169" t="s">
        <v>37</v>
      </c>
      <c r="D41" s="170" t="str">
        <f>IF(C41="Str",'Personal File'!$C$8,IF(C41="Dex",'Personal File'!$C$9,IF(C41="Con",'Personal File'!$C$10,IF(C41="Int",'Personal File'!$C$11,IF(C41="Wis",'Personal File'!$C$12,IF(C41="Cha",'Personal File'!$C$13))))))</f>
        <v>+7</v>
      </c>
      <c r="E41" s="171" t="str">
        <f t="shared" si="4"/>
        <v>Dex (+7)</v>
      </c>
      <c r="F41" s="172" t="s">
        <v>65</v>
      </c>
      <c r="G41" s="172">
        <f t="shared" si="1"/>
        <v>7</v>
      </c>
      <c r="H41" s="173">
        <f t="shared" ca="1" si="6"/>
        <v>16</v>
      </c>
      <c r="I41" s="172">
        <f t="shared" ca="1" si="7"/>
        <v>23</v>
      </c>
      <c r="J41" s="174"/>
    </row>
    <row r="42" spans="1:10" ht="16.2" thickTop="1">
      <c r="B42" s="175">
        <f>SUM(B6:B41)+B31+B36</f>
        <v>10</v>
      </c>
      <c r="E42" s="175">
        <f>SUM(E43:E49)</f>
        <v>10</v>
      </c>
      <c r="F42" s="176" t="s">
        <v>70</v>
      </c>
    </row>
    <row r="43" spans="1:10">
      <c r="B43" s="175"/>
      <c r="E43" s="178">
        <v>4</v>
      </c>
      <c r="F43" s="179" t="s">
        <v>104</v>
      </c>
    </row>
    <row r="44" spans="1:10">
      <c r="B44" s="175"/>
      <c r="E44" s="178">
        <v>1</v>
      </c>
      <c r="F44" s="179" t="s">
        <v>105</v>
      </c>
    </row>
    <row r="45" spans="1:10">
      <c r="E45" s="178">
        <v>1</v>
      </c>
      <c r="F45" s="179" t="s">
        <v>135</v>
      </c>
    </row>
    <row r="46" spans="1:10">
      <c r="E46" s="178">
        <v>1</v>
      </c>
      <c r="F46" s="179" t="s">
        <v>146</v>
      </c>
    </row>
    <row r="47" spans="1:10">
      <c r="E47" s="178">
        <v>1</v>
      </c>
      <c r="F47" s="179" t="s">
        <v>154</v>
      </c>
    </row>
    <row r="48" spans="1:10">
      <c r="E48" s="178">
        <v>1</v>
      </c>
      <c r="F48" s="179" t="s">
        <v>155</v>
      </c>
    </row>
    <row r="49" spans="5:6">
      <c r="E49" s="178">
        <v>1</v>
      </c>
      <c r="F49" s="179" t="s">
        <v>164</v>
      </c>
    </row>
  </sheetData>
  <phoneticPr fontId="0" type="noConversion"/>
  <conditionalFormatting sqref="H6:H10 H12:H40">
    <cfRule type="cellIs" dxfId="15" priority="9" operator="equal">
      <formula>20</formula>
    </cfRule>
    <cfRule type="cellIs" dxfId="14" priority="10" operator="equal">
      <formula>1</formula>
    </cfRule>
  </conditionalFormatting>
  <conditionalFormatting sqref="H41">
    <cfRule type="cellIs" dxfId="13" priority="7" operator="equal">
      <formula>20</formula>
    </cfRule>
    <cfRule type="cellIs" dxfId="12" priority="8" operator="equal">
      <formula>1</formula>
    </cfRule>
  </conditionalFormatting>
  <conditionalFormatting sqref="H3:H5">
    <cfRule type="cellIs" dxfId="11" priority="5" operator="equal">
      <formula>20</formula>
    </cfRule>
    <cfRule type="cellIs" dxfId="10" priority="6" operator="equal">
      <formula>1</formula>
    </cfRule>
  </conditionalFormatting>
  <conditionalFormatting sqref="H12:H40">
    <cfRule type="cellIs" dxfId="9" priority="3" operator="equal">
      <formula>20</formula>
    </cfRule>
    <cfRule type="cellIs" dxfId="8" priority="4" operator="equal">
      <formula>1</formula>
    </cfRule>
  </conditionalFormatting>
  <conditionalFormatting sqref="H11">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heetViews>
  <sheetFormatPr defaultColWidth="8.19921875" defaultRowHeight="16.8"/>
  <cols>
    <col min="1" max="1" width="50" style="186" bestFit="1" customWidth="1"/>
    <col min="2" max="2" width="3.09765625" style="181" customWidth="1"/>
    <col min="3" max="3" width="22.09765625" style="181" bestFit="1" customWidth="1"/>
    <col min="4" max="16384" width="8.19921875" style="181"/>
  </cols>
  <sheetData>
    <row r="1" spans="1:3" ht="21.6" thickTop="1" thickBot="1">
      <c r="A1" s="180" t="s">
        <v>96</v>
      </c>
      <c r="C1" s="17" t="s">
        <v>125</v>
      </c>
    </row>
    <row r="2" spans="1:3">
      <c r="A2" s="182" t="s">
        <v>119</v>
      </c>
      <c r="C2" s="190" t="s">
        <v>126</v>
      </c>
    </row>
    <row r="3" spans="1:3">
      <c r="A3" s="183" t="s">
        <v>148</v>
      </c>
      <c r="C3" s="191" t="s">
        <v>127</v>
      </c>
    </row>
    <row r="4" spans="1:3" ht="17.399999999999999" thickBot="1">
      <c r="A4" s="182" t="s">
        <v>118</v>
      </c>
      <c r="C4" s="192" t="s">
        <v>128</v>
      </c>
    </row>
    <row r="5" spans="1:3" ht="18" thickTop="1" thickBot="1">
      <c r="A5" s="184" t="s">
        <v>147</v>
      </c>
    </row>
    <row r="6" spans="1:3" ht="21.6" thickTop="1" thickBot="1">
      <c r="A6" s="184" t="s">
        <v>153</v>
      </c>
      <c r="C6" s="14" t="s">
        <v>80</v>
      </c>
    </row>
    <row r="7" spans="1:3" ht="17.399999999999999" thickBot="1">
      <c r="A7" s="184" t="s">
        <v>157</v>
      </c>
      <c r="C7" s="189" t="s">
        <v>124</v>
      </c>
    </row>
    <row r="8" spans="1:3" ht="18" thickTop="1" thickBot="1">
      <c r="A8" s="185" t="s">
        <v>158</v>
      </c>
    </row>
    <row r="9" spans="1:3" ht="18" thickTop="1" thickBot="1"/>
    <row r="10" spans="1:3" ht="21.6" thickTop="1" thickBot="1">
      <c r="A10" s="15" t="s">
        <v>94</v>
      </c>
    </row>
    <row r="11" spans="1:3">
      <c r="A11" s="187" t="s">
        <v>111</v>
      </c>
    </row>
    <row r="12" spans="1:3" ht="17.399999999999999" thickBot="1">
      <c r="A12" s="188" t="s">
        <v>112</v>
      </c>
    </row>
    <row r="13" spans="1:3" ht="17.399999999999999"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workbookViewId="0"/>
  </sheetViews>
  <sheetFormatPr defaultColWidth="13" defaultRowHeight="15.6"/>
  <cols>
    <col min="1" max="1" width="23.296875" style="300" bestFit="1" customWidth="1"/>
    <col min="2" max="2" width="8.5" style="202" bestFit="1" customWidth="1"/>
    <col min="3" max="3" width="7.19921875" style="202" bestFit="1" customWidth="1"/>
    <col min="4" max="4" width="6.296875" style="202" bestFit="1" customWidth="1"/>
    <col min="5" max="5" width="8.09765625" style="202" bestFit="1" customWidth="1"/>
    <col min="6" max="6" width="8.3984375" style="202" bestFit="1" customWidth="1"/>
    <col min="7" max="7" width="4.69921875" style="202" bestFit="1" customWidth="1"/>
    <col min="8" max="8" width="5.69921875" style="202" bestFit="1" customWidth="1"/>
    <col min="9" max="9" width="5.59765625" style="202" customWidth="1"/>
    <col min="10" max="10" width="6.296875" style="202" bestFit="1" customWidth="1"/>
    <col min="11" max="11" width="23" style="202" bestFit="1" customWidth="1"/>
    <col min="12" max="12" width="2.8984375" style="27" customWidth="1"/>
    <col min="13" max="13" width="7.3984375" style="27" bestFit="1" customWidth="1"/>
    <col min="14" max="16384" width="13" style="27"/>
  </cols>
  <sheetData>
    <row r="1" spans="1:13" ht="23.4" thickBot="1">
      <c r="A1" s="295" t="s">
        <v>25</v>
      </c>
      <c r="B1" s="295"/>
      <c r="C1" s="295"/>
      <c r="D1" s="295"/>
      <c r="E1" s="295"/>
      <c r="F1" s="295"/>
      <c r="G1" s="295"/>
      <c r="H1" s="295"/>
      <c r="I1" s="295"/>
      <c r="J1" s="295"/>
      <c r="K1" s="295"/>
    </row>
    <row r="2" spans="1:13" ht="16.8" thickTop="1" thickBot="1">
      <c r="A2" s="296" t="s">
        <v>6</v>
      </c>
      <c r="B2" s="305" t="s">
        <v>7</v>
      </c>
      <c r="C2" s="305" t="s">
        <v>28</v>
      </c>
      <c r="D2" s="305" t="s">
        <v>29</v>
      </c>
      <c r="E2" s="306" t="s">
        <v>71</v>
      </c>
      <c r="F2" s="305" t="s">
        <v>26</v>
      </c>
      <c r="G2" s="305" t="s">
        <v>30</v>
      </c>
      <c r="H2" s="307" t="s">
        <v>95</v>
      </c>
      <c r="I2" s="308" t="s">
        <v>100</v>
      </c>
      <c r="J2" s="307" t="s">
        <v>86</v>
      </c>
      <c r="K2" s="309" t="s">
        <v>5</v>
      </c>
      <c r="M2" s="199" t="s">
        <v>136</v>
      </c>
    </row>
    <row r="3" spans="1:13">
      <c r="A3" s="297" t="s">
        <v>167</v>
      </c>
      <c r="B3" s="310" t="s">
        <v>120</v>
      </c>
      <c r="C3" s="7">
        <f>'Personal File'!$C$8+2</f>
        <v>6</v>
      </c>
      <c r="D3" s="311" t="s">
        <v>151</v>
      </c>
      <c r="E3" s="311" t="s">
        <v>121</v>
      </c>
      <c r="F3" s="312" t="s">
        <v>99</v>
      </c>
      <c r="G3" s="313">
        <v>4</v>
      </c>
      <c r="H3" s="314" t="str">
        <f>CONCATENATE("+",'Personal File'!$B$6+RIGHT('Personal File'!$C$8)+D3)</f>
        <v>+13</v>
      </c>
      <c r="I3" s="315">
        <f t="shared" ref="I3:I4" ca="1" si="0">RANDBETWEEN(1,20)</f>
        <v>13</v>
      </c>
      <c r="J3" s="316">
        <f t="shared" ref="J3:J5" ca="1" si="1">I3+H3</f>
        <v>26</v>
      </c>
      <c r="K3" s="317"/>
      <c r="M3" s="18">
        <v>15</v>
      </c>
    </row>
    <row r="4" spans="1:13">
      <c r="A4" s="298" t="s">
        <v>169</v>
      </c>
      <c r="B4" s="318" t="s">
        <v>120</v>
      </c>
      <c r="C4" s="9">
        <v>6</v>
      </c>
      <c r="D4" s="319" t="s">
        <v>151</v>
      </c>
      <c r="E4" s="345"/>
      <c r="F4" s="345"/>
      <c r="G4" s="345"/>
      <c r="H4" s="320" t="str">
        <f>CONCATENATE("+",'Personal File'!$B$6+RIGHT('Personal File'!$C$8)+D4-5)</f>
        <v>+8</v>
      </c>
      <c r="I4" s="321">
        <f t="shared" ca="1" si="0"/>
        <v>14</v>
      </c>
      <c r="J4" s="322">
        <f t="shared" ca="1" si="1"/>
        <v>22</v>
      </c>
      <c r="K4" s="323"/>
      <c r="M4" s="343"/>
    </row>
    <row r="5" spans="1:13" ht="16.2" thickBot="1">
      <c r="A5" s="299" t="s">
        <v>131</v>
      </c>
      <c r="B5" s="324" t="s">
        <v>132</v>
      </c>
      <c r="C5" s="12" t="s">
        <v>168</v>
      </c>
      <c r="D5" s="325">
        <v>0</v>
      </c>
      <c r="E5" s="326" t="s">
        <v>134</v>
      </c>
      <c r="F5" s="327" t="s">
        <v>133</v>
      </c>
      <c r="G5" s="328">
        <v>0</v>
      </c>
      <c r="H5" s="329" t="str">
        <f>CONCATENATE("+",'Personal File'!$B$6+RIGHT('Personal File'!$C$8)+D5)</f>
        <v>+11</v>
      </c>
      <c r="I5" s="330">
        <f ca="1">RANDBETWEEN(1,20)</f>
        <v>14</v>
      </c>
      <c r="J5" s="331">
        <f t="shared" ca="1" si="1"/>
        <v>25</v>
      </c>
      <c r="K5" s="332"/>
      <c r="M5" s="218"/>
    </row>
    <row r="6" spans="1:13" ht="16.8" thickTop="1" thickBot="1">
      <c r="I6" s="178"/>
      <c r="J6" s="178"/>
      <c r="M6" s="202"/>
    </row>
    <row r="7" spans="1:13" ht="16.8" thickTop="1" thickBot="1">
      <c r="A7" s="296" t="s">
        <v>9</v>
      </c>
      <c r="B7" s="194" t="s">
        <v>10</v>
      </c>
      <c r="C7" s="194" t="s">
        <v>28</v>
      </c>
      <c r="D7" s="194" t="s">
        <v>29</v>
      </c>
      <c r="E7" s="195" t="s">
        <v>71</v>
      </c>
      <c r="F7" s="194" t="s">
        <v>11</v>
      </c>
      <c r="G7" s="194" t="s">
        <v>30</v>
      </c>
      <c r="H7" s="196" t="s">
        <v>95</v>
      </c>
      <c r="I7" s="197" t="s">
        <v>100</v>
      </c>
      <c r="J7" s="196" t="s">
        <v>86</v>
      </c>
      <c r="K7" s="198" t="s">
        <v>5</v>
      </c>
      <c r="M7" s="199" t="s">
        <v>136</v>
      </c>
    </row>
    <row r="8" spans="1:13">
      <c r="A8" s="294" t="s">
        <v>161</v>
      </c>
      <c r="B8" s="203" t="s">
        <v>120</v>
      </c>
      <c r="C8" s="344" t="str">
        <f>CONCATENATE('Personal File'!$C$8,"+2+1")</f>
        <v>+4+2+1</v>
      </c>
      <c r="D8" s="204" t="s">
        <v>150</v>
      </c>
      <c r="E8" s="203" t="s">
        <v>98</v>
      </c>
      <c r="F8" s="293" t="str">
        <f>CONCATENATE(220*1.5,"’")</f>
        <v>330’</v>
      </c>
      <c r="G8" s="205">
        <v>3</v>
      </c>
      <c r="H8" s="206" t="str">
        <f>CONCATENATE("+",'Personal File'!$B$6+RIGHT('Personal File'!$C$9)+D8+1-2)</f>
        <v>+14</v>
      </c>
      <c r="I8" s="207">
        <f t="shared" ref="I8:I10" ca="1" si="2">RANDBETWEEN(1,20)</f>
        <v>6</v>
      </c>
      <c r="J8" s="208">
        <f t="shared" ref="J8:J10" ca="1" si="3">I8+H8</f>
        <v>20</v>
      </c>
      <c r="K8" s="209" t="s">
        <v>130</v>
      </c>
      <c r="M8" s="210">
        <v>8400</v>
      </c>
    </row>
    <row r="9" spans="1:13">
      <c r="A9" s="335" t="s">
        <v>162</v>
      </c>
      <c r="B9" s="336" t="s">
        <v>120</v>
      </c>
      <c r="C9" s="337" t="str">
        <f>CONCATENATE('Personal File'!$C$8,"+2+1")</f>
        <v>+4+2+1</v>
      </c>
      <c r="D9" s="338" t="s">
        <v>150</v>
      </c>
      <c r="E9" s="345"/>
      <c r="F9" s="345"/>
      <c r="G9" s="345"/>
      <c r="H9" s="339" t="str">
        <f>CONCATENATE("+",'Personal File'!$B$6+RIGHT('Personal File'!$C$9)+D9+1-2)</f>
        <v>+14</v>
      </c>
      <c r="I9" s="340">
        <f t="shared" ca="1" si="2"/>
        <v>11</v>
      </c>
      <c r="J9" s="341">
        <f t="shared" ca="1" si="3"/>
        <v>25</v>
      </c>
      <c r="K9" s="342" t="s">
        <v>130</v>
      </c>
      <c r="M9" s="343"/>
    </row>
    <row r="10" spans="1:13">
      <c r="A10" s="335" t="s">
        <v>160</v>
      </c>
      <c r="B10" s="336" t="s">
        <v>120</v>
      </c>
      <c r="C10" s="337" t="str">
        <f>CONCATENATE('Personal File'!$C$8,"+2+1")</f>
        <v>+4+2+1</v>
      </c>
      <c r="D10" s="338" t="s">
        <v>150</v>
      </c>
      <c r="E10" s="345"/>
      <c r="F10" s="345"/>
      <c r="G10" s="345"/>
      <c r="H10" s="339" t="str">
        <f>CONCATENATE("+",'Personal File'!$B$6+RIGHT('Personal File'!$C$9)+D10+1-2)</f>
        <v>+14</v>
      </c>
      <c r="I10" s="340">
        <f t="shared" ca="1" si="2"/>
        <v>18</v>
      </c>
      <c r="J10" s="341">
        <f t="shared" ca="1" si="3"/>
        <v>32</v>
      </c>
      <c r="K10" s="342" t="s">
        <v>130</v>
      </c>
      <c r="M10" s="343"/>
    </row>
    <row r="11" spans="1:13" ht="16.2" thickBot="1">
      <c r="A11" s="301" t="s">
        <v>163</v>
      </c>
      <c r="B11" s="211" t="s">
        <v>120</v>
      </c>
      <c r="C11" s="333" t="str">
        <f>CONCATENATE('Personal File'!$C$8,"+2+1")</f>
        <v>+4+2+1</v>
      </c>
      <c r="D11" s="212" t="s">
        <v>150</v>
      </c>
      <c r="E11" s="213"/>
      <c r="F11" s="214"/>
      <c r="G11" s="215"/>
      <c r="H11" s="216" t="str">
        <f>CONCATENATE("+",'Personal File'!$B$6+RIGHT('Personal File'!$C$9)+D11+1)</f>
        <v>+16</v>
      </c>
      <c r="I11" s="200">
        <f t="shared" ref="I11" ca="1" si="4">RANDBETWEEN(1,20)</f>
        <v>3</v>
      </c>
      <c r="J11" s="201">
        <f t="shared" ref="J11" ca="1" si="5">I11+H11</f>
        <v>19</v>
      </c>
      <c r="K11" s="217" t="s">
        <v>130</v>
      </c>
      <c r="M11" s="218"/>
    </row>
    <row r="12" spans="1:13" ht="16.8" thickTop="1" thickBot="1">
      <c r="D12" s="219"/>
      <c r="E12" s="219"/>
      <c r="G12" s="220"/>
      <c r="H12" s="220"/>
      <c r="I12" s="220"/>
      <c r="J12" s="220"/>
      <c r="M12" s="220"/>
    </row>
    <row r="13" spans="1:13" ht="16.8" thickTop="1" thickBot="1">
      <c r="A13" s="296" t="s">
        <v>75</v>
      </c>
      <c r="B13" s="194" t="s">
        <v>19</v>
      </c>
      <c r="C13" s="194" t="s">
        <v>37</v>
      </c>
      <c r="D13" s="194" t="s">
        <v>86</v>
      </c>
      <c r="E13" s="194" t="s">
        <v>87</v>
      </c>
      <c r="F13" s="194" t="s">
        <v>88</v>
      </c>
      <c r="G13" s="194" t="s">
        <v>30</v>
      </c>
      <c r="H13" s="221" t="s">
        <v>5</v>
      </c>
      <c r="I13" s="222"/>
      <c r="J13" s="222"/>
      <c r="K13" s="223"/>
      <c r="M13" s="199" t="s">
        <v>136</v>
      </c>
    </row>
    <row r="14" spans="1:13">
      <c r="A14" s="302" t="s">
        <v>139</v>
      </c>
      <c r="B14" s="224">
        <v>6</v>
      </c>
      <c r="C14" s="224">
        <v>6</v>
      </c>
      <c r="D14" s="224">
        <v>0</v>
      </c>
      <c r="E14" s="225">
        <v>0.1</v>
      </c>
      <c r="F14" s="224" t="s">
        <v>117</v>
      </c>
      <c r="G14" s="226">
        <v>10</v>
      </c>
      <c r="H14" s="227"/>
      <c r="I14" s="228"/>
      <c r="J14" s="228"/>
      <c r="K14" s="229"/>
      <c r="M14" s="230">
        <v>1100</v>
      </c>
    </row>
    <row r="15" spans="1:13" ht="16.2" thickBot="1">
      <c r="A15" s="303"/>
      <c r="B15" s="231"/>
      <c r="C15" s="232"/>
      <c r="D15" s="231"/>
      <c r="E15" s="233"/>
      <c r="F15" s="11"/>
      <c r="G15" s="13"/>
      <c r="H15" s="234"/>
      <c r="I15" s="235"/>
      <c r="J15" s="235"/>
      <c r="K15" s="236"/>
      <c r="M15" s="20"/>
    </row>
    <row r="16" spans="1:13" ht="16.8" thickTop="1" thickBot="1">
      <c r="M16" s="202"/>
    </row>
    <row r="17" spans="1:13" ht="16.8" thickTop="1" thickBot="1">
      <c r="A17" s="304"/>
      <c r="B17" s="220"/>
      <c r="D17" s="237" t="s">
        <v>76</v>
      </c>
      <c r="E17" s="238"/>
      <c r="F17" s="221" t="s">
        <v>8</v>
      </c>
      <c r="G17" s="194" t="s">
        <v>30</v>
      </c>
      <c r="H17" s="196" t="s">
        <v>95</v>
      </c>
      <c r="I17" s="221" t="s">
        <v>5</v>
      </c>
      <c r="J17" s="222"/>
      <c r="K17" s="223"/>
      <c r="M17" s="199" t="s">
        <v>136</v>
      </c>
    </row>
    <row r="18" spans="1:13">
      <c r="A18" s="304"/>
      <c r="B18" s="220"/>
      <c r="D18" s="239" t="s">
        <v>123</v>
      </c>
      <c r="E18" s="240"/>
      <c r="F18" s="241">
        <v>2</v>
      </c>
      <c r="G18" s="8">
        <f t="shared" ref="G18:G19" si="6">(F18*3)/20</f>
        <v>0.3</v>
      </c>
      <c r="H18" s="242" t="s">
        <v>65</v>
      </c>
      <c r="I18" s="243"/>
      <c r="J18" s="244"/>
      <c r="K18" s="245"/>
      <c r="M18" s="18">
        <v>150</v>
      </c>
    </row>
    <row r="19" spans="1:13">
      <c r="A19" s="304"/>
      <c r="B19" s="220"/>
      <c r="D19" s="246" t="s">
        <v>140</v>
      </c>
      <c r="E19" s="247"/>
      <c r="F19" s="248">
        <v>2</v>
      </c>
      <c r="G19" s="10">
        <f t="shared" si="6"/>
        <v>0.3</v>
      </c>
      <c r="H19" s="249" t="s">
        <v>65</v>
      </c>
      <c r="I19" s="250"/>
      <c r="J19" s="251"/>
      <c r="K19" s="252"/>
      <c r="M19" s="19">
        <v>264</v>
      </c>
    </row>
    <row r="20" spans="1:13" ht="16.2" thickBot="1">
      <c r="A20" s="304"/>
      <c r="B20" s="220"/>
      <c r="D20" s="253" t="s">
        <v>122</v>
      </c>
      <c r="E20" s="254"/>
      <c r="F20" s="255">
        <v>40</v>
      </c>
      <c r="G20" s="256">
        <f t="shared" ref="G20" si="7">(F20*3)/20</f>
        <v>6</v>
      </c>
      <c r="H20" s="257" t="s">
        <v>65</v>
      </c>
      <c r="I20" s="258"/>
      <c r="J20" s="259"/>
      <c r="K20" s="260"/>
      <c r="M20" s="261">
        <v>2</v>
      </c>
    </row>
    <row r="21" spans="1:13" ht="16.8" thickTop="1" thickBot="1">
      <c r="M21" s="202"/>
    </row>
    <row r="22" spans="1:13" ht="16.8" thickTop="1" thickBot="1">
      <c r="D22" s="237" t="s">
        <v>141</v>
      </c>
      <c r="E22" s="222"/>
      <c r="F22" s="222"/>
      <c r="G22" s="262" t="s">
        <v>8</v>
      </c>
      <c r="H22" s="262" t="s">
        <v>142</v>
      </c>
      <c r="I22" s="262" t="s">
        <v>143</v>
      </c>
      <c r="J22" s="221" t="s">
        <v>84</v>
      </c>
      <c r="K22" s="223"/>
      <c r="M22" s="199" t="s">
        <v>136</v>
      </c>
    </row>
    <row r="23" spans="1:13">
      <c r="D23" s="352" t="s">
        <v>144</v>
      </c>
      <c r="E23" s="353"/>
      <c r="F23" s="353"/>
      <c r="G23" s="354">
        <v>1</v>
      </c>
      <c r="H23" s="354">
        <v>1</v>
      </c>
      <c r="I23" s="354">
        <v>1</v>
      </c>
      <c r="J23" s="355" t="s">
        <v>165</v>
      </c>
      <c r="K23" s="252"/>
      <c r="L23" s="334"/>
      <c r="M23" s="18"/>
    </row>
    <row r="24" spans="1:13">
      <c r="D24" s="356" t="s">
        <v>159</v>
      </c>
      <c r="E24" s="357"/>
      <c r="F24" s="357"/>
      <c r="G24" s="358">
        <v>3</v>
      </c>
      <c r="H24" s="358">
        <v>2</v>
      </c>
      <c r="I24" s="358">
        <v>4</v>
      </c>
      <c r="J24" s="359"/>
      <c r="K24" s="360"/>
      <c r="L24" s="361"/>
      <c r="M24" s="19">
        <f>750*G24</f>
        <v>2250</v>
      </c>
    </row>
    <row r="25" spans="1:13" ht="16.2" thickBot="1">
      <c r="D25" s="362" t="s">
        <v>149</v>
      </c>
      <c r="E25" s="363"/>
      <c r="F25" s="363"/>
      <c r="G25" s="212" t="s">
        <v>150</v>
      </c>
      <c r="H25" s="212" t="s">
        <v>151</v>
      </c>
      <c r="I25" s="212" t="s">
        <v>152</v>
      </c>
      <c r="J25" s="258"/>
      <c r="K25" s="260"/>
      <c r="L25" s="334"/>
      <c r="M25" s="261"/>
    </row>
    <row r="26" spans="1:13" ht="16.2" thickTop="1"/>
  </sheetData>
  <phoneticPr fontId="0" type="noConversion"/>
  <conditionalFormatting sqref="I3:I5">
    <cfRule type="cellIs" dxfId="5" priority="7" operator="equal">
      <formula>20</formula>
    </cfRule>
    <cfRule type="cellIs" dxfId="4" priority="8" operator="equal">
      <formula>1</formula>
    </cfRule>
  </conditionalFormatting>
  <conditionalFormatting sqref="I11">
    <cfRule type="cellIs" dxfId="3" priority="3" operator="equal">
      <formula>20</formula>
    </cfRule>
    <cfRule type="cellIs" dxfId="2" priority="4" operator="equal">
      <formula>1</formula>
    </cfRule>
  </conditionalFormatting>
  <conditionalFormatting sqref="I8: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ColWidth="13" defaultRowHeight="15.6"/>
  <cols>
    <col min="1" max="1" width="24.69921875" style="202" bestFit="1" customWidth="1"/>
    <col min="2" max="2" width="4.5" style="202" bestFit="1" customWidth="1"/>
    <col min="3" max="3" width="5.59765625" style="220" bestFit="1" customWidth="1"/>
    <col min="4" max="5" width="26.59765625" style="27" customWidth="1"/>
    <col min="6" max="6" width="2.5" style="202" customWidth="1"/>
    <col min="7" max="7" width="5.69921875" style="27" bestFit="1" customWidth="1"/>
    <col min="8" max="16384" width="13" style="27"/>
  </cols>
  <sheetData>
    <row r="1" spans="1:7" ht="23.4" thickBot="1">
      <c r="A1" s="193" t="s">
        <v>81</v>
      </c>
      <c r="B1" s="193"/>
      <c r="C1" s="263"/>
      <c r="D1" s="193"/>
      <c r="E1" s="193"/>
    </row>
    <row r="2" spans="1:7" s="202" customFormat="1" ht="16.8" thickTop="1" thickBot="1">
      <c r="A2" s="264" t="s">
        <v>82</v>
      </c>
      <c r="B2" s="264" t="s">
        <v>8</v>
      </c>
      <c r="C2" s="265" t="s">
        <v>30</v>
      </c>
      <c r="D2" s="266" t="s">
        <v>83</v>
      </c>
      <c r="E2" s="267" t="s">
        <v>84</v>
      </c>
      <c r="G2" s="268" t="s">
        <v>136</v>
      </c>
    </row>
    <row r="3" spans="1:7">
      <c r="A3" s="269" t="s">
        <v>137</v>
      </c>
      <c r="B3" s="270">
        <v>1</v>
      </c>
      <c r="C3" s="271" t="s">
        <v>138</v>
      </c>
      <c r="D3" s="272"/>
      <c r="E3" s="273"/>
      <c r="F3" s="178"/>
      <c r="G3" s="274">
        <v>0</v>
      </c>
    </row>
    <row r="4" spans="1:7">
      <c r="A4" s="269"/>
      <c r="B4" s="276"/>
      <c r="C4" s="271"/>
      <c r="D4" s="272"/>
      <c r="E4" s="273"/>
      <c r="G4" s="274"/>
    </row>
    <row r="5" spans="1:7" ht="16.2" thickBot="1">
      <c r="A5" s="277"/>
      <c r="B5" s="278"/>
      <c r="C5" s="279"/>
      <c r="D5" s="280"/>
      <c r="E5" s="281"/>
      <c r="G5" s="282"/>
    </row>
    <row r="6" spans="1:7" ht="24" thickTop="1" thickBot="1">
      <c r="A6" s="193" t="s">
        <v>85</v>
      </c>
      <c r="B6" s="193"/>
      <c r="C6" s="283"/>
      <c r="D6" s="193"/>
      <c r="E6" s="284"/>
      <c r="G6" s="283"/>
    </row>
    <row r="7" spans="1:7" ht="16.8" thickTop="1" thickBot="1">
      <c r="A7" s="264" t="s">
        <v>82</v>
      </c>
      <c r="B7" s="264" t="s">
        <v>8</v>
      </c>
      <c r="C7" s="265" t="s">
        <v>30</v>
      </c>
      <c r="D7" s="266" t="s">
        <v>83</v>
      </c>
      <c r="E7" s="267" t="s">
        <v>84</v>
      </c>
      <c r="G7" s="268"/>
    </row>
    <row r="8" spans="1:7">
      <c r="A8" s="285"/>
      <c r="B8" s="270"/>
      <c r="C8" s="271"/>
      <c r="D8" s="272"/>
      <c r="E8" s="273"/>
      <c r="F8" s="178"/>
      <c r="G8" s="274"/>
    </row>
    <row r="9" spans="1:7">
      <c r="A9" s="286"/>
      <c r="B9" s="275"/>
      <c r="C9" s="287"/>
      <c r="D9" s="288"/>
      <c r="E9" s="273"/>
      <c r="F9" s="178"/>
      <c r="G9" s="289"/>
    </row>
    <row r="10" spans="1:7">
      <c r="A10" s="286"/>
      <c r="B10" s="276"/>
      <c r="C10" s="287"/>
      <c r="D10" s="288"/>
      <c r="E10" s="290"/>
      <c r="F10" s="178"/>
      <c r="G10" s="289"/>
    </row>
    <row r="11" spans="1:7">
      <c r="A11" s="286"/>
      <c r="B11" s="276"/>
      <c r="C11" s="287"/>
      <c r="D11" s="288"/>
      <c r="E11" s="273"/>
      <c r="F11" s="178"/>
      <c r="G11" s="289"/>
    </row>
    <row r="12" spans="1:7">
      <c r="A12" s="286"/>
      <c r="B12" s="276"/>
      <c r="C12" s="287"/>
      <c r="D12" s="288"/>
      <c r="E12" s="273"/>
      <c r="F12" s="178"/>
      <c r="G12" s="289"/>
    </row>
    <row r="13" spans="1:7">
      <c r="A13" s="286"/>
      <c r="B13" s="276"/>
      <c r="C13" s="287"/>
      <c r="D13" s="288"/>
      <c r="E13" s="273"/>
      <c r="F13" s="178"/>
      <c r="G13" s="289"/>
    </row>
    <row r="14" spans="1:7">
      <c r="A14" s="286"/>
      <c r="B14" s="276"/>
      <c r="C14" s="287"/>
      <c r="D14" s="288"/>
      <c r="E14" s="290"/>
      <c r="F14" s="178"/>
      <c r="G14" s="289"/>
    </row>
    <row r="15" spans="1:7">
      <c r="A15" s="286"/>
      <c r="B15" s="276"/>
      <c r="C15" s="287"/>
      <c r="D15" s="288"/>
      <c r="E15" s="290"/>
      <c r="F15" s="178"/>
      <c r="G15" s="289"/>
    </row>
    <row r="16" spans="1:7" ht="16.2" thickBot="1">
      <c r="A16" s="277"/>
      <c r="B16" s="278"/>
      <c r="C16" s="279"/>
      <c r="D16" s="291"/>
      <c r="E16" s="281"/>
      <c r="F16" s="178"/>
      <c r="G16" s="282"/>
    </row>
    <row r="17" spans="1:2" ht="16.2" thickTop="1">
      <c r="A17" s="27"/>
      <c r="B17" s="27"/>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2016-08-05T18:58:21Z</dcterms:modified>
</cp:coreProperties>
</file>