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5340" windowWidth="11916" windowHeight="5376" tabRatio="638"/>
  </bookViews>
  <sheets>
    <sheet name="Personal File" sheetId="4" r:id="rId1"/>
    <sheet name="Skills" sheetId="15" r:id="rId2"/>
    <sheet name="Feats" sheetId="20" r:id="rId3"/>
    <sheet name="Martial" sheetId="6" r:id="rId4"/>
    <sheet name="Equipment" sheetId="19" r:id="rId5"/>
  </sheets>
  <definedNames>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File'!$A$1:$H$24</definedName>
    <definedName name="_xlnm.Print_Area" localSheetId="1">Skills!$A$1:$K$29</definedName>
  </definedNames>
  <calcPr calcId="145621"/>
</workbook>
</file>

<file path=xl/calcChain.xml><?xml version="1.0" encoding="utf-8"?>
<calcChain xmlns="http://schemas.openxmlformats.org/spreadsheetml/2006/main">
  <c r="E12" i="4" l="1"/>
  <c r="G47" i="19" l="1"/>
  <c r="F29" i="15" l="1"/>
  <c r="F15" i="15"/>
  <c r="B5" i="15" l="1"/>
  <c r="B4" i="15"/>
  <c r="B3" i="15"/>
  <c r="B7" i="4"/>
  <c r="E50" i="15" l="1"/>
  <c r="H38" i="15" l="1"/>
  <c r="H34" i="15"/>
  <c r="G21" i="19" l="1"/>
  <c r="G20" i="19"/>
  <c r="G19" i="19"/>
  <c r="G49" i="19" s="1"/>
  <c r="E49" i="15" l="1"/>
  <c r="E48" i="15"/>
  <c r="E47" i="15"/>
  <c r="E46" i="15"/>
  <c r="E45" i="15"/>
  <c r="H26" i="15"/>
  <c r="D26" i="15"/>
  <c r="G26" i="15" s="1"/>
  <c r="H12" i="15"/>
  <c r="D12" i="15"/>
  <c r="G12" i="15" s="1"/>
  <c r="C31" i="19"/>
  <c r="E44" i="15" l="1"/>
  <c r="I26" i="15"/>
  <c r="E26" i="15"/>
  <c r="I12" i="15"/>
  <c r="E12" i="15"/>
  <c r="I9" i="6"/>
  <c r="I3" i="6" l="1"/>
  <c r="I4" i="6"/>
  <c r="H29" i="15" l="1"/>
  <c r="C19" i="19" l="1"/>
  <c r="C20" i="19"/>
  <c r="C15" i="19"/>
  <c r="C22" i="19"/>
  <c r="C43" i="19" l="1"/>
  <c r="C41" i="19"/>
  <c r="C32" i="19"/>
  <c r="C21" i="19"/>
  <c r="C17" i="19"/>
  <c r="H31" i="15" l="1"/>
  <c r="H13" i="15"/>
  <c r="H37" i="15"/>
  <c r="G18" i="6" l="1"/>
  <c r="G5" i="6"/>
  <c r="E10" i="4" s="1"/>
  <c r="I5" i="6" l="1"/>
  <c r="I6" i="6"/>
  <c r="I10" i="6"/>
  <c r="H43" i="15" l="1"/>
  <c r="H42" i="15"/>
  <c r="H41" i="15"/>
  <c r="H40" i="15"/>
  <c r="H39" i="15"/>
  <c r="H36" i="15"/>
  <c r="H35" i="15"/>
  <c r="H33" i="15"/>
  <c r="H32" i="15"/>
  <c r="H30" i="15"/>
  <c r="H28" i="15"/>
  <c r="H27" i="15"/>
  <c r="H25" i="15"/>
  <c r="H24" i="15"/>
  <c r="H23" i="15"/>
  <c r="H22" i="15"/>
  <c r="H21" i="15"/>
  <c r="H20" i="15"/>
  <c r="H19" i="15"/>
  <c r="H18" i="15"/>
  <c r="H17" i="15"/>
  <c r="H16" i="15"/>
  <c r="H15" i="15"/>
  <c r="H14" i="15"/>
  <c r="H11" i="15"/>
  <c r="H10" i="15"/>
  <c r="H9" i="15"/>
  <c r="H8" i="15"/>
  <c r="H7" i="15"/>
  <c r="H6" i="15"/>
  <c r="H5" i="15" l="1"/>
  <c r="H4" i="15"/>
  <c r="H3" i="15"/>
  <c r="C11" i="4" l="1"/>
  <c r="E11" i="4" s="1"/>
  <c r="D3" i="15" l="1"/>
  <c r="C9" i="4"/>
  <c r="C10" i="4"/>
  <c r="C12" i="4"/>
  <c r="C13" i="4"/>
  <c r="D5" i="15" s="1"/>
  <c r="C14" i="4"/>
  <c r="D4" i="15" l="1"/>
  <c r="G4" i="15" s="1"/>
  <c r="I4" i="15" s="1"/>
  <c r="H9" i="6"/>
  <c r="J9" i="6" s="1"/>
  <c r="H10" i="6"/>
  <c r="J10" i="6" s="1"/>
  <c r="E13" i="4"/>
  <c r="E14" i="4" s="1"/>
  <c r="H3" i="6"/>
  <c r="J3" i="6" s="1"/>
  <c r="H6" i="6"/>
  <c r="J6" i="6" s="1"/>
  <c r="H5" i="6"/>
  <c r="J5" i="6" s="1"/>
  <c r="H4" i="6"/>
  <c r="J4" i="6" s="1"/>
  <c r="E5" i="15"/>
  <c r="G5" i="15"/>
  <c r="I5" i="15" s="1"/>
  <c r="E3" i="15"/>
  <c r="G3" i="15"/>
  <c r="I3" i="15" s="1"/>
  <c r="E4" i="15" l="1"/>
  <c r="D25" i="15"/>
  <c r="E25" i="15" l="1"/>
  <c r="G25" i="15"/>
  <c r="B44" i="15"/>
  <c r="I25" i="15" l="1"/>
  <c r="D31" i="15"/>
  <c r="E31" i="15" l="1"/>
  <c r="G31" i="15"/>
  <c r="D37" i="15"/>
  <c r="D20" i="15"/>
  <c r="D39" i="15"/>
  <c r="D36" i="15"/>
  <c r="D41" i="15"/>
  <c r="D38" i="15"/>
  <c r="D40" i="15"/>
  <c r="D33" i="15"/>
  <c r="D42" i="15"/>
  <c r="D29" i="15"/>
  <c r="D35" i="15"/>
  <c r="D15" i="15"/>
  <c r="D13" i="15"/>
  <c r="D43" i="15"/>
  <c r="D34" i="15"/>
  <c r="D32" i="15"/>
  <c r="D30" i="15"/>
  <c r="D28" i="15"/>
  <c r="D27" i="15"/>
  <c r="D24" i="15"/>
  <c r="D23" i="15"/>
  <c r="D22" i="15"/>
  <c r="D21" i="15"/>
  <c r="D19" i="15"/>
  <c r="D18" i="15"/>
  <c r="D17" i="15"/>
  <c r="D16" i="15"/>
  <c r="D14" i="15"/>
  <c r="D11" i="15"/>
  <c r="D10" i="15"/>
  <c r="D9" i="15"/>
  <c r="D8" i="15"/>
  <c r="D7" i="15"/>
  <c r="D6" i="15"/>
  <c r="E11" i="15" l="1"/>
  <c r="G11" i="15"/>
  <c r="E23" i="15"/>
  <c r="G23" i="15"/>
  <c r="E30" i="15"/>
  <c r="G30" i="15"/>
  <c r="E13" i="15"/>
  <c r="G13" i="15"/>
  <c r="E42" i="15"/>
  <c r="G42" i="15"/>
  <c r="E41" i="15"/>
  <c r="G41" i="15"/>
  <c r="E20" i="15"/>
  <c r="G20" i="15"/>
  <c r="E7" i="15"/>
  <c r="G7" i="15"/>
  <c r="E18" i="15"/>
  <c r="G18" i="15"/>
  <c r="E8" i="15"/>
  <c r="G8" i="15"/>
  <c r="E14" i="15"/>
  <c r="G14" i="15"/>
  <c r="E19" i="15"/>
  <c r="G19" i="15"/>
  <c r="E24" i="15"/>
  <c r="G24" i="15"/>
  <c r="E32" i="15"/>
  <c r="G32" i="15"/>
  <c r="E15" i="15"/>
  <c r="G15" i="15"/>
  <c r="E33" i="15"/>
  <c r="G33" i="15"/>
  <c r="E37" i="15"/>
  <c r="G37" i="15"/>
  <c r="E16" i="15"/>
  <c r="G16" i="15"/>
  <c r="E21" i="15"/>
  <c r="G21" i="15"/>
  <c r="E27" i="15"/>
  <c r="G27" i="15"/>
  <c r="E34" i="15"/>
  <c r="G34" i="15"/>
  <c r="E35" i="15"/>
  <c r="G35" i="15"/>
  <c r="E40" i="15"/>
  <c r="I40" i="15" s="1"/>
  <c r="G40" i="15"/>
  <c r="E36" i="15"/>
  <c r="G36" i="15"/>
  <c r="E9" i="15"/>
  <c r="G9" i="15"/>
  <c r="E6" i="15"/>
  <c r="G6" i="15"/>
  <c r="E10" i="15"/>
  <c r="I10" i="15" s="1"/>
  <c r="G10" i="15"/>
  <c r="E17" i="15"/>
  <c r="G17" i="15"/>
  <c r="E22" i="15"/>
  <c r="G22" i="15"/>
  <c r="E28" i="15"/>
  <c r="G28" i="15"/>
  <c r="E43" i="15"/>
  <c r="G43" i="15"/>
  <c r="E29" i="15"/>
  <c r="G29" i="15"/>
  <c r="E38" i="15"/>
  <c r="G38" i="15"/>
  <c r="E39" i="15"/>
  <c r="G39" i="15"/>
  <c r="I31" i="15"/>
  <c r="I38" i="15" l="1"/>
  <c r="I43" i="15"/>
  <c r="I34" i="15"/>
  <c r="I21" i="15"/>
  <c r="I37" i="15"/>
  <c r="I15" i="15"/>
  <c r="I14" i="15"/>
  <c r="I24" i="15"/>
  <c r="I22" i="15"/>
  <c r="I9" i="15"/>
  <c r="I39" i="15"/>
  <c r="I29" i="15"/>
  <c r="I28" i="15"/>
  <c r="I17" i="15"/>
  <c r="I36" i="15"/>
  <c r="I35" i="15"/>
  <c r="I27" i="15"/>
  <c r="I16" i="15"/>
  <c r="I33" i="15"/>
  <c r="I32" i="15"/>
  <c r="I19" i="15"/>
  <c r="I8" i="15"/>
  <c r="I7" i="15"/>
  <c r="I41" i="15"/>
  <c r="I13" i="15"/>
  <c r="I23" i="15"/>
  <c r="I6" i="15"/>
  <c r="I18" i="15"/>
  <c r="I20" i="15"/>
  <c r="I42" i="15"/>
  <c r="I30" i="15"/>
  <c r="I11" i="15"/>
</calcChain>
</file>

<file path=xl/comments1.xml><?xml version="1.0" encoding="utf-8"?>
<comments xmlns="http://schemas.openxmlformats.org/spreadsheetml/2006/main">
  <authors>
    <author>Alexis Álvarez</author>
  </authors>
  <commentList>
    <comment ref="C7" authorId="0">
      <text>
        <r>
          <rPr>
            <i/>
            <sz val="12"/>
            <color indexed="81"/>
            <rFont val="Times New Roman"/>
            <family val="1"/>
          </rPr>
          <t>bless +1
aid +1</t>
        </r>
      </text>
    </comment>
    <comment ref="E9" authorId="0">
      <text>
        <r>
          <rPr>
            <sz val="12"/>
            <color indexed="81"/>
            <rFont val="Times New Roman"/>
            <family val="1"/>
          </rPr>
          <t>See PHB 162</t>
        </r>
      </text>
    </comment>
    <comment ref="E11" authorId="0">
      <text>
        <r>
          <rPr>
            <sz val="12"/>
            <color indexed="81"/>
            <rFont val="Times New Roman"/>
            <family val="1"/>
          </rPr>
          <t>[(5 * 6 Rogue/Trapsmith) * 75%] + (5 * 0 Con)</t>
        </r>
      </text>
    </comment>
    <comment ref="E12" authorId="0">
      <text>
        <r>
          <rPr>
            <sz val="12"/>
            <color indexed="81"/>
            <rFont val="Times New Roman"/>
            <family val="1"/>
          </rPr>
          <t>+1 vs. Traps
+2 Prot. fr. Evil</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+1 vs. mind-affecting spells</t>
        </r>
      </text>
    </comment>
    <comment ref="F4" authorId="0">
      <text>
        <r>
          <rPr>
            <i/>
            <sz val="12"/>
            <color indexed="81"/>
            <rFont val="Times New Roman"/>
            <family val="1"/>
          </rPr>
          <t>+1 vs. mind-affecting spells</t>
        </r>
      </text>
    </comment>
    <comment ref="F5" authorId="0">
      <text>
        <r>
          <rPr>
            <i/>
            <sz val="12"/>
            <color indexed="81"/>
            <rFont val="Times New Roman"/>
            <family val="1"/>
          </rPr>
          <t>+1 vs. mind-affecting spells</t>
        </r>
      </text>
    </comment>
    <comment ref="F12" authorId="0">
      <text>
        <r>
          <rPr>
            <sz val="12"/>
            <color indexed="81"/>
            <rFont val="Times New Roman"/>
            <family val="1"/>
          </rPr>
          <t>Skill Focus +2</t>
        </r>
      </text>
    </comment>
    <comment ref="F15" authorId="0">
      <text>
        <r>
          <rPr>
            <sz val="12"/>
            <color indexed="81"/>
            <rFont val="Times New Roman"/>
            <family val="1"/>
          </rPr>
          <t>MW lockpick +2
Nimble Fingers +2</t>
        </r>
      </text>
    </comment>
    <comment ref="F29" authorId="0">
      <text>
        <r>
          <rPr>
            <sz val="12"/>
            <color indexed="81"/>
            <rFont val="Times New Roman"/>
            <family val="1"/>
          </rPr>
          <t>MW lockpick +2
Nimble Fingers +2</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The winds of fortune guide your hands when you most need luck.
</t>
        </r>
        <r>
          <rPr>
            <b/>
            <sz val="12"/>
            <color indexed="81"/>
            <rFont val="Times New Roman"/>
            <family val="1"/>
          </rPr>
          <t xml:space="preserve">Benefit:  </t>
        </r>
        <r>
          <rPr>
            <sz val="12"/>
            <color indexed="81"/>
            <rFont val="Times New Roman"/>
            <family val="1"/>
          </rPr>
          <t>You can expend one luck reroll as an immediate action to reroll a Disable Device, Open Lock, or Sleight of Hand check.
You gain one luck reroll per day.
Complete Scoundrel 79</t>
        </r>
      </text>
    </comment>
    <comment ref="C2"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A3" authorId="0">
      <text>
        <r>
          <rPr>
            <sz val="12"/>
            <color indexed="81"/>
            <rFont val="Times New Roman"/>
            <family val="1"/>
          </rPr>
          <t xml:space="preserve">The powers of fortune truly smile on you more than most mortals.
</t>
        </r>
        <r>
          <rPr>
            <b/>
            <sz val="12"/>
            <color indexed="81"/>
            <rFont val="Times New Roman"/>
            <family val="1"/>
          </rPr>
          <t xml:space="preserve">Prerequisite:  </t>
        </r>
        <r>
          <rPr>
            <sz val="12"/>
            <color indexed="81"/>
            <rFont val="Times New Roman"/>
            <family val="1"/>
          </rPr>
          <t xml:space="preserve">Any luck feat.
</t>
        </r>
        <r>
          <rPr>
            <b/>
            <sz val="12"/>
            <color indexed="81"/>
            <rFont val="Times New Roman"/>
            <family val="1"/>
          </rPr>
          <t xml:space="preserve">Benefit:  </t>
        </r>
        <r>
          <rPr>
            <sz val="12"/>
            <color indexed="81"/>
            <rFont val="Times New Roman"/>
            <family val="1"/>
          </rPr>
          <t>As long as you have at least one luck reroll remaining for the day, you gain a +2 luck bonus on whichever of your saves has the lowest base bonus.  If two or more of your saves tie for the lowest base bonus, choose when you select this feat which save it applies to.
If your base save bonuses later change so that the chosen save no longer has the lowest base bonus, the luck bonus from this feat immediately applies to the save that now has the lowest base bonus.
You gain two luck rerolls per day.
Complete Scoundrel 82</t>
        </r>
      </text>
    </comment>
    <comment ref="C3" authorId="0">
      <text>
        <r>
          <rPr>
            <sz val="12"/>
            <color indexed="81"/>
            <rFont val="Times New Roman"/>
            <family val="1"/>
          </rPr>
          <t>At 3rd level, a rogue gains an intuitive sense that alerts her to danger from traps, giving her a +1 bonus on Reflex saves made to avoid traps and a +1 dodge bonus to AC against attacks made by traps.  These bonuses rise to +2 when the rogue reaches 6th level, to +3 when she reaches 9th level, to +4 when she reaches 12th level, to +5 at 15th, and to +6 at 18th level.
Trap sense bonuses gained from multiple classes stack.
PHB 50</t>
        </r>
      </text>
    </comment>
    <comment ref="A4" authorId="0">
      <text>
        <r>
          <rPr>
            <sz val="12"/>
            <color indexed="81"/>
            <rFont val="Times New Roman"/>
            <family val="1"/>
          </rPr>
          <t xml:space="preserve">You are adept at manipulating small, delicate objects.
</t>
        </r>
        <r>
          <rPr>
            <b/>
            <sz val="12"/>
            <color indexed="81"/>
            <rFont val="Times New Roman"/>
            <family val="1"/>
          </rPr>
          <t xml:space="preserve">Benefit:  </t>
        </r>
        <r>
          <rPr>
            <sz val="12"/>
            <color indexed="81"/>
            <rFont val="Times New Roman"/>
            <family val="1"/>
          </rPr>
          <t>You get a +2 bonus on all Disable Device checks and Open Lock checks.
PHB 98</t>
        </r>
      </text>
    </comment>
    <comment ref="C4" authorId="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5" authorId="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9" authorId="0">
      <text>
        <r>
          <rPr>
            <sz val="12"/>
            <color indexed="81"/>
            <rFont val="Times New Roman"/>
            <family val="1"/>
          </rPr>
          <t>Hand crossbow, rapier, sap, shortbow, and short sword.
PHB 50</t>
        </r>
      </text>
    </comment>
  </commentList>
</comments>
</file>

<file path=xl/comments4.xml><?xml version="1.0" encoding="utf-8"?>
<comments xmlns="http://schemas.openxmlformats.org/spreadsheetml/2006/main">
  <authors>
    <author>Alexis Álvarez</author>
  </authors>
  <commentList>
    <comment ref="A9" authorId="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12" authorId="0">
      <text>
        <r>
          <rPr>
            <sz val="12"/>
            <color indexed="81"/>
            <rFont val="Times New Roman"/>
            <family val="1"/>
          </rPr>
          <t>Balance, Climb, Escape Artist, Hide, Jump, Move Silently, Sleight of Hand, Tumble.</t>
        </r>
      </text>
    </comment>
    <comment ref="A14" authorId="0">
      <text>
        <r>
          <rPr>
            <b/>
            <sz val="12"/>
            <color indexed="81"/>
            <rFont val="Times New Roman"/>
            <family val="1"/>
          </rPr>
          <t xml:space="preserve">Price (Item Level):  </t>
        </r>
        <r>
          <rPr>
            <sz val="12"/>
            <color indexed="81"/>
            <rFont val="Times New Roman"/>
            <family val="1"/>
          </rPr>
          <t xml:space="preserve">5,000 gp (9th)
</t>
        </r>
        <r>
          <rPr>
            <b/>
            <sz val="12"/>
            <color indexed="81"/>
            <rFont val="Times New Roman"/>
            <family val="1"/>
          </rPr>
          <t xml:space="preserve">Body Slot:  </t>
        </r>
        <r>
          <rPr>
            <sz val="12"/>
            <color indexed="81"/>
            <rFont val="Times New Roman"/>
            <family val="1"/>
          </rPr>
          <t xml:space="preserve">Arms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2 lb.
Each of these black steel bracers is marked with an etching of crossed swords.  When activated, deathstrike bracers allow you to use melee weapons to deal extra damage from critical hits and sneak attacks to constructs, elementals, oozes, plants, and undead as if they were not immune to such extra damage.  You must still roll a critical threat and confirm it as a critical hit or qualify to deliver sneak attack damage to gain any benefit from the bracers.  This effect does not allow you to overcome any other immunity or resistance to extra damage from sneak attacks or critical hits (such as the fortification armor property).
This effect lasts for 1 round.  This ability functions three times per day.
MIC 93</t>
        </r>
      </text>
    </comment>
    <comment ref="A15" authorId="0">
      <text>
        <r>
          <rPr>
            <b/>
            <sz val="12"/>
            <color indexed="81"/>
            <rFont val="Times New Roman"/>
            <family val="1"/>
          </rPr>
          <t xml:space="preserve">Price (Item Level):  </t>
        </r>
        <r>
          <rPr>
            <sz val="12"/>
            <color indexed="81"/>
            <rFont val="Times New Roman"/>
            <family val="1"/>
          </rPr>
          <t xml:space="preserve">500 gp (3rd) (least), 4,000 gp (8th) (lesser), or 10,000 gp (12th)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abjuration
</t>
        </r>
        <r>
          <rPr>
            <b/>
            <sz val="12"/>
            <color indexed="81"/>
            <rFont val="Times New Roman"/>
            <family val="1"/>
          </rPr>
          <t xml:space="preserve">Activation:  </t>
        </r>
        <r>
          <rPr>
            <sz val="12"/>
            <color indexed="81"/>
            <rFont val="Times New Roman"/>
            <family val="1"/>
          </rPr>
          <t xml:space="preserve">—; see text
</t>
        </r>
        <r>
          <rPr>
            <b/>
            <sz val="12"/>
            <color indexed="81"/>
            <rFont val="Times New Roman"/>
            <family val="1"/>
          </rPr>
          <t xml:space="preserve">Weight: </t>
        </r>
        <r>
          <rPr>
            <sz val="12"/>
            <color indexed="81"/>
            <rFont val="Times New Roman"/>
            <family val="1"/>
          </rPr>
          <t xml:space="preserve"> —
This crystal is black as a clouded night sky.  A crystal of mind cloaking protects you against mental infiltration.
</t>
        </r>
        <r>
          <rPr>
            <b/>
            <sz val="12"/>
            <color indexed="81"/>
            <rFont val="Times New Roman"/>
            <family val="1"/>
          </rPr>
          <t xml:space="preserve">Least:  </t>
        </r>
        <r>
          <rPr>
            <sz val="12"/>
            <color indexed="81"/>
            <rFont val="Times New Roman"/>
            <family val="1"/>
          </rPr>
          <t xml:space="preserve">This augment crystal grants you a +1 competence bonus on saving throws against mind-affecting spells and abilities.
</t>
        </r>
        <r>
          <rPr>
            <b/>
            <sz val="12"/>
            <color indexed="81"/>
            <rFont val="Times New Roman"/>
            <family val="1"/>
          </rPr>
          <t xml:space="preserve">Lesser:  </t>
        </r>
        <r>
          <rPr>
            <sz val="12"/>
            <color indexed="81"/>
            <rFont val="Times New Roman"/>
            <family val="1"/>
          </rPr>
          <t xml:space="preserve">As above, except the crystal grants a +3 competence bonus.
</t>
        </r>
        <r>
          <rPr>
            <b/>
            <sz val="12"/>
            <color indexed="81"/>
            <rFont val="Times New Roman"/>
            <family val="1"/>
          </rPr>
          <t xml:space="preserve">Greater:  </t>
        </r>
        <r>
          <rPr>
            <sz val="12"/>
            <color indexed="81"/>
            <rFont val="Times New Roman"/>
            <family val="1"/>
          </rPr>
          <t xml:space="preserve">As above, except the crystal grants a +5 competence bonus. In addition, if you fail a save against a mind-affecting spell or ability, you can choose to reroll the save as an immediate (mental) action.
This ability functions once per day.
</t>
        </r>
        <r>
          <rPr>
            <b/>
            <sz val="12"/>
            <color indexed="81"/>
            <rFont val="Times New Roman"/>
            <family val="1"/>
          </rPr>
          <t xml:space="preserve">Prerequisites:  </t>
        </r>
        <r>
          <rPr>
            <sz val="12"/>
            <color indexed="81"/>
            <rFont val="Times New Roman"/>
            <family val="1"/>
          </rPr>
          <t>Craft Magic Arms and Armor, resistance.
Cost to Create: 250 gp, 20 XP, 1 day (least); 2,000 gp, 160 XP, 4 days (lesser); 5,000 gp,
400 XP, 10 days (greater).
MIC 25</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Torso
</t>
        </r>
        <r>
          <rPr>
            <b/>
            <sz val="12"/>
            <color indexed="81"/>
            <rFont val="Times New Roman"/>
            <family val="1"/>
          </rPr>
          <t>Caster Level:</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(mental)
</t>
        </r>
        <r>
          <rPr>
            <b/>
            <sz val="12"/>
            <color indexed="81"/>
            <rFont val="Times New Roman"/>
            <family val="1"/>
          </rPr>
          <t xml:space="preserve">Weight:  </t>
        </r>
        <r>
          <rPr>
            <sz val="12"/>
            <color indexed="81"/>
            <rFont val="Times New Roman"/>
            <family val="1"/>
          </rPr>
          <t xml:space="preserve">5 lb.
This otherwise plain-looking set of clothing seems to have gossamer threads woven randomly into the fabric.
When you activate shiftweave, it changes your garb to resemble any of five specific outfits designated during its creation.
Shiftweave has no effect on any armor you wear (nor can it mimic armor) and does not change the effect of any magical clothing you wear.
</t>
        </r>
        <r>
          <rPr>
            <b/>
            <sz val="12"/>
            <color indexed="81"/>
            <rFont val="Times New Roman"/>
            <family val="1"/>
          </rPr>
          <t xml:space="preserve">Lore: </t>
        </r>
        <r>
          <rPr>
            <sz val="12"/>
            <color indexed="81"/>
            <rFont val="Times New Roman"/>
            <family val="1"/>
          </rPr>
          <t xml:space="preserve"> Though originally created for wealthy socialites who wanted to avoid wearing the same gown to the gala, shiftweave is also useful to spies and assassins (Knowledge [nobility and royalty] DC 10).
</t>
        </r>
        <r>
          <rPr>
            <b/>
            <sz val="12"/>
            <color indexed="81"/>
            <rFont val="Times New Roman"/>
            <family val="1"/>
          </rPr>
          <t xml:space="preserve">Prerequisites:  </t>
        </r>
        <r>
          <rPr>
            <sz val="12"/>
            <color indexed="81"/>
            <rFont val="Times New Roman"/>
            <family val="1"/>
          </rPr>
          <t xml:space="preserve">Craft Wondrous Item, disguise self.
</t>
        </r>
        <r>
          <rPr>
            <b/>
            <sz val="12"/>
            <color indexed="81"/>
            <rFont val="Times New Roman"/>
            <family val="1"/>
          </rPr>
          <t xml:space="preserve">Cost to Create:  </t>
        </r>
        <r>
          <rPr>
            <sz val="12"/>
            <color indexed="81"/>
            <rFont val="Times New Roman"/>
            <family val="1"/>
          </rPr>
          <t>250 gp, 20 XP, 1 day.
MIC 133</t>
        </r>
      </text>
    </comment>
    <comment ref="A5" authorId="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Standard (command)
</t>
        </r>
        <r>
          <rPr>
            <b/>
            <sz val="12"/>
            <color indexed="81"/>
            <rFont val="Times New Roman"/>
            <family val="1"/>
          </rPr>
          <t xml:space="preserve">Weight:  </t>
        </r>
        <r>
          <rPr>
            <sz val="12"/>
            <color indexed="81"/>
            <rFont val="Times New Roman"/>
            <family val="1"/>
          </rPr>
          <t xml:space="preserve">—
This convex lens of crystal dangles from a chain carved from blue glass.  Activating a talisman of the disk creates a Tenser’s floating disk (PH 294).  The disk can hold 300 pounds and lasts for up to 3 hours (or until dismissed with another standard action).  The disk’s maximum range from you is 30 feet.
If you are also wearing a magic item that provides an enhancement bonus to Strength, the disk’s carrying capacityincreases by 100 pounds per point of bonus granted by the item.
</t>
        </r>
        <r>
          <rPr>
            <b/>
            <sz val="12"/>
            <color indexed="81"/>
            <rFont val="Times New Roman"/>
            <family val="1"/>
          </rPr>
          <t xml:space="preserve">Prerequisites:  </t>
        </r>
        <r>
          <rPr>
            <sz val="12"/>
            <color indexed="81"/>
            <rFont val="Times New Roman"/>
            <family val="1"/>
          </rPr>
          <t xml:space="preserve">Craft Wondrous Item, bull’s strength, Tenser’s fl oating disk.
</t>
        </r>
        <r>
          <rPr>
            <b/>
            <sz val="12"/>
            <color indexed="81"/>
            <rFont val="Times New Roman"/>
            <family val="1"/>
          </rPr>
          <t xml:space="preserve">Cost to Create:  </t>
        </r>
        <r>
          <rPr>
            <sz val="12"/>
            <color indexed="81"/>
            <rFont val="Times New Roman"/>
            <family val="1"/>
          </rPr>
          <t>250 gp, 20 XP, 1 day.
MIC 188</t>
        </r>
      </text>
    </comment>
    <comment ref="A6"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Amulet
</t>
        </r>
        <r>
          <rPr>
            <b/>
            <sz val="12"/>
            <color indexed="81"/>
            <rFont val="Times New Roman"/>
            <family val="1"/>
          </rPr>
          <t xml:space="preserve">Caster Level:  </t>
        </r>
        <r>
          <rPr>
            <sz val="12"/>
            <color indexed="81"/>
            <rFont val="Times New Roman"/>
            <family val="1"/>
          </rPr>
          <t xml:space="preserve">10th
</t>
        </r>
        <r>
          <rPr>
            <b/>
            <sz val="12"/>
            <color indexed="81"/>
            <rFont val="Times New Roman"/>
            <family val="1"/>
          </rPr>
          <t xml:space="preserve">Aura:  </t>
        </r>
        <r>
          <rPr>
            <sz val="12"/>
            <color indexed="81"/>
            <rFont val="Times New Roman"/>
            <family val="1"/>
          </rPr>
          <t xml:space="preserve">Faint; (DC 25) divination
</t>
        </r>
        <r>
          <rPr>
            <b/>
            <sz val="12"/>
            <color indexed="81"/>
            <rFont val="Times New Roman"/>
            <family val="1"/>
          </rPr>
          <t xml:space="preserve">Activation:  </t>
        </r>
        <r>
          <rPr>
            <sz val="12"/>
            <color indexed="81"/>
            <rFont val="Times New Roman"/>
            <family val="1"/>
          </rPr>
          <t xml:space="preserve">3/day, as cleric CL 10
</t>
        </r>
        <r>
          <rPr>
            <b/>
            <sz val="12"/>
            <color indexed="81"/>
            <rFont val="Times New Roman"/>
            <family val="1"/>
          </rPr>
          <t xml:space="preserve">Weight:  </t>
        </r>
        <r>
          <rPr>
            <sz val="12"/>
            <color indexed="81"/>
            <rFont val="Times New Roman"/>
            <family val="1"/>
          </rPr>
          <t xml:space="preserve">0 lbs.
This periapt allows the wearer to cast </t>
        </r>
        <r>
          <rPr>
            <i/>
            <sz val="12"/>
            <color indexed="81"/>
            <rFont val="Times New Roman"/>
            <family val="1"/>
          </rPr>
          <t>true seeing</t>
        </r>
        <r>
          <rPr>
            <sz val="12"/>
            <color indexed="81"/>
            <rFont val="Times New Roman"/>
            <family val="1"/>
          </rPr>
          <t xml:space="preserve"> as if they were a CL 10 cleric.  The item must be worn for 24 hours before its properties can be accessed.
</t>
        </r>
        <r>
          <rPr>
            <b/>
            <sz val="12"/>
            <color indexed="81"/>
            <rFont val="Times New Roman"/>
            <family val="1"/>
          </rPr>
          <t xml:space="preserve">Prerequisites:  </t>
        </r>
        <r>
          <rPr>
            <sz val="12"/>
            <color indexed="81"/>
            <rFont val="Times New Roman"/>
            <family val="1"/>
          </rPr>
          <t xml:space="preserve">Craft Wondrous Item, </t>
        </r>
        <r>
          <rPr>
            <i/>
            <sz val="12"/>
            <color indexed="81"/>
            <rFont val="Times New Roman"/>
            <family val="1"/>
          </rPr>
          <t>true seeing</t>
        </r>
        <r>
          <rPr>
            <sz val="12"/>
            <color indexed="81"/>
            <rFont val="Times New Roman"/>
            <family val="1"/>
          </rPr>
          <t>.
In-house item</t>
        </r>
      </text>
    </comment>
    <comment ref="A13" authorId="0">
      <text>
        <r>
          <rPr>
            <b/>
            <sz val="12"/>
            <color indexed="81"/>
            <rFont val="Times New Roman"/>
            <family val="1"/>
          </rPr>
          <t xml:space="preserve">Price (Item Level):  </t>
        </r>
        <r>
          <rPr>
            <sz val="12"/>
            <color indexed="81"/>
            <rFont val="Times New Roman"/>
            <family val="1"/>
          </rPr>
          <t xml:space="preserve">800 gp (3rd)
</t>
        </r>
        <r>
          <rPr>
            <b/>
            <sz val="12"/>
            <color indexed="81"/>
            <rFont val="Times New Roman"/>
            <family val="1"/>
          </rPr>
          <t xml:space="preserve">Body Slot:  </t>
        </r>
        <r>
          <rPr>
            <sz val="12"/>
            <color indexed="81"/>
            <rFont val="Times New Roman"/>
            <family val="1"/>
          </rPr>
          <t xml:space="preserve">—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conjuration
</t>
        </r>
        <r>
          <rPr>
            <b/>
            <sz val="12"/>
            <color indexed="81"/>
            <rFont val="Times New Roman"/>
            <family val="1"/>
          </rPr>
          <t xml:space="preserve">Activation:  </t>
        </r>
        <r>
          <rPr>
            <sz val="12"/>
            <color indexed="81"/>
            <rFont val="Times New Roman"/>
            <family val="1"/>
          </rPr>
          <t xml:space="preserve">Move
Five times per day, you can reach into this pouch and pull out a handful of caltrops (enough to cover a 5-foot square).  In addition to the activation cost, filling a 5-foot square with caltrops by hand requires a standard action.  The caltrops produced are not magical and follow all the rules for normal
caltrops (PH 126).
</t>
        </r>
        <r>
          <rPr>
            <b/>
            <sz val="12"/>
            <color indexed="81"/>
            <rFont val="Times New Roman"/>
            <family val="1"/>
          </rPr>
          <t xml:space="preserve">Prerequisites: </t>
        </r>
        <r>
          <rPr>
            <sz val="12"/>
            <color indexed="81"/>
            <rFont val="Times New Roman"/>
            <family val="1"/>
          </rPr>
          <t xml:space="preserve"> Craft Wondrous Item,Leomund’s secret chest.
Cost to Create: 400 gp, 32 XP, 1 day.
MIC 151</t>
        </r>
      </text>
    </comment>
  </commentList>
</comments>
</file>

<file path=xl/sharedStrings.xml><?xml version="1.0" encoding="utf-8"?>
<sst xmlns="http://schemas.openxmlformats.org/spreadsheetml/2006/main" count="368" uniqueCount="229">
  <si>
    <t>Race:</t>
  </si>
  <si>
    <t>Sex:</t>
  </si>
  <si>
    <t>Height:</t>
  </si>
  <si>
    <t>Weight:</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</si>
  <si>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</si>
  <si>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</si>
  <si>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</si>
  <si>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</si>
  <si>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</si>
  <si>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</si>
  <si>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</si>
  <si>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</si>
  <si>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</si>
  <si>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</si>
  <si>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</si>
  <si>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</si>
  <si>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</si>
  <si>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</si>
  <si>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</si>
  <si>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</si>
  <si>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</si>
  <si>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</si>
  <si>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</si>
  <si>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</si>
  <si>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</si>
  <si>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</si>
  <si>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</si>
  <si>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</si>
  <si>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</si>
  <si>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</si>
  <si>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</si>
  <si>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</si>
  <si>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</si>
  <si>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</si>
  <si>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</si>
  <si>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</si>
  <si>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</si>
  <si>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</si>
  <si>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</si>
  <si>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</si>
  <si>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</si>
  <si>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</si>
  <si>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</si>
  <si>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</si>
  <si>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</si>
  <si>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</si>
  <si>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</si>
  <si>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</si>
  <si>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</si>
  <si>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</si>
  <si>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</si>
  <si>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</si>
  <si>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</si>
  <si>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</si>
  <si>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</si>
  <si>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</si>
  <si>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</si>
  <si>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</si>
  <si>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</si>
  <si>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</si>
  <si>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</si>
  <si>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</si>
  <si>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</si>
  <si>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</si>
  <si>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</si>
  <si>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</si>
  <si>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</si>
  <si>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</si>
  <si>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</si>
  <si>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</si>
  <si>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</si>
  <si>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</si>
  <si>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</si>
  <si>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</si>
  <si>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</si>
  <si>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</si>
  <si>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</si>
  <si>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</si>
  <si>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</si>
  <si>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</si>
  <si>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</si>
  <si>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</si>
  <si>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</si>
  <si>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</si>
  <si>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</si>
  <si>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Check</t>
  </si>
  <si>
    <t>Arcane</t>
  </si>
  <si>
    <t>Speed</t>
  </si>
  <si>
    <t>Region:</t>
  </si>
  <si>
    <t>Speak Language</t>
  </si>
  <si>
    <t>Sleight of Hand</t>
  </si>
  <si>
    <t>Survival</t>
  </si>
  <si>
    <t>Attack Bonus:</t>
  </si>
  <si>
    <t>Touch AC:</t>
  </si>
  <si>
    <t>Weapon Proficiencies</t>
  </si>
  <si>
    <t>Shields (not tower)</t>
  </si>
  <si>
    <t>Atk</t>
  </si>
  <si>
    <t>1</t>
  </si>
  <si>
    <t>Feats</t>
  </si>
  <si>
    <t>Rogue</t>
  </si>
  <si>
    <t>Knowledge:  Local</t>
  </si>
  <si>
    <t>4</t>
  </si>
  <si>
    <t>Evasion</t>
  </si>
  <si>
    <t>Trapfinding</t>
  </si>
  <si>
    <t>2</t>
  </si>
  <si>
    <t>+2 to Climb</t>
  </si>
  <si>
    <t>+2 to Disable Device &amp; Open Locks</t>
  </si>
  <si>
    <t>Paper</t>
  </si>
  <si>
    <t>Sealing Wax</t>
  </si>
  <si>
    <t>Roll</t>
  </si>
  <si>
    <t>Chaotic Neutral</t>
  </si>
  <si>
    <t>Simple Weapons</t>
  </si>
  <si>
    <t>Perform:  (type)</t>
  </si>
  <si>
    <t>Profession:  (type)</t>
  </si>
  <si>
    <t>Rogue 1</t>
  </si>
  <si>
    <t>Rogue 2</t>
  </si>
  <si>
    <t>Light Armor</t>
  </si>
  <si>
    <t>Bedroll</t>
  </si>
  <si>
    <t>Parchment</t>
  </si>
  <si>
    <t>Male</t>
  </si>
  <si>
    <t>Rogue 3</t>
  </si>
  <si>
    <t>Craft:  Alchemy</t>
  </si>
  <si>
    <t>1d4</t>
  </si>
  <si>
    <t>19-20, x2</t>
  </si>
  <si>
    <t>Prcg/Slash</t>
  </si>
  <si>
    <t>Sap</t>
  </si>
  <si>
    <t>Short Sword</t>
  </si>
  <si>
    <t>100-GP value</t>
  </si>
  <si>
    <t>Assorted Jewelry</t>
  </si>
  <si>
    <t>Stash:  Inn</t>
  </si>
  <si>
    <t>Disguise Kit</t>
  </si>
  <si>
    <t>Smokesticks</t>
  </si>
  <si>
    <t>Inkpens</t>
  </si>
  <si>
    <t>Ink (1 oz. vials)</t>
  </si>
  <si>
    <t>Skill/Save</t>
  </si>
  <si>
    <t>Silk Rope</t>
  </si>
  <si>
    <t>Sacks</t>
  </si>
  <si>
    <t>Waterskin</t>
  </si>
  <si>
    <t>Whetstone</t>
  </si>
  <si>
    <t>Hammock</t>
  </si>
  <si>
    <t>Pitons</t>
  </si>
  <si>
    <t>Trail Bars</t>
  </si>
  <si>
    <t>1d3</t>
  </si>
  <si>
    <t>Piercing</t>
  </si>
  <si>
    <t>x2</t>
  </si>
  <si>
    <t>Subdual Damage</t>
  </si>
  <si>
    <t>Bludgeon</t>
  </si>
  <si>
    <t>+0</t>
  </si>
  <si>
    <t>Bullets</t>
  </si>
  <si>
    <t>1d6</t>
  </si>
  <si>
    <t>x3</t>
  </si>
  <si>
    <t>Belt with 6 Pouches</t>
  </si>
  <si>
    <t>Daggers</t>
  </si>
  <si>
    <t>MW Spear</t>
  </si>
  <si>
    <t>Oil Flask</t>
  </si>
  <si>
    <t>Map Case</t>
  </si>
  <si>
    <t>waterproof</t>
  </si>
  <si>
    <t>100’</t>
  </si>
  <si>
    <t>Climber’s Kit</t>
  </si>
  <si>
    <t>Merchant’s Scale</t>
  </si>
  <si>
    <t>Rogue Weapons</t>
  </si>
  <si>
    <t>Gold Pieces</t>
  </si>
  <si>
    <t>Actual Speed:</t>
  </si>
  <si>
    <t>Thrown Weapon</t>
  </si>
  <si>
    <t>Rogue 4</t>
  </si>
  <si>
    <t>+1 vs. Traps</t>
  </si>
  <si>
    <t>Thieves’ Tools, Masterwork</t>
  </si>
  <si>
    <t>Silver Pieces</t>
  </si>
  <si>
    <t>Copper Pieces</t>
  </si>
  <si>
    <t>Equipment Carried</t>
  </si>
  <si>
    <t>Soap Bar</t>
  </si>
  <si>
    <t>+1 vs. goblinoids</t>
  </si>
  <si>
    <t>50’</t>
  </si>
  <si>
    <t>30’</t>
  </si>
  <si>
    <t>10’ reach</t>
  </si>
  <si>
    <t>-</t>
  </si>
  <si>
    <t>FF AC:</t>
  </si>
  <si>
    <t>Deadly Precision Sling</t>
  </si>
  <si>
    <t>Changeling</t>
  </si>
  <si>
    <t>Combat Trapmith</t>
  </si>
  <si>
    <t>+2 vs. Sleep &amp; Charm</t>
  </si>
  <si>
    <t>Trap Sense +1</t>
  </si>
  <si>
    <t>Shapechange</t>
  </si>
  <si>
    <t>Common, Elven</t>
  </si>
  <si>
    <t>Sneak Attack 2d6</t>
  </si>
  <si>
    <t>Traps Known</t>
  </si>
  <si>
    <t>Footspiker</t>
  </si>
  <si>
    <t>Enfeebler</t>
  </si>
  <si>
    <t>Craft:  Trapmaking</t>
  </si>
  <si>
    <t>+10 when Shapechanged</t>
  </si>
  <si>
    <t>Knowledge:  Archit. &amp; Engin.</t>
  </si>
  <si>
    <t>Trapsmith 1</t>
  </si>
  <si>
    <t>Trapsmith 2</t>
  </si>
  <si>
    <r>
      <t>43</t>
    </r>
    <r>
      <rPr>
        <sz val="13"/>
        <rFont val="Times New Roman"/>
        <family val="1"/>
      </rPr>
      <t>/</t>
    </r>
    <r>
      <rPr>
        <sz val="13"/>
        <color indexed="52"/>
        <rFont val="Times New Roman"/>
        <family val="1"/>
      </rPr>
      <t>86</t>
    </r>
    <r>
      <rPr>
        <sz val="13"/>
        <rFont val="Times New Roman"/>
        <family val="1"/>
      </rPr>
      <t>/</t>
    </r>
    <r>
      <rPr>
        <sz val="13"/>
        <color indexed="10"/>
        <rFont val="Times New Roman"/>
        <family val="1"/>
      </rPr>
      <t>130</t>
    </r>
  </si>
  <si>
    <t>avg.</t>
  </si>
  <si>
    <t>Waterdeep</t>
  </si>
  <si>
    <t>Dwarven</t>
  </si>
  <si>
    <t>Value</t>
  </si>
  <si>
    <t>Mithral Chain Shirt +1 of Agility</t>
  </si>
  <si>
    <t>Backpack</t>
  </si>
  <si>
    <t>Sack 1</t>
  </si>
  <si>
    <t>Sack 2</t>
  </si>
  <si>
    <t>Bag of Endless Caltrops</t>
  </si>
  <si>
    <t>Scrolls and Potions</t>
  </si>
  <si>
    <t>Level</t>
  </si>
  <si>
    <t>CLev</t>
  </si>
  <si>
    <t>Talisman of the Disk</t>
  </si>
  <si>
    <t>five</t>
  </si>
  <si>
    <t>Least Crystal of Mind Cloaking</t>
  </si>
  <si>
    <t>Suit of Shiftweave</t>
  </si>
  <si>
    <t>+1 to Saves vs. mind-affecting spells</t>
  </si>
  <si>
    <t>Current Form:</t>
  </si>
  <si>
    <t>Fancy outfit, alchemist, trapper, tanner, ironmonger, locksmith</t>
  </si>
  <si>
    <t>Class/Race Features</t>
  </si>
  <si>
    <t>MW Dagger</t>
  </si>
  <si>
    <t>Total Equity:</t>
  </si>
  <si>
    <t>Wealth Cap (7th):</t>
  </si>
  <si>
    <t>Balance in coins:</t>
  </si>
  <si>
    <t>Deathstrike Bracers</t>
  </si>
  <si>
    <t>Peridot Periapt of True Seeing</t>
  </si>
  <si>
    <t>1st:  Lucky Fingers</t>
  </si>
  <si>
    <t>3rd:  Unbelievable Luck</t>
  </si>
  <si>
    <t>Kobold</t>
  </si>
  <si>
    <t>Skill Focus (Trapsmith, lvl 2)</t>
  </si>
  <si>
    <t>Combat Trapping 3</t>
  </si>
  <si>
    <t>Scorcher</t>
  </si>
  <si>
    <t>Know</t>
  </si>
  <si>
    <t>Played by Jonathan Pierce</t>
  </si>
  <si>
    <t>6th:  Nimble Fingers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</si>
</sst>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474]"/>
  </numFmts>
  <fonts count="5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b/>
      <i/>
      <sz val="13"/>
      <color indexed="53"/>
      <name val="Times New Roman"/>
      <family val="1"/>
    </font>
    <font>
      <b/>
      <i/>
      <sz val="13"/>
      <color indexed="57"/>
      <name val="Times New Roman"/>
      <family val="1"/>
    </font>
    <font>
      <b/>
      <i/>
      <sz val="13"/>
      <color indexed="10"/>
      <name val="Times New Roman"/>
      <family val="1"/>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sz val="13"/>
      <color rgb="FF009900"/>
      <name val="Times New Roman"/>
      <family val="1"/>
    </font>
    <font>
      <b/>
      <sz val="13"/>
      <color rgb="FFFF00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i/>
      <sz val="22"/>
      <color theme="7" tint="0.39997558519241921"/>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7030A0"/>
      <name val="Times New Roman"/>
      <family val="1"/>
    </font>
    <font>
      <i/>
      <sz val="12"/>
      <color indexed="81"/>
      <name val="Times New Roman"/>
      <family val="1"/>
    </font>
  </fonts>
  <fills count="12">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66FFFF"/>
        <bgColor indexed="64"/>
      </patternFill>
    </fill>
    <fill>
      <patternFill patternType="solid">
        <fgColor rgb="FFFFFF00"/>
        <bgColor indexed="64"/>
      </patternFill>
    </fill>
  </fills>
  <borders count="11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indexed="64"/>
      </right>
      <top/>
      <bottom style="thin">
        <color indexed="64"/>
      </bottom>
      <diagonal/>
    </border>
    <border>
      <left/>
      <right style="thin">
        <color indexed="64"/>
      </right>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right/>
      <top style="double">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diagonal/>
    </border>
    <border>
      <left style="double">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medium">
        <color auto="1"/>
      </right>
      <top style="thin">
        <color indexed="64"/>
      </top>
      <bottom style="double">
        <color indexed="64"/>
      </bottom>
      <diagonal/>
    </border>
    <border>
      <left style="double">
        <color indexed="64"/>
      </left>
      <right style="double">
        <color indexed="64"/>
      </right>
      <top/>
      <bottom/>
      <diagonal/>
    </border>
  </borders>
  <cellStyleXfs count="7">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5" fillId="0" borderId="0"/>
    <xf numFmtId="0" fontId="1" fillId="0" borderId="0"/>
    <xf numFmtId="0" fontId="39" fillId="0" borderId="0"/>
  </cellStyleXfs>
  <cellXfs count="39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164" fontId="4" fillId="0" borderId="0" xfId="0" applyNumberFormat="1" applyFont="1" applyBorder="1" applyAlignment="1">
      <alignment horizontal="center"/>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3" xfId="0" applyFont="1" applyFill="1" applyBorder="1" applyAlignment="1">
      <alignment horizontal="right"/>
    </xf>
    <xf numFmtId="0" fontId="13" fillId="2" borderId="15" xfId="0" applyFont="1" applyFill="1" applyBorder="1" applyAlignment="1">
      <alignment horizontal="right"/>
    </xf>
    <xf numFmtId="0" fontId="24" fillId="0" borderId="22"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3"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49" fontId="25" fillId="0" borderId="14" xfId="0" applyNumberFormat="1" applyFont="1" applyBorder="1" applyAlignment="1">
      <alignment horizontal="center"/>
    </xf>
    <xf numFmtId="0" fontId="15" fillId="0" borderId="0" xfId="0" applyNumberFormat="1" applyFont="1" applyBorder="1" applyAlignment="1">
      <alignment horizontal="centerContinuous"/>
    </xf>
    <xf numFmtId="0" fontId="4" fillId="0" borderId="0" xfId="0" applyNumberFormat="1" applyFont="1" applyBorder="1" applyAlignment="1">
      <alignment horizontal="left"/>
    </xf>
    <xf numFmtId="0" fontId="6" fillId="0" borderId="0" xfId="0" applyFont="1" applyBorder="1" applyAlignment="1">
      <alignment horizontal="center"/>
    </xf>
    <xf numFmtId="0" fontId="5" fillId="0" borderId="27" xfId="0" applyFont="1" applyBorder="1" applyAlignment="1">
      <alignment horizontal="center"/>
    </xf>
    <xf numFmtId="49" fontId="6" fillId="0" borderId="27" xfId="0" applyNumberFormat="1" applyFont="1" applyBorder="1" applyAlignment="1">
      <alignment horizontal="center"/>
    </xf>
    <xf numFmtId="49" fontId="6" fillId="0" borderId="12" xfId="0" applyNumberFormat="1" applyFont="1" applyBorder="1" applyAlignment="1">
      <alignment horizontal="center"/>
    </xf>
    <xf numFmtId="164" fontId="5" fillId="5" borderId="28" xfId="0" applyNumberFormat="1" applyFont="1" applyFill="1" applyBorder="1" applyAlignment="1">
      <alignment horizontal="center"/>
    </xf>
    <xf numFmtId="0" fontId="3" fillId="0" borderId="0" xfId="0" applyFont="1" applyBorder="1" applyAlignment="1">
      <alignment horizontal="center"/>
    </xf>
    <xf numFmtId="0" fontId="6" fillId="0" borderId="24" xfId="0" applyNumberFormat="1" applyFont="1" applyFill="1" applyBorder="1" applyAlignment="1">
      <alignment horizontal="center"/>
    </xf>
    <xf numFmtId="49" fontId="6" fillId="0" borderId="25" xfId="0" applyNumberFormat="1" applyFont="1" applyFill="1" applyBorder="1" applyAlignment="1">
      <alignment horizontal="center"/>
    </xf>
    <xf numFmtId="0" fontId="6" fillId="0" borderId="26"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3" xfId="0" quotePrefix="1" applyFont="1" applyBorder="1" applyAlignment="1">
      <alignment horizontal="center"/>
    </xf>
    <xf numFmtId="164" fontId="2" fillId="0" borderId="0" xfId="0" applyNumberFormat="1" applyFont="1" applyBorder="1" applyAlignment="1">
      <alignment horizontal="centerContinuous"/>
    </xf>
    <xf numFmtId="0" fontId="20" fillId="3" borderId="33" xfId="0" applyFont="1" applyFill="1" applyBorder="1" applyAlignment="1">
      <alignment horizontal="center"/>
    </xf>
    <xf numFmtId="164" fontId="20" fillId="3" borderId="34" xfId="0" applyNumberFormat="1" applyFont="1" applyFill="1" applyBorder="1" applyAlignment="1">
      <alignment horizontal="center"/>
    </xf>
    <xf numFmtId="0" fontId="20" fillId="3" borderId="33" xfId="0" applyFont="1" applyFill="1" applyBorder="1" applyAlignment="1">
      <alignment horizontal="right"/>
    </xf>
    <xf numFmtId="0" fontId="20" fillId="3" borderId="35" xfId="0" applyFont="1" applyFill="1" applyBorder="1" applyAlignment="1"/>
    <xf numFmtId="164" fontId="4" fillId="0" borderId="36" xfId="0" applyNumberFormat="1" applyFont="1" applyBorder="1" applyAlignment="1">
      <alignment horizontal="center" shrinkToFit="1"/>
    </xf>
    <xf numFmtId="0" fontId="4" fillId="0" borderId="37" xfId="0" applyFont="1" applyBorder="1" applyAlignment="1">
      <alignment horizontal="left" shrinkToFit="1"/>
    </xf>
    <xf numFmtId="164" fontId="4" fillId="0" borderId="38" xfId="0" applyNumberFormat="1" applyFont="1" applyBorder="1" applyAlignment="1">
      <alignment horizontal="center" shrinkToFit="1"/>
    </xf>
    <xf numFmtId="0" fontId="4" fillId="0" borderId="39"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40" xfId="0" applyFont="1" applyBorder="1" applyAlignment="1">
      <alignment horizontal="left" shrinkToFit="1"/>
    </xf>
    <xf numFmtId="164" fontId="4" fillId="0" borderId="41" xfId="0" applyNumberFormat="1" applyFont="1" applyBorder="1" applyAlignment="1">
      <alignment horizontal="center" shrinkToFit="1"/>
    </xf>
    <xf numFmtId="0" fontId="7" fillId="4" borderId="47" xfId="0" applyFont="1" applyFill="1" applyBorder="1" applyAlignment="1">
      <alignment horizontal="right"/>
    </xf>
    <xf numFmtId="0" fontId="7" fillId="4" borderId="46" xfId="0" applyFont="1" applyFill="1" applyBorder="1" applyAlignment="1">
      <alignment horizontal="right"/>
    </xf>
    <xf numFmtId="0" fontId="13" fillId="6" borderId="1" xfId="0" applyFont="1" applyFill="1" applyBorder="1" applyAlignment="1"/>
    <xf numFmtId="0" fontId="6" fillId="6" borderId="24" xfId="0" applyNumberFormat="1" applyFont="1" applyFill="1" applyBorder="1" applyAlignment="1">
      <alignment horizontal="center"/>
    </xf>
    <xf numFmtId="49" fontId="22" fillId="6" borderId="24" xfId="0" applyNumberFormat="1" applyFont="1" applyFill="1" applyBorder="1" applyAlignment="1">
      <alignment horizontal="center"/>
    </xf>
    <xf numFmtId="0" fontId="22" fillId="6" borderId="25" xfId="0" applyNumberFormat="1" applyFont="1" applyFill="1" applyBorder="1" applyAlignment="1">
      <alignment horizontal="center"/>
    </xf>
    <xf numFmtId="49" fontId="6" fillId="6" borderId="25" xfId="0" applyNumberFormat="1" applyFont="1" applyFill="1" applyBorder="1" applyAlignment="1">
      <alignment horizontal="center"/>
    </xf>
    <xf numFmtId="0" fontId="6" fillId="6" borderId="26" xfId="0" applyNumberFormat="1" applyFont="1" applyFill="1" applyBorder="1" applyAlignment="1">
      <alignment horizontal="center"/>
    </xf>
    <xf numFmtId="0" fontId="6" fillId="0" borderId="14" xfId="0" applyFont="1" applyBorder="1" applyAlignment="1">
      <alignment horizontal="center"/>
    </xf>
    <xf numFmtId="164" fontId="1" fillId="0" borderId="36" xfId="0" applyNumberFormat="1" applyFont="1" applyBorder="1" applyAlignment="1">
      <alignment horizontal="center" shrinkToFit="1"/>
    </xf>
    <xf numFmtId="0" fontId="40" fillId="2" borderId="4" xfId="0" applyFont="1" applyFill="1" applyBorder="1" applyAlignment="1">
      <alignment horizontal="right"/>
    </xf>
    <xf numFmtId="0" fontId="13" fillId="6" borderId="25" xfId="0" applyNumberFormat="1" applyFont="1" applyFill="1" applyBorder="1" applyAlignment="1">
      <alignment horizontal="center"/>
    </xf>
    <xf numFmtId="0" fontId="1" fillId="0" borderId="0" xfId="0" applyFont="1" applyBorder="1" applyAlignment="1">
      <alignment horizontal="center"/>
    </xf>
    <xf numFmtId="0" fontId="10" fillId="6" borderId="1" xfId="0" applyFont="1" applyFill="1" applyBorder="1" applyAlignment="1"/>
    <xf numFmtId="49" fontId="16" fillId="6" borderId="24" xfId="0" applyNumberFormat="1" applyFont="1" applyFill="1" applyBorder="1" applyAlignment="1">
      <alignment horizontal="center"/>
    </xf>
    <xf numFmtId="0" fontId="16" fillId="6" borderId="25" xfId="0" applyNumberFormat="1" applyFont="1" applyFill="1" applyBorder="1" applyAlignment="1">
      <alignment horizontal="center"/>
    </xf>
    <xf numFmtId="0" fontId="10" fillId="6" borderId="25" xfId="0" applyNumberFormat="1" applyFont="1" applyFill="1" applyBorder="1" applyAlignment="1">
      <alignment horizontal="center"/>
    </xf>
    <xf numFmtId="0" fontId="12" fillId="6" borderId="1" xfId="0" applyFont="1" applyFill="1" applyBorder="1" applyAlignment="1"/>
    <xf numFmtId="49" fontId="23" fillId="6" borderId="24" xfId="0" applyNumberFormat="1" applyFont="1" applyFill="1" applyBorder="1" applyAlignment="1">
      <alignment horizontal="center"/>
    </xf>
    <xf numFmtId="0" fontId="23" fillId="6" borderId="25" xfId="0" applyNumberFormat="1" applyFont="1" applyFill="1" applyBorder="1" applyAlignment="1">
      <alignment horizontal="center"/>
    </xf>
    <xf numFmtId="0" fontId="12" fillId="6" borderId="25" xfId="0" applyNumberFormat="1" applyFont="1" applyFill="1" applyBorder="1" applyAlignment="1">
      <alignment horizontal="center"/>
    </xf>
    <xf numFmtId="0" fontId="21" fillId="6" borderId="1" xfId="0" applyFont="1" applyFill="1" applyBorder="1" applyAlignment="1"/>
    <xf numFmtId="49" fontId="27" fillId="6" borderId="24" xfId="0" applyNumberFormat="1" applyFont="1" applyFill="1" applyBorder="1" applyAlignment="1">
      <alignment horizontal="center"/>
    </xf>
    <xf numFmtId="0" fontId="27" fillId="6" borderId="25" xfId="0" applyNumberFormat="1" applyFont="1" applyFill="1" applyBorder="1" applyAlignment="1">
      <alignment horizontal="center"/>
    </xf>
    <xf numFmtId="0" fontId="21" fillId="6" borderId="25" xfId="0" applyNumberFormat="1" applyFont="1" applyFill="1" applyBorder="1" applyAlignment="1">
      <alignment horizontal="center"/>
    </xf>
    <xf numFmtId="0" fontId="9" fillId="0" borderId="1" xfId="0" applyFont="1" applyFill="1" applyBorder="1" applyAlignment="1"/>
    <xf numFmtId="49" fontId="26" fillId="0" borderId="24" xfId="0" applyNumberFormat="1" applyFont="1" applyFill="1" applyBorder="1" applyAlignment="1">
      <alignment horizontal="center"/>
    </xf>
    <xf numFmtId="0" fontId="26" fillId="0" borderId="25" xfId="0" applyNumberFormat="1" applyFont="1" applyFill="1" applyBorder="1" applyAlignment="1">
      <alignment horizontal="center"/>
    </xf>
    <xf numFmtId="0" fontId="9" fillId="0" borderId="25" xfId="0" applyNumberFormat="1" applyFont="1" applyFill="1" applyBorder="1" applyAlignment="1">
      <alignment horizontal="center"/>
    </xf>
    <xf numFmtId="0" fontId="36" fillId="0" borderId="29" xfId="0" applyFont="1" applyFill="1" applyBorder="1" applyAlignment="1">
      <alignment horizontal="centerContinuous"/>
    </xf>
    <xf numFmtId="0" fontId="6" fillId="0" borderId="0" xfId="0" applyFont="1" applyFill="1" applyBorder="1" applyAlignment="1">
      <alignment wrapText="1"/>
    </xf>
    <xf numFmtId="0" fontId="41" fillId="0" borderId="32" xfId="0" applyFont="1" applyFill="1" applyBorder="1" applyAlignment="1">
      <alignment horizontal="center" shrinkToFit="1"/>
    </xf>
    <xf numFmtId="0" fontId="6" fillId="0" borderId="0" xfId="0" applyFont="1" applyFill="1" applyBorder="1" applyAlignment="1">
      <alignment horizontal="left" wrapText="1"/>
    </xf>
    <xf numFmtId="0" fontId="37" fillId="0" borderId="29" xfId="0" applyFont="1" applyFill="1" applyBorder="1" applyAlignment="1">
      <alignment horizontal="centerContinuous" vertical="center" wrapText="1"/>
    </xf>
    <xf numFmtId="0" fontId="38" fillId="0" borderId="29" xfId="0" applyFont="1" applyFill="1" applyBorder="1" applyAlignment="1">
      <alignment horizontal="centerContinuous" vertical="center" wrapText="1"/>
    </xf>
    <xf numFmtId="0" fontId="6" fillId="0" borderId="48" xfId="0" applyFont="1" applyFill="1" applyBorder="1" applyAlignment="1">
      <alignment horizontal="centerContinuous"/>
    </xf>
    <xf numFmtId="0" fontId="6" fillId="0" borderId="44" xfId="0" applyFont="1" applyFill="1" applyBorder="1" applyAlignment="1">
      <alignment horizontal="centerContinuous"/>
    </xf>
    <xf numFmtId="0" fontId="5" fillId="0" borderId="0" xfId="0" applyFont="1" applyFill="1" applyBorder="1" applyAlignment="1">
      <alignment horizontal="right" wrapText="1"/>
    </xf>
    <xf numFmtId="0" fontId="25" fillId="0" borderId="14" xfId="0" applyNumberFormat="1" applyFont="1" applyBorder="1" applyAlignment="1">
      <alignment horizontal="center"/>
    </xf>
    <xf numFmtId="0" fontId="6" fillId="0" borderId="51" xfId="0" applyFont="1" applyFill="1" applyBorder="1" applyAlignment="1">
      <alignment horizontal="centerContinuous"/>
    </xf>
    <xf numFmtId="0" fontId="6" fillId="0" borderId="50" xfId="0" applyFont="1" applyFill="1" applyBorder="1" applyAlignment="1">
      <alignment horizontal="centerContinuous"/>
    </xf>
    <xf numFmtId="0" fontId="13" fillId="0" borderId="1" xfId="0" applyFont="1" applyFill="1" applyBorder="1" applyAlignment="1"/>
    <xf numFmtId="49" fontId="22" fillId="0" borderId="24" xfId="0" applyNumberFormat="1" applyFont="1" applyFill="1" applyBorder="1" applyAlignment="1">
      <alignment horizontal="center"/>
    </xf>
    <xf numFmtId="0" fontId="22" fillId="0" borderId="25" xfId="0" applyNumberFormat="1" applyFont="1" applyFill="1" applyBorder="1" applyAlignment="1">
      <alignment horizontal="center"/>
    </xf>
    <xf numFmtId="0" fontId="13" fillId="0" borderId="25" xfId="0" applyNumberFormat="1" applyFont="1" applyFill="1" applyBorder="1" applyAlignment="1">
      <alignment horizontal="center"/>
    </xf>
    <xf numFmtId="0" fontId="12" fillId="0" borderId="1" xfId="0" applyFont="1" applyFill="1" applyBorder="1" applyAlignment="1"/>
    <xf numFmtId="49" fontId="23" fillId="0" borderId="24" xfId="0" applyNumberFormat="1" applyFont="1" applyFill="1" applyBorder="1" applyAlignment="1">
      <alignment horizontal="center"/>
    </xf>
    <xf numFmtId="0" fontId="23" fillId="0" borderId="25" xfId="0" applyNumberFormat="1" applyFont="1" applyFill="1" applyBorder="1" applyAlignment="1">
      <alignment horizontal="center"/>
    </xf>
    <xf numFmtId="0" fontId="12" fillId="0" borderId="25" xfId="0" applyNumberFormat="1" applyFont="1" applyFill="1" applyBorder="1" applyAlignment="1">
      <alignment horizontal="center"/>
    </xf>
    <xf numFmtId="0" fontId="21" fillId="0" borderId="1" xfId="0" applyFont="1" applyFill="1" applyBorder="1" applyAlignment="1"/>
    <xf numFmtId="49" fontId="27" fillId="0" borderId="24" xfId="0" applyNumberFormat="1" applyFont="1" applyFill="1" applyBorder="1" applyAlignment="1">
      <alignment horizontal="center"/>
    </xf>
    <xf numFmtId="0" fontId="27" fillId="0" borderId="25" xfId="0" applyNumberFormat="1" applyFont="1" applyFill="1" applyBorder="1" applyAlignment="1">
      <alignment horizontal="center"/>
    </xf>
    <xf numFmtId="0" fontId="21" fillId="0" borderId="25" xfId="0" applyNumberFormat="1" applyFont="1" applyFill="1" applyBorder="1" applyAlignment="1">
      <alignment horizontal="center"/>
    </xf>
    <xf numFmtId="0" fontId="7" fillId="0" borderId="1" xfId="0" applyFont="1" applyFill="1" applyBorder="1" applyAlignment="1"/>
    <xf numFmtId="49" fontId="17" fillId="0" borderId="24" xfId="0" applyNumberFormat="1" applyFont="1" applyFill="1" applyBorder="1" applyAlignment="1">
      <alignment horizontal="center"/>
    </xf>
    <xf numFmtId="0" fontId="17" fillId="0" borderId="25" xfId="0" applyNumberFormat="1" applyFont="1" applyFill="1" applyBorder="1" applyAlignment="1">
      <alignment horizontal="center"/>
    </xf>
    <xf numFmtId="0" fontId="7" fillId="0" borderId="25" xfId="0" applyNumberFormat="1" applyFont="1" applyFill="1" applyBorder="1" applyAlignment="1">
      <alignment horizontal="center"/>
    </xf>
    <xf numFmtId="0" fontId="3" fillId="0" borderId="0" xfId="0" applyFont="1" applyBorder="1" applyAlignment="1">
      <alignment horizontal="left"/>
    </xf>
    <xf numFmtId="0" fontId="1" fillId="0" borderId="52" xfId="0" applyFont="1" applyBorder="1" applyAlignment="1">
      <alignment horizontal="center" shrinkToFit="1"/>
    </xf>
    <xf numFmtId="0" fontId="43" fillId="0" borderId="32" xfId="0" applyFont="1" applyFill="1" applyBorder="1" applyAlignment="1">
      <alignment horizontal="centerContinuous"/>
    </xf>
    <xf numFmtId="0" fontId="3" fillId="2" borderId="54" xfId="0" applyFont="1" applyFill="1" applyBorder="1" applyAlignment="1">
      <alignment horizontal="centerContinuous"/>
    </xf>
    <xf numFmtId="0" fontId="4" fillId="2" borderId="54" xfId="0" applyFont="1" applyFill="1" applyBorder="1" applyAlignment="1">
      <alignment horizontal="centerContinuous"/>
    </xf>
    <xf numFmtId="0" fontId="44" fillId="0" borderId="1" xfId="0" applyFont="1" applyFill="1" applyBorder="1" applyAlignment="1"/>
    <xf numFmtId="0" fontId="5" fillId="0" borderId="24"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applyAlignment="1">
      <alignment horizontal="center" wrapText="1"/>
    </xf>
    <xf numFmtId="1" fontId="6" fillId="0" borderId="24" xfId="0" applyNumberFormat="1" applyFont="1" applyFill="1" applyBorder="1" applyAlignment="1">
      <alignment horizontal="center" wrapText="1"/>
    </xf>
    <xf numFmtId="0" fontId="45" fillId="8" borderId="25" xfId="0" applyNumberFormat="1" applyFont="1" applyFill="1" applyBorder="1" applyAlignment="1">
      <alignment horizontal="center"/>
    </xf>
    <xf numFmtId="49" fontId="6" fillId="0" borderId="24" xfId="0" applyNumberFormat="1" applyFont="1" applyFill="1" applyBorder="1" applyAlignment="1">
      <alignment horizontal="center" wrapText="1"/>
    </xf>
    <xf numFmtId="0" fontId="46" fillId="0" borderId="1" xfId="0" applyFont="1" applyFill="1" applyBorder="1" applyAlignment="1"/>
    <xf numFmtId="0" fontId="47" fillId="0" borderId="58" xfId="0" applyFont="1" applyFill="1" applyBorder="1" applyAlignment="1"/>
    <xf numFmtId="0" fontId="5" fillId="0" borderId="59" xfId="0" applyFont="1" applyFill="1" applyBorder="1" applyAlignment="1">
      <alignment horizontal="center"/>
    </xf>
    <xf numFmtId="0" fontId="6" fillId="0" borderId="59" xfId="0" applyFont="1" applyFill="1" applyBorder="1" applyAlignment="1">
      <alignment horizontal="center"/>
    </xf>
    <xf numFmtId="0" fontId="6" fillId="0" borderId="59" xfId="0" applyFont="1" applyFill="1" applyBorder="1" applyAlignment="1">
      <alignment horizontal="center" wrapText="1"/>
    </xf>
    <xf numFmtId="1" fontId="6" fillId="0" borderId="59" xfId="0" applyNumberFormat="1" applyFont="1" applyFill="1" applyBorder="1" applyAlignment="1">
      <alignment horizontal="center" wrapText="1"/>
    </xf>
    <xf numFmtId="0" fontId="45" fillId="8" borderId="59" xfId="0" applyNumberFormat="1" applyFont="1" applyFill="1" applyBorder="1" applyAlignment="1">
      <alignment horizontal="center"/>
    </xf>
    <xf numFmtId="49" fontId="6" fillId="0" borderId="59" xfId="0" applyNumberFormat="1" applyFont="1" applyFill="1" applyBorder="1" applyAlignment="1">
      <alignment horizontal="center" wrapText="1"/>
    </xf>
    <xf numFmtId="0" fontId="47" fillId="0" borderId="24" xfId="0" applyFont="1" applyFill="1" applyBorder="1" applyAlignment="1">
      <alignment horizontal="center" wrapText="1"/>
    </xf>
    <xf numFmtId="0" fontId="48" fillId="0" borderId="59" xfId="0" applyFont="1" applyFill="1" applyBorder="1" applyAlignment="1">
      <alignment horizontal="center" wrapText="1"/>
    </xf>
    <xf numFmtId="0" fontId="5" fillId="4" borderId="60" xfId="0" applyFont="1" applyFill="1" applyBorder="1" applyAlignment="1">
      <alignment horizontal="right"/>
    </xf>
    <xf numFmtId="0" fontId="5" fillId="4" borderId="63" xfId="0" applyFont="1" applyFill="1" applyBorder="1" applyAlignment="1">
      <alignment horizontal="right"/>
    </xf>
    <xf numFmtId="49" fontId="6" fillId="0" borderId="64" xfId="0" applyNumberFormat="1" applyFont="1" applyFill="1" applyBorder="1" applyAlignment="1">
      <alignment horizontal="center"/>
    </xf>
    <xf numFmtId="0" fontId="6" fillId="0" borderId="12" xfId="0" applyFont="1" applyFill="1" applyBorder="1" applyAlignment="1">
      <alignment horizontal="center"/>
    </xf>
    <xf numFmtId="0" fontId="49" fillId="2" borderId="53" xfId="0" applyFont="1" applyFill="1" applyBorder="1" applyAlignment="1">
      <alignment horizontal="right"/>
    </xf>
    <xf numFmtId="0" fontId="49" fillId="2" borderId="54" xfId="0" applyFont="1" applyFill="1" applyBorder="1" applyAlignment="1">
      <alignment horizontal="left"/>
    </xf>
    <xf numFmtId="0" fontId="6" fillId="0" borderId="65" xfId="0" quotePrefix="1" applyFont="1" applyFill="1" applyBorder="1" applyAlignment="1">
      <alignment horizontal="center"/>
    </xf>
    <xf numFmtId="0" fontId="10" fillId="0" borderId="1" xfId="0" applyFont="1" applyFill="1" applyBorder="1" applyAlignment="1"/>
    <xf numFmtId="49" fontId="16" fillId="0" borderId="24" xfId="0" applyNumberFormat="1" applyFont="1" applyFill="1" applyBorder="1" applyAlignment="1">
      <alignment horizontal="center"/>
    </xf>
    <xf numFmtId="0" fontId="16" fillId="0" borderId="25" xfId="0" applyNumberFormat="1" applyFont="1" applyFill="1" applyBorder="1" applyAlignment="1">
      <alignment horizontal="center"/>
    </xf>
    <xf numFmtId="0" fontId="10" fillId="0" borderId="25" xfId="0" applyNumberFormat="1" applyFont="1" applyFill="1" applyBorder="1" applyAlignment="1">
      <alignment horizontal="center"/>
    </xf>
    <xf numFmtId="0" fontId="6" fillId="0" borderId="26" xfId="0" quotePrefix="1" applyNumberFormat="1" applyFont="1" applyFill="1" applyBorder="1" applyAlignment="1">
      <alignment horizontal="center"/>
    </xf>
    <xf numFmtId="0" fontId="45" fillId="8" borderId="42" xfId="0" applyNumberFormat="1" applyFont="1" applyFill="1" applyBorder="1" applyAlignment="1">
      <alignment horizontal="center"/>
    </xf>
    <xf numFmtId="0" fontId="1" fillId="0" borderId="73" xfId="0" applyFont="1" applyBorder="1" applyAlignment="1">
      <alignment horizontal="center" shrinkToFit="1"/>
    </xf>
    <xf numFmtId="0" fontId="4" fillId="0" borderId="41" xfId="0" applyFont="1" applyBorder="1" applyAlignment="1">
      <alignment horizontal="left"/>
    </xf>
    <xf numFmtId="0" fontId="4" fillId="0" borderId="36" xfId="0" applyFont="1" applyBorder="1" applyAlignment="1">
      <alignment horizontal="left"/>
    </xf>
    <xf numFmtId="0" fontId="4" fillId="0" borderId="52" xfId="0" applyFont="1" applyBorder="1" applyAlignment="1">
      <alignment horizontal="center" shrinkToFit="1"/>
    </xf>
    <xf numFmtId="0" fontId="4" fillId="0" borderId="74" xfId="0" applyFont="1" applyBorder="1" applyAlignment="1">
      <alignment horizontal="center" shrinkToFit="1"/>
    </xf>
    <xf numFmtId="0" fontId="4" fillId="0" borderId="38" xfId="0" applyFont="1" applyBorder="1" applyAlignment="1">
      <alignment horizontal="left"/>
    </xf>
    <xf numFmtId="164" fontId="1" fillId="0" borderId="41" xfId="0" applyNumberFormat="1" applyFont="1" applyBorder="1" applyAlignment="1">
      <alignment horizontal="center" shrinkToFit="1"/>
    </xf>
    <xf numFmtId="0" fontId="1" fillId="0" borderId="36" xfId="0" applyFont="1" applyBorder="1" applyAlignment="1">
      <alignment horizontal="left"/>
    </xf>
    <xf numFmtId="0" fontId="1" fillId="0" borderId="74" xfId="0" applyFont="1" applyBorder="1" applyAlignment="1">
      <alignment horizontal="center" shrinkToFit="1"/>
    </xf>
    <xf numFmtId="0" fontId="1" fillId="0" borderId="38" xfId="0" applyFont="1" applyBorder="1" applyAlignment="1">
      <alignment horizontal="left"/>
    </xf>
    <xf numFmtId="0" fontId="1" fillId="0" borderId="36" xfId="0" quotePrefix="1" applyFont="1" applyBorder="1" applyAlignment="1">
      <alignment horizontal="left"/>
    </xf>
    <xf numFmtId="0" fontId="1" fillId="0" borderId="7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49" fontId="1" fillId="0" borderId="70" xfId="2" applyNumberFormat="1" applyFont="1" applyFill="1" applyBorder="1" applyAlignment="1">
      <alignment horizontal="center" vertical="center"/>
    </xf>
    <xf numFmtId="0" fontId="1" fillId="0" borderId="70" xfId="0" applyFont="1" applyFill="1" applyBorder="1" applyAlignment="1">
      <alignment horizontal="center" vertical="center" shrinkToFit="1"/>
    </xf>
    <xf numFmtId="164" fontId="1" fillId="0" borderId="70" xfId="0" applyNumberFormat="1" applyFont="1" applyFill="1" applyBorder="1" applyAlignment="1">
      <alignment horizontal="center" vertical="center"/>
    </xf>
    <xf numFmtId="164" fontId="4" fillId="0" borderId="69" xfId="0" applyNumberFormat="1" applyFont="1" applyBorder="1" applyAlignment="1">
      <alignment horizontal="center" vertical="center"/>
    </xf>
    <xf numFmtId="1" fontId="51" fillId="8" borderId="69" xfId="0" applyNumberFormat="1" applyFont="1" applyFill="1" applyBorder="1" applyAlignment="1">
      <alignment horizontal="center" vertical="center"/>
    </xf>
    <xf numFmtId="1" fontId="1" fillId="0" borderId="69" xfId="0" applyNumberFormat="1" applyFont="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7" xfId="0" quotePrefix="1" applyFont="1" applyFill="1" applyBorder="1" applyAlignment="1">
      <alignment horizontal="center" vertical="center" wrapText="1"/>
    </xf>
    <xf numFmtId="49" fontId="1" fillId="0" borderId="77" xfId="2" applyNumberFormat="1" applyFont="1" applyFill="1" applyBorder="1" applyAlignment="1">
      <alignment horizontal="center" vertical="center"/>
    </xf>
    <xf numFmtId="0" fontId="1" fillId="0" borderId="77" xfId="0" applyFont="1" applyFill="1" applyBorder="1" applyAlignment="1">
      <alignment horizontal="center" vertical="center" shrinkToFit="1"/>
    </xf>
    <xf numFmtId="164" fontId="1" fillId="0" borderId="77" xfId="0" applyNumberFormat="1" applyFont="1" applyFill="1" applyBorder="1" applyAlignment="1">
      <alignment horizontal="center" vertical="center"/>
    </xf>
    <xf numFmtId="164" fontId="4" fillId="0" borderId="78" xfId="0" applyNumberFormat="1" applyFont="1" applyBorder="1" applyAlignment="1">
      <alignment horizontal="center" vertical="center"/>
    </xf>
    <xf numFmtId="1" fontId="51" fillId="8" borderId="78" xfId="0" applyNumberFormat="1" applyFont="1" applyFill="1" applyBorder="1" applyAlignment="1">
      <alignment horizontal="center" vertical="center"/>
    </xf>
    <xf numFmtId="1" fontId="1" fillId="0" borderId="78" xfId="0" applyNumberFormat="1"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4" fillId="0" borderId="81" xfId="0" quotePrefix="1" applyFont="1" applyBorder="1" applyAlignment="1">
      <alignment horizontal="center" vertical="center" wrapText="1"/>
    </xf>
    <xf numFmtId="49" fontId="4" fillId="0" borderId="81" xfId="2" applyNumberFormat="1" applyFont="1" applyBorder="1" applyAlignment="1">
      <alignment horizontal="center" vertical="center"/>
    </xf>
    <xf numFmtId="49" fontId="1" fillId="0" borderId="81" xfId="2" applyNumberFormat="1" applyFont="1" applyBorder="1" applyAlignment="1">
      <alignment horizontal="center" vertical="center"/>
    </xf>
    <xf numFmtId="0" fontId="1" fillId="0" borderId="81" xfId="0" applyFont="1" applyBorder="1" applyAlignment="1">
      <alignment horizontal="center" vertical="center" shrinkToFit="1"/>
    </xf>
    <xf numFmtId="164" fontId="4" fillId="0" borderId="81" xfId="0" applyNumberFormat="1" applyFont="1" applyBorder="1" applyAlignment="1">
      <alignment horizontal="center" vertical="center"/>
    </xf>
    <xf numFmtId="164" fontId="4" fillId="0" borderId="82" xfId="0" applyNumberFormat="1" applyFont="1" applyBorder="1" applyAlignment="1">
      <alignment horizontal="center" vertical="center"/>
    </xf>
    <xf numFmtId="0" fontId="1" fillId="0" borderId="83" xfId="0" applyFont="1" applyBorder="1" applyAlignment="1">
      <alignment horizontal="center" vertical="center"/>
    </xf>
    <xf numFmtId="0" fontId="11" fillId="3" borderId="56"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4" xfId="0" applyNumberFormat="1" applyFont="1" applyFill="1" applyBorder="1" applyAlignment="1">
      <alignment horizontal="center" vertical="center" wrapText="1"/>
    </xf>
    <xf numFmtId="0" fontId="48" fillId="8" borderId="33" xfId="0" applyNumberFormat="1" applyFont="1" applyFill="1" applyBorder="1" applyAlignment="1">
      <alignment horizontal="center" vertical="center" wrapText="1"/>
    </xf>
    <xf numFmtId="0" fontId="11" fillId="3" borderId="34" xfId="0" applyNumberFormat="1" applyFont="1" applyFill="1" applyBorder="1" applyAlignment="1">
      <alignment horizontal="center" vertical="center"/>
    </xf>
    <xf numFmtId="0" fontId="11" fillId="3" borderId="57" xfId="0" applyFont="1" applyFill="1" applyBorder="1" applyAlignment="1">
      <alignment horizontal="center" vertical="center"/>
    </xf>
    <xf numFmtId="0" fontId="3" fillId="0" borderId="0" xfId="0" applyFont="1" applyBorder="1" applyAlignment="1">
      <alignment vertical="center"/>
    </xf>
    <xf numFmtId="0" fontId="10" fillId="9" borderId="1" xfId="0" applyFont="1" applyFill="1" applyBorder="1" applyAlignment="1"/>
    <xf numFmtId="0" fontId="6" fillId="9" borderId="24" xfId="0" applyNumberFormat="1" applyFont="1" applyFill="1" applyBorder="1" applyAlignment="1">
      <alignment horizontal="center"/>
    </xf>
    <xf numFmtId="49" fontId="16" fillId="9" borderId="24" xfId="0" applyNumberFormat="1" applyFont="1" applyFill="1" applyBorder="1" applyAlignment="1">
      <alignment horizontal="center"/>
    </xf>
    <xf numFmtId="0" fontId="16" fillId="9" borderId="25" xfId="0" applyNumberFormat="1" applyFont="1" applyFill="1" applyBorder="1" applyAlignment="1">
      <alignment horizontal="center"/>
    </xf>
    <xf numFmtId="0" fontId="10" fillId="9" borderId="25" xfId="0" applyNumberFormat="1" applyFont="1" applyFill="1" applyBorder="1" applyAlignment="1">
      <alignment horizontal="center"/>
    </xf>
    <xf numFmtId="49" fontId="6" fillId="9" borderId="25" xfId="0" applyNumberFormat="1" applyFont="1" applyFill="1" applyBorder="1" applyAlignment="1">
      <alignment horizontal="center"/>
    </xf>
    <xf numFmtId="0" fontId="6" fillId="9" borderId="26" xfId="0" quotePrefix="1" applyNumberFormat="1" applyFont="1" applyFill="1" applyBorder="1" applyAlignment="1">
      <alignment horizontal="center"/>
    </xf>
    <xf numFmtId="0" fontId="6" fillId="9" borderId="26" xfId="0" applyNumberFormat="1" applyFont="1" applyFill="1" applyBorder="1" applyAlignment="1">
      <alignment horizontal="center"/>
    </xf>
    <xf numFmtId="0" fontId="13" fillId="9" borderId="1" xfId="0" applyFont="1" applyFill="1" applyBorder="1" applyAlignment="1"/>
    <xf numFmtId="49" fontId="27" fillId="9" borderId="24" xfId="0" applyNumberFormat="1" applyFont="1" applyFill="1" applyBorder="1" applyAlignment="1">
      <alignment horizontal="center"/>
    </xf>
    <xf numFmtId="0" fontId="27" fillId="9" borderId="25" xfId="0" applyNumberFormat="1" applyFont="1" applyFill="1" applyBorder="1" applyAlignment="1">
      <alignment horizontal="center"/>
    </xf>
    <xf numFmtId="0" fontId="21" fillId="9" borderId="25" xfId="0" applyNumberFormat="1" applyFont="1" applyFill="1" applyBorder="1" applyAlignment="1">
      <alignment horizontal="center"/>
    </xf>
    <xf numFmtId="0" fontId="6" fillId="0" borderId="32" xfId="0" applyFont="1" applyFill="1" applyBorder="1" applyAlignment="1">
      <alignment horizontal="centerContinuous"/>
    </xf>
    <xf numFmtId="0" fontId="52" fillId="4" borderId="91" xfId="0" applyFont="1" applyFill="1" applyBorder="1" applyAlignment="1">
      <alignment horizontal="right"/>
    </xf>
    <xf numFmtId="0" fontId="1" fillId="0" borderId="92" xfId="0" applyFont="1" applyBorder="1" applyAlignment="1">
      <alignment horizontal="center" shrinkToFit="1"/>
    </xf>
    <xf numFmtId="0" fontId="1" fillId="0" borderId="93" xfId="0" applyFont="1" applyBorder="1" applyAlignment="1">
      <alignment horizontal="center" shrinkToFit="1"/>
    </xf>
    <xf numFmtId="0" fontId="4" fillId="0" borderId="92" xfId="0" applyFont="1" applyBorder="1" applyAlignment="1">
      <alignment horizontal="center" shrinkToFit="1"/>
    </xf>
    <xf numFmtId="0" fontId="4" fillId="0" borderId="93" xfId="0" applyFont="1" applyBorder="1" applyAlignment="1">
      <alignment horizontal="center" shrinkToFit="1"/>
    </xf>
    <xf numFmtId="0" fontId="20" fillId="3" borderId="34" xfId="0" applyFont="1" applyFill="1" applyBorder="1" applyAlignment="1">
      <alignment horizontal="center"/>
    </xf>
    <xf numFmtId="0" fontId="1" fillId="0" borderId="95" xfId="0" quotePrefix="1" applyFont="1" applyBorder="1" applyAlignment="1">
      <alignment horizontal="center" vertical="center"/>
    </xf>
    <xf numFmtId="0" fontId="10" fillId="4" borderId="96" xfId="0" applyFont="1" applyFill="1" applyBorder="1" applyAlignment="1">
      <alignment horizontal="right"/>
    </xf>
    <xf numFmtId="0" fontId="10" fillId="4" borderId="97" xfId="0" applyFont="1" applyFill="1" applyBorder="1" applyAlignment="1">
      <alignment horizontal="right"/>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7" borderId="16" xfId="0" applyFont="1" applyFill="1" applyBorder="1" applyAlignment="1">
      <alignment horizontal="center" vertical="center"/>
    </xf>
    <xf numFmtId="0" fontId="20" fillId="7" borderId="17" xfId="0" applyFont="1" applyFill="1" applyBorder="1" applyAlignment="1">
      <alignment horizontal="center" vertical="center"/>
    </xf>
    <xf numFmtId="49" fontId="20" fillId="7" borderId="17"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50" fillId="8" borderId="21" xfId="0" applyFont="1" applyFill="1" applyBorder="1" applyAlignment="1">
      <alignment horizontal="center" vertical="center"/>
    </xf>
    <xf numFmtId="0" fontId="20" fillId="7" borderId="18" xfId="0" applyFont="1" applyFill="1" applyBorder="1" applyAlignment="1">
      <alignment horizontal="center" vertical="center"/>
    </xf>
    <xf numFmtId="1" fontId="51" fillId="8" borderId="82" xfId="0" applyNumberFormat="1" applyFont="1" applyFill="1" applyBorder="1" applyAlignment="1">
      <alignment horizontal="center" vertical="center"/>
    </xf>
    <xf numFmtId="1" fontId="1" fillId="0" borderId="82" xfId="0" applyNumberFormat="1" applyFont="1" applyFill="1" applyBorder="1" applyAlignment="1">
      <alignment horizontal="center" vertical="center"/>
    </xf>
    <xf numFmtId="0" fontId="4" fillId="0" borderId="0" xfId="0" applyFont="1" applyBorder="1" applyAlignment="1">
      <alignment horizontal="center" vertical="center"/>
    </xf>
    <xf numFmtId="0" fontId="1" fillId="0" borderId="75" xfId="0" applyFont="1" applyBorder="1" applyAlignment="1">
      <alignment horizontal="center" vertical="center"/>
    </xf>
    <xf numFmtId="0" fontId="1" fillId="0" borderId="70" xfId="0" applyFont="1" applyBorder="1" applyAlignment="1">
      <alignment horizontal="center" vertical="center"/>
    </xf>
    <xf numFmtId="49" fontId="1" fillId="0" borderId="70" xfId="0" applyNumberFormat="1" applyFont="1" applyBorder="1" applyAlignment="1">
      <alignment horizontal="center" vertical="center"/>
    </xf>
    <xf numFmtId="164" fontId="1" fillId="0" borderId="70" xfId="0" applyNumberFormat="1" applyFont="1" applyBorder="1" applyAlignment="1">
      <alignment horizontal="center" vertical="center"/>
    </xf>
    <xf numFmtId="164" fontId="1" fillId="0" borderId="69" xfId="0" applyNumberFormat="1" applyFont="1" applyFill="1" applyBorder="1" applyAlignment="1">
      <alignment horizontal="center" vertical="center"/>
    </xf>
    <xf numFmtId="1" fontId="1" fillId="0" borderId="69" xfId="0" applyNumberFormat="1" applyFont="1" applyFill="1" applyBorder="1" applyAlignment="1">
      <alignment horizontal="center" vertical="center"/>
    </xf>
    <xf numFmtId="0" fontId="1" fillId="0" borderId="71" xfId="0" quotePrefix="1" applyFont="1" applyBorder="1" applyAlignment="1">
      <alignment horizontal="center" vertical="center"/>
    </xf>
    <xf numFmtId="0" fontId="1" fillId="10" borderId="15" xfId="0" applyFont="1" applyFill="1" applyBorder="1" applyAlignment="1">
      <alignment horizontal="center" vertical="center"/>
    </xf>
    <xf numFmtId="0" fontId="1" fillId="10" borderId="42" xfId="0" applyFont="1" applyFill="1" applyBorder="1" applyAlignment="1">
      <alignment horizontal="center" vertical="center"/>
    </xf>
    <xf numFmtId="49" fontId="1" fillId="10" borderId="42" xfId="0" applyNumberFormat="1" applyFont="1" applyFill="1" applyBorder="1" applyAlignment="1">
      <alignment horizontal="center" vertical="center"/>
    </xf>
    <xf numFmtId="164" fontId="1" fillId="10" borderId="42" xfId="0" applyNumberFormat="1" applyFont="1" applyFill="1" applyBorder="1" applyAlignment="1">
      <alignment horizontal="center" vertical="center"/>
    </xf>
    <xf numFmtId="164" fontId="1" fillId="10" borderId="43" xfId="0" applyNumberFormat="1" applyFont="1" applyFill="1" applyBorder="1" applyAlignment="1">
      <alignment horizontal="center" vertical="center"/>
    </xf>
    <xf numFmtId="1" fontId="51" fillId="8" borderId="43" xfId="0" applyNumberFormat="1" applyFont="1" applyFill="1" applyBorder="1" applyAlignment="1">
      <alignment horizontal="center" vertical="center"/>
    </xf>
    <xf numFmtId="1" fontId="1" fillId="10" borderId="43" xfId="0" applyNumberFormat="1" applyFont="1" applyFill="1" applyBorder="1" applyAlignment="1">
      <alignment horizontal="center" vertical="center"/>
    </xf>
    <xf numFmtId="0" fontId="1" fillId="10" borderId="31"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1" xfId="0" applyFont="1" applyFill="1" applyBorder="1" applyAlignment="1">
      <alignment horizontal="centerContinuous" vertical="center"/>
    </xf>
    <xf numFmtId="0" fontId="20" fillId="7" borderId="72" xfId="0" applyFont="1" applyFill="1" applyBorder="1" applyAlignment="1">
      <alignment horizontal="centerContinuous" vertical="center"/>
    </xf>
    <xf numFmtId="0" fontId="20" fillId="7" borderId="45" xfId="0" applyFont="1" applyFill="1" applyBorder="1" applyAlignment="1">
      <alignment horizontal="centerContinuous" vertical="center"/>
    </xf>
    <xf numFmtId="0" fontId="4" fillId="0" borderId="70" xfId="0" applyFont="1" applyBorder="1" applyAlignment="1">
      <alignment horizontal="center" vertical="center"/>
    </xf>
    <xf numFmtId="0" fontId="1" fillId="0" borderId="70" xfId="0" quotePrefix="1" applyFont="1" applyBorder="1" applyAlignment="1">
      <alignment horizontal="center" vertical="center"/>
    </xf>
    <xf numFmtId="9" fontId="1" fillId="0" borderId="70" xfId="0" applyNumberFormat="1" applyFont="1" applyBorder="1" applyAlignment="1">
      <alignment horizontal="center" vertical="center"/>
    </xf>
    <xf numFmtId="49" fontId="1" fillId="0" borderId="70" xfId="0" quotePrefix="1" applyNumberFormat="1" applyFont="1" applyBorder="1" applyAlignment="1">
      <alignment horizontal="center" vertical="center"/>
    </xf>
    <xf numFmtId="164" fontId="4" fillId="0" borderId="70" xfId="0" applyNumberFormat="1" applyFont="1" applyFill="1" applyBorder="1" applyAlignment="1">
      <alignment horizontal="center" vertical="center"/>
    </xf>
    <xf numFmtId="164" fontId="1" fillId="0" borderId="69" xfId="0" applyNumberFormat="1" applyFont="1" applyFill="1" applyBorder="1" applyAlignment="1">
      <alignment horizontal="centerContinuous" vertical="center"/>
    </xf>
    <xf numFmtId="164" fontId="1" fillId="0" borderId="84" xfId="0" applyNumberFormat="1" applyFont="1" applyFill="1" applyBorder="1" applyAlignment="1">
      <alignment horizontal="centerContinuous" vertical="center"/>
    </xf>
    <xf numFmtId="0" fontId="4" fillId="0" borderId="85" xfId="0" quotePrefix="1" applyFont="1" applyBorder="1" applyAlignment="1">
      <alignment horizontal="centerContinuous" vertical="center"/>
    </xf>
    <xf numFmtId="164" fontId="4" fillId="0" borderId="86" xfId="0" applyNumberFormat="1" applyFont="1" applyBorder="1" applyAlignment="1">
      <alignment horizontal="centerContinuous" vertical="center"/>
    </xf>
    <xf numFmtId="0" fontId="4" fillId="0" borderId="87" xfId="0" applyFont="1" applyBorder="1" applyAlignment="1">
      <alignment horizontal="centerContinuous" vertical="center"/>
    </xf>
    <xf numFmtId="0" fontId="18" fillId="0" borderId="0" xfId="0" applyFont="1" applyBorder="1" applyAlignment="1">
      <alignment horizontal="right" vertical="center"/>
    </xf>
    <xf numFmtId="0" fontId="20" fillId="7" borderId="19" xfId="0" applyFont="1" applyFill="1" applyBorder="1" applyAlignment="1">
      <alignment horizontal="centerContinuous" vertical="center"/>
    </xf>
    <xf numFmtId="0" fontId="20" fillId="7" borderId="20" xfId="0" applyFont="1" applyFill="1" applyBorder="1" applyAlignment="1">
      <alignment horizontal="centerContinuous" vertical="center"/>
    </xf>
    <xf numFmtId="0" fontId="1" fillId="0" borderId="67" xfId="0" applyFont="1" applyFill="1" applyBorder="1" applyAlignment="1">
      <alignment horizontal="centerContinuous" vertical="center"/>
    </xf>
    <xf numFmtId="0" fontId="4" fillId="0" borderId="68" xfId="0" applyFont="1" applyFill="1" applyBorder="1" applyAlignment="1">
      <alignment horizontal="centerContinuous" vertical="center"/>
    </xf>
    <xf numFmtId="0" fontId="4" fillId="0" borderId="69" xfId="0" applyFont="1" applyFill="1" applyBorder="1" applyAlignment="1">
      <alignment horizontal="centerContinuous" vertical="center"/>
    </xf>
    <xf numFmtId="49" fontId="1" fillId="0" borderId="70" xfId="0" applyNumberFormat="1" applyFont="1" applyFill="1" applyBorder="1" applyAlignment="1">
      <alignment horizontal="center" vertical="center"/>
    </xf>
    <xf numFmtId="49" fontId="1" fillId="0" borderId="69" xfId="0" applyNumberFormat="1" applyFont="1" applyFill="1" applyBorder="1" applyAlignment="1">
      <alignment horizontal="centerContinuous" vertical="center"/>
    </xf>
    <xf numFmtId="49" fontId="1" fillId="0" borderId="84" xfId="0" applyNumberFormat="1" applyFont="1" applyFill="1" applyBorder="1" applyAlignment="1">
      <alignment horizontal="centerContinuous" vertical="center"/>
    </xf>
    <xf numFmtId="0" fontId="4" fillId="0" borderId="85" xfId="0" applyFont="1" applyFill="1" applyBorder="1" applyAlignment="1">
      <alignment horizontal="centerContinuous" vertical="center"/>
    </xf>
    <xf numFmtId="0" fontId="1" fillId="0" borderId="8" xfId="0" applyFont="1" applyFill="1" applyBorder="1" applyAlignment="1">
      <alignment horizontal="centerContinuous" vertical="center"/>
    </xf>
    <xf numFmtId="0" fontId="4" fillId="0" borderId="66" xfId="0" applyFont="1" applyFill="1" applyBorder="1" applyAlignment="1">
      <alignment horizontal="centerContinuous" vertical="center"/>
    </xf>
    <xf numFmtId="0" fontId="4" fillId="0" borderId="43" xfId="0" applyFont="1" applyFill="1" applyBorder="1" applyAlignment="1">
      <alignment horizontal="centerContinuous" vertical="center"/>
    </xf>
    <xf numFmtId="164" fontId="4" fillId="0" borderId="42"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43" xfId="0" applyNumberFormat="1" applyFont="1" applyFill="1" applyBorder="1" applyAlignment="1">
      <alignment horizontal="centerContinuous" vertical="center"/>
    </xf>
    <xf numFmtId="49" fontId="1" fillId="0" borderId="9" xfId="0" applyNumberFormat="1" applyFont="1" applyFill="1" applyBorder="1" applyAlignment="1">
      <alignment horizontal="centerContinuous" vertical="center"/>
    </xf>
    <xf numFmtId="0" fontId="1" fillId="0" borderId="10" xfId="0" applyFont="1" applyFill="1" applyBorder="1" applyAlignment="1">
      <alignment horizontal="centerContinuous" vertical="center"/>
    </xf>
    <xf numFmtId="0" fontId="34" fillId="2" borderId="55" xfId="1" applyFont="1" applyFill="1" applyBorder="1" applyAlignment="1" applyProtection="1">
      <alignment horizontal="right" vertical="center"/>
    </xf>
    <xf numFmtId="0" fontId="53" fillId="0" borderId="49" xfId="0" applyFont="1" applyFill="1" applyBorder="1" applyAlignment="1">
      <alignment horizontal="center" shrinkToFit="1"/>
    </xf>
    <xf numFmtId="0" fontId="43" fillId="0" borderId="44" xfId="0" applyFont="1" applyFill="1" applyBorder="1" applyAlignment="1">
      <alignment horizontal="center" shrinkToFit="1"/>
    </xf>
    <xf numFmtId="0" fontId="6" fillId="6" borderId="26" xfId="0" quotePrefix="1" applyNumberFormat="1" applyFont="1" applyFill="1" applyBorder="1" applyAlignment="1">
      <alignment horizontal="center"/>
    </xf>
    <xf numFmtId="1" fontId="1" fillId="0" borderId="0" xfId="0" applyNumberFormat="1" applyFont="1" applyBorder="1" applyAlignment="1">
      <alignment horizontal="center"/>
    </xf>
    <xf numFmtId="1" fontId="3" fillId="0" borderId="0" xfId="0" applyNumberFormat="1" applyFont="1" applyBorder="1" applyAlignment="1">
      <alignment horizontal="center"/>
    </xf>
    <xf numFmtId="1" fontId="4" fillId="0" borderId="0" xfId="0" applyNumberFormat="1" applyFont="1" applyBorder="1" applyAlignment="1">
      <alignment horizontal="center"/>
    </xf>
    <xf numFmtId="0" fontId="12" fillId="6" borderId="8" xfId="0" applyFont="1" applyFill="1" applyBorder="1" applyAlignment="1"/>
    <xf numFmtId="0" fontId="6" fillId="6" borderId="42" xfId="0" applyNumberFormat="1" applyFont="1" applyFill="1" applyBorder="1" applyAlignment="1">
      <alignment horizontal="center"/>
    </xf>
    <xf numFmtId="49" fontId="23" fillId="6" borderId="42" xfId="0" applyNumberFormat="1" applyFont="1" applyFill="1" applyBorder="1" applyAlignment="1">
      <alignment horizontal="center"/>
    </xf>
    <xf numFmtId="0" fontId="23" fillId="6" borderId="43" xfId="0" applyNumberFormat="1" applyFont="1" applyFill="1" applyBorder="1" applyAlignment="1">
      <alignment horizontal="center"/>
    </xf>
    <xf numFmtId="0" fontId="12" fillId="6" borderId="43" xfId="0" applyNumberFormat="1" applyFont="1" applyFill="1" applyBorder="1" applyAlignment="1">
      <alignment horizontal="center"/>
    </xf>
    <xf numFmtId="49" fontId="6" fillId="6" borderId="43" xfId="0" applyNumberFormat="1" applyFont="1" applyFill="1" applyBorder="1" applyAlignment="1">
      <alignment horizontal="center"/>
    </xf>
    <xf numFmtId="0" fontId="6" fillId="6" borderId="31" xfId="0" applyNumberFormat="1" applyFont="1" applyFill="1" applyBorder="1" applyAlignment="1">
      <alignment horizontal="center"/>
    </xf>
    <xf numFmtId="0" fontId="16" fillId="0" borderId="30" xfId="0" applyFont="1" applyFill="1" applyBorder="1" applyAlignment="1">
      <alignment horizontal="center" shrinkToFit="1"/>
    </xf>
    <xf numFmtId="0" fontId="6" fillId="0" borderId="49" xfId="0" applyFont="1" applyFill="1" applyBorder="1" applyAlignment="1">
      <alignment horizontal="centerContinuous"/>
    </xf>
    <xf numFmtId="0" fontId="1" fillId="0" borderId="75" xfId="0" applyFont="1" applyBorder="1" applyAlignment="1">
      <alignment horizontal="center" vertical="center" shrinkToFit="1"/>
    </xf>
    <xf numFmtId="0" fontId="1" fillId="0" borderId="75" xfId="0" applyFont="1" applyFill="1" applyBorder="1" applyAlignment="1">
      <alignment horizontal="center" vertical="center"/>
    </xf>
    <xf numFmtId="0" fontId="20" fillId="7" borderId="29" xfId="0" applyFont="1" applyFill="1" applyBorder="1" applyAlignment="1">
      <alignment horizontal="center" vertical="center"/>
    </xf>
    <xf numFmtId="1" fontId="1" fillId="0" borderId="106" xfId="0" applyNumberFormat="1" applyFont="1" applyFill="1" applyBorder="1" applyAlignment="1">
      <alignment horizontal="center" vertical="center"/>
    </xf>
    <xf numFmtId="1" fontId="1" fillId="0" borderId="32" xfId="0" applyNumberFormat="1" applyFont="1" applyFill="1" applyBorder="1" applyAlignment="1">
      <alignment horizontal="center" vertical="center"/>
    </xf>
    <xf numFmtId="1" fontId="1" fillId="0" borderId="44" xfId="0" applyNumberFormat="1" applyFont="1" applyFill="1" applyBorder="1" applyAlignment="1">
      <alignment horizontal="center" vertical="center"/>
    </xf>
    <xf numFmtId="0" fontId="1" fillId="0" borderId="81" xfId="0" quotePrefix="1" applyFont="1" applyBorder="1" applyAlignment="1">
      <alignment horizontal="center" vertical="center"/>
    </xf>
    <xf numFmtId="9" fontId="1" fillId="0" borderId="81" xfId="0" applyNumberFormat="1" applyFont="1" applyBorder="1" applyAlignment="1">
      <alignment horizontal="center" vertical="center"/>
    </xf>
    <xf numFmtId="0" fontId="1" fillId="0" borderId="81" xfId="0" applyNumberFormat="1" applyFont="1" applyBorder="1" applyAlignment="1">
      <alignment horizontal="center" vertical="center"/>
    </xf>
    <xf numFmtId="164" fontId="1" fillId="0" borderId="81" xfId="0" applyNumberFormat="1" applyFont="1" applyBorder="1" applyAlignment="1">
      <alignment horizontal="center" vertical="center"/>
    </xf>
    <xf numFmtId="0" fontId="3" fillId="0" borderId="52" xfId="0" applyFont="1" applyFill="1" applyBorder="1" applyAlignment="1">
      <alignment shrinkToFit="1"/>
    </xf>
    <xf numFmtId="0" fontId="1" fillId="0" borderId="92" xfId="0" applyFont="1" applyFill="1" applyBorder="1" applyAlignment="1">
      <alignment horizontal="center" shrinkToFit="1"/>
    </xf>
    <xf numFmtId="164" fontId="4" fillId="0" borderId="36" xfId="0" applyNumberFormat="1" applyFont="1" applyFill="1" applyBorder="1" applyAlignment="1">
      <alignment horizontal="center" shrinkToFit="1"/>
    </xf>
    <xf numFmtId="0" fontId="1" fillId="0" borderId="36" xfId="0" quotePrefix="1" applyFont="1" applyFill="1" applyBorder="1" applyAlignment="1">
      <alignment horizontal="left"/>
    </xf>
    <xf numFmtId="0" fontId="1" fillId="0" borderId="37" xfId="0" applyFont="1" applyFill="1" applyBorder="1" applyAlignment="1">
      <alignment horizontal="center" shrinkToFit="1"/>
    </xf>
    <xf numFmtId="0" fontId="1" fillId="0" borderId="52" xfId="0" applyFont="1" applyFill="1" applyBorder="1" applyAlignment="1">
      <alignment horizontal="center" shrinkToFit="1"/>
    </xf>
    <xf numFmtId="0" fontId="1" fillId="0" borderId="90" xfId="0" applyFont="1" applyFill="1" applyBorder="1" applyAlignment="1">
      <alignment horizontal="center" shrinkToFit="1"/>
    </xf>
    <xf numFmtId="164" fontId="1" fillId="0" borderId="36" xfId="0" applyNumberFormat="1" applyFont="1" applyFill="1" applyBorder="1" applyAlignment="1">
      <alignment horizontal="center" shrinkToFit="1"/>
    </xf>
    <xf numFmtId="0" fontId="1" fillId="0" borderId="102" xfId="0" applyFont="1" applyFill="1" applyBorder="1" applyAlignment="1">
      <alignment horizontal="center" shrinkToFit="1"/>
    </xf>
    <xf numFmtId="0" fontId="1" fillId="0" borderId="103" xfId="0" applyFont="1" applyFill="1" applyBorder="1" applyAlignment="1">
      <alignment horizontal="center" shrinkToFit="1"/>
    </xf>
    <xf numFmtId="164" fontId="4" fillId="0" borderId="104" xfId="0" applyNumberFormat="1" applyFont="1" applyFill="1" applyBorder="1" applyAlignment="1">
      <alignment horizontal="center" shrinkToFit="1"/>
    </xf>
    <xf numFmtId="0" fontId="4" fillId="0" borderId="104" xfId="0" applyFont="1" applyFill="1" applyBorder="1" applyAlignment="1">
      <alignment horizontal="left"/>
    </xf>
    <xf numFmtId="0" fontId="1" fillId="0" borderId="105" xfId="0" applyFont="1" applyFill="1" applyBorder="1" applyAlignment="1">
      <alignment horizontal="center" shrinkToFit="1"/>
    </xf>
    <xf numFmtId="0" fontId="3" fillId="0" borderId="98" xfId="0" applyFont="1" applyFill="1" applyBorder="1" applyAlignment="1">
      <alignment shrinkToFit="1"/>
    </xf>
    <xf numFmtId="0" fontId="1" fillId="0" borderId="99" xfId="0" applyFont="1" applyFill="1" applyBorder="1" applyAlignment="1">
      <alignment horizontal="center" shrinkToFit="1"/>
    </xf>
    <xf numFmtId="164" fontId="4" fillId="0" borderId="100" xfId="0" applyNumberFormat="1" applyFont="1" applyFill="1" applyBorder="1" applyAlignment="1">
      <alignment horizontal="center" shrinkToFit="1"/>
    </xf>
    <xf numFmtId="0" fontId="1" fillId="0" borderId="100" xfId="0" applyFont="1" applyFill="1" applyBorder="1" applyAlignment="1">
      <alignment horizontal="left"/>
    </xf>
    <xf numFmtId="0" fontId="1" fillId="0" borderId="101" xfId="0" applyFont="1" applyFill="1" applyBorder="1" applyAlignment="1">
      <alignment horizontal="center" shrinkToFit="1"/>
    </xf>
    <xf numFmtId="0" fontId="1" fillId="0" borderId="88" xfId="0" applyFont="1" applyFill="1" applyBorder="1" applyAlignment="1">
      <alignment horizontal="center" shrinkToFit="1"/>
    </xf>
    <xf numFmtId="0" fontId="1" fillId="0" borderId="94" xfId="0" applyFont="1" applyFill="1" applyBorder="1" applyAlignment="1">
      <alignment horizontal="center" shrinkToFit="1"/>
    </xf>
    <xf numFmtId="164" fontId="4" fillId="0" borderId="89" xfId="0" applyNumberFormat="1" applyFont="1" applyFill="1" applyBorder="1" applyAlignment="1">
      <alignment horizontal="center" shrinkToFit="1"/>
    </xf>
    <xf numFmtId="0" fontId="4" fillId="0" borderId="89" xfId="0" applyFont="1" applyFill="1" applyBorder="1" applyAlignment="1">
      <alignment horizontal="left"/>
    </xf>
    <xf numFmtId="0" fontId="1" fillId="0" borderId="74" xfId="0" applyFont="1" applyFill="1" applyBorder="1" applyAlignment="1">
      <alignment horizontal="center" shrinkToFit="1"/>
    </xf>
    <xf numFmtId="0" fontId="1" fillId="0" borderId="93" xfId="0" applyFont="1" applyFill="1" applyBorder="1" applyAlignment="1">
      <alignment horizontal="center" shrinkToFit="1"/>
    </xf>
    <xf numFmtId="164" fontId="4" fillId="0" borderId="38" xfId="0" applyNumberFormat="1" applyFont="1" applyFill="1" applyBorder="1" applyAlignment="1">
      <alignment horizontal="center" shrinkToFit="1"/>
    </xf>
    <xf numFmtId="0" fontId="4" fillId="0" borderId="38" xfId="0" applyFont="1" applyFill="1" applyBorder="1" applyAlignment="1">
      <alignment horizontal="left"/>
    </xf>
    <xf numFmtId="0" fontId="1" fillId="0" borderId="39" xfId="0" applyFont="1" applyFill="1" applyBorder="1" applyAlignment="1">
      <alignment horizontal="center" shrinkToFit="1"/>
    </xf>
    <xf numFmtId="1" fontId="20" fillId="3" borderId="29" xfId="0" applyNumberFormat="1" applyFont="1" applyFill="1" applyBorder="1" applyAlignment="1">
      <alignment horizontal="center" vertical="center"/>
    </xf>
    <xf numFmtId="1" fontId="1" fillId="0" borderId="48" xfId="0" applyNumberFormat="1" applyFont="1" applyBorder="1" applyAlignment="1">
      <alignment horizontal="center" vertical="center" shrinkToFit="1"/>
    </xf>
    <xf numFmtId="1" fontId="1" fillId="0" borderId="32" xfId="0" applyNumberFormat="1" applyFont="1" applyBorder="1" applyAlignment="1">
      <alignment horizontal="center" vertical="center" shrinkToFit="1"/>
    </xf>
    <xf numFmtId="1" fontId="1" fillId="0" borderId="44" xfId="0" applyNumberFormat="1" applyFont="1" applyBorder="1" applyAlignment="1">
      <alignment horizontal="center" vertical="center" shrinkToFit="1"/>
    </xf>
    <xf numFmtId="164" fontId="1" fillId="0" borderId="100" xfId="0" applyNumberFormat="1" applyFont="1" applyFill="1" applyBorder="1" applyAlignment="1">
      <alignment horizontal="center" shrinkToFit="1"/>
    </xf>
    <xf numFmtId="0" fontId="1" fillId="0" borderId="100" xfId="0" quotePrefix="1" applyFont="1" applyFill="1" applyBorder="1" applyAlignment="1">
      <alignment horizontal="left"/>
    </xf>
    <xf numFmtId="164" fontId="1" fillId="0" borderId="104" xfId="0" applyNumberFormat="1" applyFont="1" applyFill="1" applyBorder="1" applyAlignment="1">
      <alignment horizontal="center" shrinkToFit="1"/>
    </xf>
    <xf numFmtId="0" fontId="1" fillId="0" borderId="104" xfId="0" quotePrefix="1" applyFont="1" applyFill="1" applyBorder="1" applyAlignment="1">
      <alignment horizontal="left"/>
    </xf>
    <xf numFmtId="1" fontId="1" fillId="0" borderId="51" xfId="0" applyNumberFormat="1" applyFont="1" applyBorder="1" applyAlignment="1">
      <alignment horizontal="center" vertical="center" shrinkToFit="1"/>
    </xf>
    <xf numFmtId="1" fontId="1" fillId="0" borderId="107" xfId="0" applyNumberFormat="1" applyFont="1" applyBorder="1" applyAlignment="1">
      <alignment horizontal="center" vertical="center" shrinkToFit="1"/>
    </xf>
    <xf numFmtId="2" fontId="1" fillId="0" borderId="32" xfId="0" applyNumberFormat="1" applyFont="1" applyBorder="1" applyAlignment="1">
      <alignment horizontal="center" vertical="center" shrinkToFit="1"/>
    </xf>
    <xf numFmtId="0" fontId="20" fillId="7" borderId="108" xfId="0" applyFont="1" applyFill="1" applyBorder="1" applyAlignment="1">
      <alignment horizontal="center" vertical="center"/>
    </xf>
    <xf numFmtId="0" fontId="20" fillId="7" borderId="109" xfId="0" applyFont="1" applyFill="1" applyBorder="1" applyAlignment="1">
      <alignment horizontal="centerContinuous" vertical="center"/>
    </xf>
    <xf numFmtId="0" fontId="1" fillId="0" borderId="0" xfId="0" applyFont="1" applyBorder="1" applyAlignment="1">
      <alignment vertical="center"/>
    </xf>
    <xf numFmtId="0" fontId="1" fillId="0" borderId="67" xfId="0" applyFont="1" applyFill="1" applyBorder="1" applyAlignment="1">
      <alignment horizontal="centerContinuous" vertical="center" shrinkToFit="1"/>
    </xf>
    <xf numFmtId="0" fontId="20" fillId="0" borderId="84" xfId="0" applyFont="1" applyFill="1" applyBorder="1" applyAlignment="1">
      <alignment horizontal="centerContinuous" vertical="center"/>
    </xf>
    <xf numFmtId="0" fontId="1" fillId="0" borderId="69" xfId="0" applyFont="1" applyFill="1" applyBorder="1" applyAlignment="1">
      <alignment horizontal="centerContinuous" vertical="center"/>
    </xf>
    <xf numFmtId="0" fontId="1" fillId="0" borderId="85" xfId="0" applyFont="1" applyFill="1" applyBorder="1" applyAlignment="1">
      <alignment horizontal="centerContinuous" vertical="center"/>
    </xf>
    <xf numFmtId="164" fontId="1" fillId="0" borderId="32" xfId="0" applyNumberFormat="1" applyFont="1" applyFill="1" applyBorder="1" applyAlignment="1">
      <alignment horizontal="center" vertical="center"/>
    </xf>
    <xf numFmtId="0" fontId="1" fillId="0" borderId="110" xfId="0" applyFont="1" applyFill="1" applyBorder="1" applyAlignment="1">
      <alignment horizontal="centerContinuous" vertical="center" shrinkToFit="1"/>
    </xf>
    <xf numFmtId="0" fontId="20" fillId="0" borderId="111" xfId="0" applyFont="1" applyFill="1" applyBorder="1" applyAlignment="1">
      <alignment horizontal="centerContinuous" vertical="center"/>
    </xf>
    <xf numFmtId="0" fontId="1" fillId="0" borderId="78" xfId="0" applyFont="1" applyFill="1" applyBorder="1" applyAlignment="1">
      <alignment horizontal="centerContinuous" vertical="center"/>
    </xf>
    <xf numFmtId="0" fontId="1" fillId="0" borderId="112" xfId="0" applyFont="1" applyFill="1" applyBorder="1" applyAlignment="1">
      <alignment horizontal="centerContinuous" vertical="center"/>
    </xf>
    <xf numFmtId="0" fontId="1" fillId="0" borderId="113" xfId="0" applyFont="1" applyFill="1" applyBorder="1" applyAlignment="1">
      <alignment horizontal="centerContinuous" vertical="center" shrinkToFit="1"/>
    </xf>
    <xf numFmtId="0" fontId="20" fillId="0" borderId="86" xfId="0" applyFont="1" applyFill="1" applyBorder="1" applyAlignment="1">
      <alignment horizontal="centerContinuous"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Continuous" vertical="center"/>
    </xf>
    <xf numFmtId="0" fontId="1" fillId="0" borderId="87" xfId="0" applyFont="1" applyFill="1" applyBorder="1" applyAlignment="1">
      <alignment horizontal="centerContinuous" vertical="center"/>
    </xf>
    <xf numFmtId="164" fontId="1" fillId="0" borderId="44" xfId="0" applyNumberFormat="1" applyFont="1" applyFill="1" applyBorder="1" applyAlignment="1">
      <alignment horizontal="center" vertical="center"/>
    </xf>
    <xf numFmtId="164" fontId="1" fillId="0" borderId="82" xfId="0" quotePrefix="1" applyNumberFormat="1" applyFont="1" applyBorder="1" applyAlignment="1">
      <alignment horizontal="centerContinuous" vertical="center"/>
    </xf>
    <xf numFmtId="49" fontId="6" fillId="0" borderId="23" xfId="0" applyNumberFormat="1" applyFont="1" applyFill="1" applyBorder="1" applyAlignment="1">
      <alignment horizontal="centerContinuous"/>
    </xf>
    <xf numFmtId="0" fontId="6" fillId="0" borderId="114" xfId="0" applyFont="1" applyFill="1" applyBorder="1" applyAlignment="1">
      <alignment horizontal="centerContinuous"/>
    </xf>
    <xf numFmtId="0" fontId="5" fillId="4" borderId="11" xfId="0" applyFont="1" applyFill="1" applyBorder="1" applyAlignment="1">
      <alignment horizontal="right"/>
    </xf>
    <xf numFmtId="1" fontId="6" fillId="0" borderId="61" xfId="0" applyNumberFormat="1" applyFont="1" applyFill="1" applyBorder="1" applyAlignment="1">
      <alignment horizontal="centerContinuous"/>
    </xf>
    <xf numFmtId="1" fontId="1" fillId="0" borderId="62" xfId="0" applyNumberFormat="1" applyFont="1" applyFill="1" applyBorder="1" applyAlignment="1">
      <alignment horizontal="centerContinuous"/>
    </xf>
    <xf numFmtId="0" fontId="3" fillId="0" borderId="0" xfId="0" applyFont="1" applyBorder="1" applyAlignment="1">
      <alignment horizontal="right" vertical="center"/>
    </xf>
    <xf numFmtId="165" fontId="1" fillId="0" borderId="0"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4" xfId="0" quotePrefix="1" applyFont="1" applyBorder="1" applyAlignment="1">
      <alignment horizontal="center" vertical="center"/>
    </xf>
    <xf numFmtId="0" fontId="1" fillId="0" borderId="24" xfId="0" applyFont="1" applyBorder="1" applyAlignment="1">
      <alignment horizontal="center" vertical="center"/>
    </xf>
    <xf numFmtId="9" fontId="1" fillId="0" borderId="24" xfId="0" applyNumberFormat="1" applyFont="1" applyBorder="1" applyAlignment="1">
      <alignment horizontal="center" vertical="center"/>
    </xf>
    <xf numFmtId="49" fontId="1" fillId="0" borderId="24" xfId="0" quotePrefix="1" applyNumberFormat="1" applyFont="1" applyBorder="1" applyAlignment="1">
      <alignment horizontal="center" vertical="center"/>
    </xf>
    <xf numFmtId="164" fontId="4" fillId="0" borderId="24" xfId="0" applyNumberFormat="1" applyFont="1" applyFill="1" applyBorder="1" applyAlignment="1">
      <alignment horizontal="center" vertical="center"/>
    </xf>
    <xf numFmtId="164" fontId="1" fillId="0" borderId="25" xfId="0" applyNumberFormat="1" applyFont="1" applyFill="1" applyBorder="1" applyAlignment="1">
      <alignment horizontal="centerContinuous" vertical="center"/>
    </xf>
    <xf numFmtId="164" fontId="1" fillId="0" borderId="0" xfId="0" applyNumberFormat="1" applyFont="1" applyFill="1" applyBorder="1" applyAlignment="1">
      <alignment horizontal="centerContinuous" vertical="center"/>
    </xf>
    <xf numFmtId="0" fontId="4" fillId="0" borderId="2" xfId="0" quotePrefix="1" applyFont="1" applyBorder="1" applyAlignment="1">
      <alignment horizontal="centerContinuous" vertical="center"/>
    </xf>
    <xf numFmtId="1" fontId="1" fillId="0" borderId="115"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 fontId="6" fillId="6" borderId="25" xfId="0" applyNumberFormat="1" applyFont="1" applyFill="1" applyBorder="1" applyAlignment="1">
      <alignment horizontal="center"/>
    </xf>
    <xf numFmtId="1" fontId="6" fillId="11" borderId="27" xfId="0" applyNumberFormat="1" applyFont="1" applyFill="1" applyBorder="1" applyAlignment="1">
      <alignment horizontal="center"/>
    </xf>
  </cellXfs>
  <cellStyles count="7">
    <cellStyle name="Excel Built-in Normal" xfId="6"/>
    <cellStyle name="Hyperlink" xfId="1" builtinId="8"/>
    <cellStyle name="Normal" xfId="0" builtinId="0"/>
    <cellStyle name="Normal 2" xfId="4"/>
    <cellStyle name="Normal 2 2" xfId="5"/>
    <cellStyle name="Percent" xfId="2" builtinId="5"/>
    <cellStyle name="Percent 2" xfId="3"/>
  </cellStyles>
  <dxfs count="21">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val="0"/>
        <i/>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66FFFF"/>
      <color rgb="FF0000FF"/>
      <color rgb="FF00CC66"/>
      <color rgb="FF00FF99"/>
      <color rgb="FF66FF99"/>
      <color rgb="FFCCFF99"/>
      <color rgb="FF99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57150</xdr:rowOff>
    </xdr:from>
    <xdr:to>
      <xdr:col>6</xdr:col>
      <xdr:colOff>1276350</xdr:colOff>
      <xdr:row>23</xdr:row>
      <xdr:rowOff>171450</xdr:rowOff>
    </xdr:to>
    <xdr:sp macro="" textlink="">
      <xdr:nvSpPr>
        <xdr:cNvPr id="4" name="Text 6"/>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5</xdr:col>
      <xdr:colOff>66675</xdr:colOff>
      <xdr:row>12</xdr:row>
      <xdr:rowOff>99061</xdr:rowOff>
    </xdr:from>
    <xdr:to>
      <xdr:col>6</xdr:col>
      <xdr:colOff>1238250</xdr:colOff>
      <xdr:row>14</xdr:row>
      <xdr:rowOff>266701</xdr:rowOff>
    </xdr:to>
    <xdr:sp macro="" textlink="">
      <xdr:nvSpPr>
        <xdr:cNvPr id="1084" name="Text Box 60"/>
        <xdr:cNvSpPr txBox="1">
          <a:spLocks noChangeArrowheads="1"/>
        </xdr:cNvSpPr>
      </xdr:nvSpPr>
      <xdr:spPr bwMode="auto">
        <a:xfrm>
          <a:off x="4234815" y="2857501"/>
          <a:ext cx="2291715" cy="60198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352425</xdr:colOff>
      <xdr:row>1</xdr:row>
      <xdr:rowOff>123825</xdr:rowOff>
    </xdr:from>
    <xdr:to>
      <xdr:col>3</xdr:col>
      <xdr:colOff>57150</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athan%20Pearce%20%3cgryffydd65@gmail.com%3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showGridLines="0" tabSelected="1" zoomScaleNormal="100" workbookViewId="0"/>
  </sheetViews>
  <sheetFormatPr defaultColWidth="13" defaultRowHeight="15.6"/>
  <cols>
    <col min="1" max="1" width="15.59765625" style="20" customWidth="1"/>
    <col min="2" max="2" width="10" style="21" customWidth="1"/>
    <col min="3" max="3" width="5.5" style="21" customWidth="1"/>
    <col min="4" max="4" width="13.69921875" style="20" bestFit="1" customWidth="1"/>
    <col min="5" max="5" width="9.8984375" style="21" bestFit="1" customWidth="1"/>
    <col min="6" max="6" width="14.69921875" style="20" customWidth="1"/>
    <col min="7" max="7" width="17.09765625" style="21" customWidth="1"/>
    <col min="8" max="16384" width="13" style="1"/>
  </cols>
  <sheetData>
    <row r="1" spans="1:7" ht="29.4" thickTop="1" thickBot="1">
      <c r="A1" s="153" t="s">
        <v>226</v>
      </c>
      <c r="B1" s="154"/>
      <c r="C1" s="154"/>
      <c r="D1" s="130"/>
      <c r="E1" s="131"/>
      <c r="F1" s="130"/>
      <c r="G1" s="289" t="s">
        <v>227</v>
      </c>
    </row>
    <row r="2" spans="1:7" ht="17.399999999999999" thickTop="1">
      <c r="A2" s="2" t="s">
        <v>0</v>
      </c>
      <c r="B2" s="31" t="s">
        <v>178</v>
      </c>
      <c r="C2" s="31"/>
      <c r="D2" s="4" t="s">
        <v>1</v>
      </c>
      <c r="E2" s="42" t="s">
        <v>119</v>
      </c>
      <c r="F2"/>
      <c r="G2" s="5"/>
    </row>
    <row r="3" spans="1:7" ht="16.8">
      <c r="A3" s="2" t="s">
        <v>67</v>
      </c>
      <c r="B3" s="31" t="s">
        <v>99</v>
      </c>
      <c r="C3" s="31"/>
      <c r="D3" s="4" t="s">
        <v>68</v>
      </c>
      <c r="E3" s="42">
        <v>4</v>
      </c>
      <c r="F3" s="4"/>
      <c r="G3" s="5"/>
    </row>
    <row r="4" spans="1:7" ht="16.8">
      <c r="A4" s="2" t="s">
        <v>67</v>
      </c>
      <c r="B4" s="31" t="s">
        <v>179</v>
      </c>
      <c r="C4" s="31"/>
      <c r="D4" s="4" t="s">
        <v>68</v>
      </c>
      <c r="E4" s="42">
        <v>2</v>
      </c>
      <c r="F4" s="4"/>
      <c r="G4" s="5"/>
    </row>
    <row r="5" spans="1:7" ht="16.8">
      <c r="A5" s="2" t="s">
        <v>69</v>
      </c>
      <c r="B5" s="31" t="s">
        <v>110</v>
      </c>
      <c r="C5" s="31"/>
      <c r="D5" s="4" t="s">
        <v>88</v>
      </c>
      <c r="E5" s="42" t="s">
        <v>195</v>
      </c>
      <c r="F5" s="4"/>
      <c r="G5" s="5"/>
    </row>
    <row r="6" spans="1:7" ht="17.399999999999999" thickBot="1">
      <c r="A6" s="2" t="s">
        <v>2</v>
      </c>
      <c r="B6" s="31" t="s">
        <v>194</v>
      </c>
      <c r="C6" s="31"/>
      <c r="D6" s="4" t="s">
        <v>3</v>
      </c>
      <c r="E6" s="42" t="s">
        <v>194</v>
      </c>
      <c r="F6" s="4"/>
      <c r="G6" s="5"/>
    </row>
    <row r="7" spans="1:7" ht="17.399999999999999" thickTop="1">
      <c r="A7" s="149" t="s">
        <v>92</v>
      </c>
      <c r="B7" s="375">
        <f>3+1</f>
        <v>4</v>
      </c>
      <c r="C7" s="376"/>
      <c r="D7" s="150" t="s">
        <v>79</v>
      </c>
      <c r="E7" s="151" t="s">
        <v>173</v>
      </c>
      <c r="F7" s="3"/>
      <c r="G7" s="5"/>
    </row>
    <row r="8" spans="1:7" ht="17.399999999999999" thickBot="1">
      <c r="A8" s="374" t="s">
        <v>211</v>
      </c>
      <c r="B8" s="372" t="s">
        <v>222</v>
      </c>
      <c r="C8" s="373"/>
      <c r="D8" s="221" t="s">
        <v>162</v>
      </c>
      <c r="E8" s="152" t="s">
        <v>173</v>
      </c>
      <c r="F8" s="3"/>
      <c r="G8" s="5"/>
    </row>
    <row r="9" spans="1:7" ht="17.399999999999999" thickTop="1">
      <c r="A9" s="28" t="s">
        <v>4</v>
      </c>
      <c r="B9" s="78">
        <v>11</v>
      </c>
      <c r="C9" s="108" t="str">
        <f t="shared" ref="C9:C14" si="0">IF(B9&gt;9.9,CONCATENATE("+",ROUNDDOWN((B9-10)/2,0)),ROUNDUP((B9-10)/2,0))</f>
        <v>+0</v>
      </c>
      <c r="D9" s="70" t="s">
        <v>77</v>
      </c>
      <c r="E9" s="303" t="s">
        <v>193</v>
      </c>
      <c r="F9" s="3"/>
      <c r="G9" s="5"/>
    </row>
    <row r="10" spans="1:7" ht="16.8">
      <c r="A10" s="7" t="s">
        <v>5</v>
      </c>
      <c r="B10" s="53">
        <v>16</v>
      </c>
      <c r="C10" s="39" t="str">
        <f t="shared" si="0"/>
        <v>+3</v>
      </c>
      <c r="D10" s="71" t="s">
        <v>78</v>
      </c>
      <c r="E10" s="46">
        <f>SUM(Martial!G3:G19)+SUM(Equipment!C3:C26)-SUM(Equipment!C10:C26)</f>
        <v>39.5</v>
      </c>
      <c r="F10" s="3"/>
      <c r="G10" s="5"/>
    </row>
    <row r="11" spans="1:7" ht="16.8">
      <c r="A11" s="26" t="s">
        <v>14</v>
      </c>
      <c r="B11" s="54">
        <v>12</v>
      </c>
      <c r="C11" s="32" t="str">
        <f t="shared" si="0"/>
        <v>+1</v>
      </c>
      <c r="D11" s="71" t="s">
        <v>16</v>
      </c>
      <c r="E11" s="43">
        <f>ROUNDUP(((E3*6)*0.75)+((E4*6)*0.75)+((E3+E4)*C11),0)</f>
        <v>33</v>
      </c>
      <c r="F11" s="3"/>
      <c r="G11" s="5"/>
    </row>
    <row r="12" spans="1:7" ht="16.8">
      <c r="A12" s="80" t="s">
        <v>15</v>
      </c>
      <c r="B12" s="54">
        <v>14</v>
      </c>
      <c r="C12" s="39" t="str">
        <f t="shared" si="0"/>
        <v>+2</v>
      </c>
      <c r="D12" s="228" t="s">
        <v>93</v>
      </c>
      <c r="E12" s="391">
        <f>10+C10+2</f>
        <v>15</v>
      </c>
      <c r="F12" s="2"/>
      <c r="G12" s="5"/>
    </row>
    <row r="13" spans="1:7" ht="16.8">
      <c r="A13" s="27" t="s">
        <v>17</v>
      </c>
      <c r="B13" s="6">
        <v>12</v>
      </c>
      <c r="C13" s="39" t="str">
        <f t="shared" si="0"/>
        <v>+1</v>
      </c>
      <c r="D13" s="228" t="s">
        <v>66</v>
      </c>
      <c r="E13" s="44">
        <f>E12+SUM(Martial!B13:B15)</f>
        <v>20</v>
      </c>
      <c r="F13" s="3"/>
      <c r="G13" s="5"/>
    </row>
    <row r="14" spans="1:7" ht="17.399999999999999" thickBot="1">
      <c r="A14" s="29" t="s">
        <v>13</v>
      </c>
      <c r="B14" s="55">
        <v>12</v>
      </c>
      <c r="C14" s="33" t="str">
        <f t="shared" si="0"/>
        <v>+1</v>
      </c>
      <c r="D14" s="229" t="s">
        <v>176</v>
      </c>
      <c r="E14" s="45">
        <f>E13-C10</f>
        <v>17</v>
      </c>
      <c r="F14" s="3"/>
      <c r="G14" s="5"/>
    </row>
    <row r="15" spans="1:7" ht="24" thickTop="1" thickBot="1">
      <c r="A15" s="8" t="s">
        <v>27</v>
      </c>
      <c r="B15" s="9"/>
      <c r="C15" s="9"/>
      <c r="D15" s="10"/>
      <c r="E15" s="10"/>
      <c r="F15" s="10"/>
      <c r="G15" s="11"/>
    </row>
    <row r="16" spans="1:7" s="15" customFormat="1" ht="17.399999999999999" thickTop="1">
      <c r="A16" s="12"/>
      <c r="B16" s="13"/>
      <c r="C16" s="13"/>
      <c r="D16" s="13"/>
      <c r="E16" s="13"/>
      <c r="F16" s="13"/>
      <c r="G16" s="14"/>
    </row>
    <row r="17" spans="1:7" s="15" customFormat="1" ht="16.8">
      <c r="A17" s="51"/>
      <c r="B17" s="16"/>
      <c r="C17" s="16"/>
      <c r="D17" s="16"/>
      <c r="E17" s="16"/>
      <c r="F17" s="16"/>
      <c r="G17" s="52"/>
    </row>
    <row r="18" spans="1:7" s="15" customFormat="1" ht="16.8">
      <c r="A18" s="51"/>
      <c r="B18" s="16"/>
      <c r="C18" s="16"/>
      <c r="D18" s="16"/>
      <c r="E18" s="16"/>
      <c r="F18" s="16"/>
      <c r="G18" s="52"/>
    </row>
    <row r="19" spans="1:7" s="15" customFormat="1" ht="16.8">
      <c r="A19" s="51"/>
      <c r="B19" s="16"/>
      <c r="C19" s="16"/>
      <c r="D19" s="16"/>
      <c r="E19" s="16"/>
      <c r="F19" s="16"/>
      <c r="G19" s="52"/>
    </row>
    <row r="20" spans="1:7" s="15" customFormat="1" ht="16.8">
      <c r="A20" s="51"/>
      <c r="B20" s="16"/>
      <c r="C20" s="16"/>
      <c r="D20" s="16"/>
      <c r="E20" s="16"/>
      <c r="F20" s="16"/>
      <c r="G20" s="52"/>
    </row>
    <row r="21" spans="1:7" s="15" customFormat="1" ht="16.8">
      <c r="A21" s="51"/>
      <c r="B21" s="16"/>
      <c r="C21" s="16"/>
      <c r="D21" s="16"/>
      <c r="E21" s="16"/>
      <c r="F21" s="16"/>
      <c r="G21" s="52"/>
    </row>
    <row r="22" spans="1:7" s="15" customFormat="1" ht="16.8">
      <c r="A22" s="51"/>
      <c r="B22" s="16"/>
      <c r="C22" s="16"/>
      <c r="D22" s="16"/>
      <c r="E22" s="16"/>
      <c r="F22" s="16"/>
      <c r="G22" s="52"/>
    </row>
    <row r="23" spans="1:7" s="15" customFormat="1" ht="16.8">
      <c r="A23" s="51"/>
      <c r="B23" s="16"/>
      <c r="C23" s="16"/>
      <c r="D23" s="16"/>
      <c r="E23" s="16"/>
      <c r="F23" s="16"/>
      <c r="G23" s="52"/>
    </row>
    <row r="24" spans="1:7" ht="17.399999999999999" thickBot="1">
      <c r="A24" s="17"/>
      <c r="B24" s="18"/>
      <c r="C24" s="18"/>
      <c r="D24" s="18"/>
      <c r="E24" s="18"/>
      <c r="F24" s="18"/>
      <c r="G24" s="19"/>
    </row>
    <row r="25" spans="1:7" ht="16.2" thickTop="1"/>
  </sheetData>
  <phoneticPr fontId="0" type="noConversion"/>
  <conditionalFormatting sqref="E10">
    <cfRule type="cellIs" dxfId="20" priority="4" stopIfTrue="1" operator="greaterThan">
      <formula>45</formula>
    </cfRule>
    <cfRule type="cellIs" dxfId="19" priority="5" stopIfTrue="1" operator="between">
      <formula>23</formula>
      <formula>45</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workbookViewId="0">
      <pane ySplit="2" topLeftCell="A3" activePane="bottomLeft" state="frozen"/>
      <selection pane="bottomLeft" activeCell="A3" sqref="A3"/>
    </sheetView>
  </sheetViews>
  <sheetFormatPr defaultColWidth="13" defaultRowHeight="15.6"/>
  <cols>
    <col min="1" max="1" width="29" style="20" bestFit="1" customWidth="1"/>
    <col min="2" max="2" width="5.8984375" style="20" bestFit="1" customWidth="1"/>
    <col min="3" max="3" width="7.59765625" style="21" hidden="1" customWidth="1"/>
    <col min="4" max="4" width="5.8984375" style="21" hidden="1" customWidth="1"/>
    <col min="5" max="5" width="9.19921875" style="21" bestFit="1" customWidth="1"/>
    <col min="6" max="6" width="7.8984375" style="21" bestFit="1" customWidth="1"/>
    <col min="7" max="7" width="6" style="41" bestFit="1" customWidth="1"/>
    <col min="8" max="8" width="5.19921875" style="41" bestFit="1" customWidth="1"/>
    <col min="9" max="9" width="6.8984375" style="41" bestFit="1" customWidth="1"/>
    <col min="10" max="10" width="34.3984375" style="20" customWidth="1"/>
    <col min="11" max="16384" width="13" style="1"/>
  </cols>
  <sheetData>
    <row r="1" spans="1:10" ht="23.4" thickBot="1">
      <c r="A1" s="30" t="s">
        <v>12</v>
      </c>
      <c r="B1" s="22"/>
      <c r="C1" s="22"/>
      <c r="D1" s="22"/>
      <c r="E1" s="22"/>
      <c r="F1" s="22"/>
      <c r="G1" s="40"/>
      <c r="H1" s="40"/>
      <c r="I1" s="40"/>
      <c r="J1" s="22"/>
    </row>
    <row r="2" spans="1:10" s="207" customFormat="1" ht="34.200000000000003" thickBot="1">
      <c r="A2" s="200" t="s">
        <v>134</v>
      </c>
      <c r="B2" s="201" t="s">
        <v>32</v>
      </c>
      <c r="C2" s="201" t="s">
        <v>39</v>
      </c>
      <c r="D2" s="201" t="s">
        <v>31</v>
      </c>
      <c r="E2" s="202" t="s">
        <v>64</v>
      </c>
      <c r="F2" s="202" t="s">
        <v>40</v>
      </c>
      <c r="G2" s="203" t="s">
        <v>70</v>
      </c>
      <c r="H2" s="204" t="s">
        <v>109</v>
      </c>
      <c r="I2" s="205" t="s">
        <v>85</v>
      </c>
      <c r="J2" s="206" t="s">
        <v>84</v>
      </c>
    </row>
    <row r="3" spans="1:10" s="15" customFormat="1" ht="16.8">
      <c r="A3" s="132" t="s">
        <v>72</v>
      </c>
      <c r="B3" s="133">
        <f>1+3</f>
        <v>4</v>
      </c>
      <c r="C3" s="134" t="s">
        <v>34</v>
      </c>
      <c r="D3" s="134" t="str">
        <f>IF(C3="Str",'Personal File'!$C$9,IF(C3="Dex",'Personal File'!$C$10,IF(C3="Con",'Personal File'!$C$11,IF(C3="Int",'Personal File'!$C$12,IF(C3="Wis",'Personal File'!$C$13,IF(C3="Cha",'Personal File'!$C$14))))))</f>
        <v>+1</v>
      </c>
      <c r="E3" s="147" t="str">
        <f t="shared" ref="E3:E5" si="0">CONCATENATE(C3," (",D3,")")</f>
        <v>Con (+1)</v>
      </c>
      <c r="F3" s="135">
        <v>0</v>
      </c>
      <c r="G3" s="136">
        <f t="shared" ref="G3:G5" si="1">B3+D3+F3+1</f>
        <v>6</v>
      </c>
      <c r="H3" s="137">
        <f t="shared" ref="H3:H43" ca="1" si="2">RANDBETWEEN(1,20)</f>
        <v>20</v>
      </c>
      <c r="I3" s="138">
        <f t="shared" ref="I3:I5" ca="1" si="3">SUM(G3:H3)</f>
        <v>26</v>
      </c>
      <c r="J3" s="50"/>
    </row>
    <row r="4" spans="1:10" s="15" customFormat="1" ht="16.8">
      <c r="A4" s="139" t="s">
        <v>73</v>
      </c>
      <c r="B4" s="133">
        <f>4+3</f>
        <v>7</v>
      </c>
      <c r="C4" s="134" t="s">
        <v>37</v>
      </c>
      <c r="D4" s="134" t="str">
        <f>IF(C4="Str",'Personal File'!$C$9,IF(C4="Dex",'Personal File'!$C$10,IF(C4="Con",'Personal File'!$C$11,IF(C4="Int",'Personal File'!$C$12,IF(C4="Wis",'Personal File'!$C$13,IF(C4="Cha",'Personal File'!$C$14))))))</f>
        <v>+3</v>
      </c>
      <c r="E4" s="118" t="str">
        <f t="shared" si="0"/>
        <v>Dex (+3)</v>
      </c>
      <c r="F4" s="135">
        <v>0</v>
      </c>
      <c r="G4" s="136">
        <f t="shared" si="1"/>
        <v>11</v>
      </c>
      <c r="H4" s="137">
        <f t="shared" ca="1" si="2"/>
        <v>3</v>
      </c>
      <c r="I4" s="138">
        <f t="shared" ca="1" si="3"/>
        <v>14</v>
      </c>
      <c r="J4" s="160" t="s">
        <v>165</v>
      </c>
    </row>
    <row r="5" spans="1:10" s="15" customFormat="1" ht="16.8">
      <c r="A5" s="140" t="s">
        <v>74</v>
      </c>
      <c r="B5" s="141">
        <f>1+0</f>
        <v>1</v>
      </c>
      <c r="C5" s="142" t="s">
        <v>36</v>
      </c>
      <c r="D5" s="142" t="str">
        <f>IF(C5="Str",'Personal File'!$C$9,IF(C5="Dex",'Personal File'!$C$10,IF(C5="Con",'Personal File'!$C$11,IF(C5="Int",'Personal File'!$C$12,IF(C5="Wis",'Personal File'!$C$13,IF(C5="Cha",'Personal File'!$C$14))))))</f>
        <v>+1</v>
      </c>
      <c r="E5" s="148" t="str">
        <f t="shared" si="0"/>
        <v>Wis (+1)</v>
      </c>
      <c r="F5" s="143">
        <v>0</v>
      </c>
      <c r="G5" s="144">
        <f t="shared" si="1"/>
        <v>3</v>
      </c>
      <c r="H5" s="145">
        <f t="shared" ca="1" si="2"/>
        <v>15</v>
      </c>
      <c r="I5" s="146">
        <f t="shared" ca="1" si="3"/>
        <v>18</v>
      </c>
      <c r="J5" s="155" t="s">
        <v>180</v>
      </c>
    </row>
    <row r="6" spans="1:10" s="34" customFormat="1" ht="16.8">
      <c r="A6" s="156" t="s">
        <v>41</v>
      </c>
      <c r="B6" s="48">
        <v>0</v>
      </c>
      <c r="C6" s="157" t="s">
        <v>35</v>
      </c>
      <c r="D6" s="158" t="str">
        <f>IF(C6="Str",'Personal File'!$C$9,IF(C6="Dex",'Personal File'!$C$10,IF(C6="Con",'Personal File'!$C$11,IF(C6="Int",'Personal File'!$C$12,IF(C6="Wis",'Personal File'!$C$13,IF(C6="Cha",'Personal File'!$C$14))))))</f>
        <v>+2</v>
      </c>
      <c r="E6" s="159" t="str">
        <f t="shared" ref="E6:E43" si="4">CONCATENATE(C6," (",D6,")")</f>
        <v>Int (+2)</v>
      </c>
      <c r="F6" s="49" t="s">
        <v>65</v>
      </c>
      <c r="G6" s="49">
        <f t="shared" ref="G6:G43" si="5">B6+D6+F6</f>
        <v>2</v>
      </c>
      <c r="H6" s="137">
        <f t="shared" ca="1" si="2"/>
        <v>17</v>
      </c>
      <c r="I6" s="49">
        <f t="shared" ref="I6:I7" ca="1" si="6">SUM(G6:H6)</f>
        <v>19</v>
      </c>
      <c r="J6" s="50"/>
    </row>
    <row r="7" spans="1:10" s="38" customFormat="1" ht="16.8">
      <c r="A7" s="115" t="s">
        <v>42</v>
      </c>
      <c r="B7" s="48">
        <v>0</v>
      </c>
      <c r="C7" s="116" t="s">
        <v>37</v>
      </c>
      <c r="D7" s="117" t="str">
        <f>IF(C7="Str",'Personal File'!$C$9,IF(C7="Dex",'Personal File'!$C$10,IF(C7="Con",'Personal File'!$C$11,IF(C7="Int",'Personal File'!$C$12,IF(C7="Wis",'Personal File'!$C$13,IF(C7="Cha",'Personal File'!$C$14))))))</f>
        <v>+3</v>
      </c>
      <c r="E7" s="118" t="str">
        <f t="shared" si="4"/>
        <v>Dex (+3)</v>
      </c>
      <c r="F7" s="49" t="s">
        <v>65</v>
      </c>
      <c r="G7" s="49">
        <f t="shared" si="5"/>
        <v>3</v>
      </c>
      <c r="H7" s="137">
        <f t="shared" ca="1" si="2"/>
        <v>2</v>
      </c>
      <c r="I7" s="49">
        <f t="shared" ca="1" si="6"/>
        <v>5</v>
      </c>
      <c r="J7" s="50"/>
    </row>
    <row r="8" spans="1:10" s="36" customFormat="1" ht="16.8">
      <c r="A8" s="72" t="s">
        <v>43</v>
      </c>
      <c r="B8" s="73">
        <v>6</v>
      </c>
      <c r="C8" s="74" t="s">
        <v>33</v>
      </c>
      <c r="D8" s="75" t="str">
        <f>IF(C8="Str",'Personal File'!$C$9,IF(C8="Dex",'Personal File'!$C$10,IF(C8="Con",'Personal File'!$C$11,IF(C8="Int",'Personal File'!$C$12,IF(C8="Wis",'Personal File'!$C$13,IF(C8="Cha",'Personal File'!$C$14))))))</f>
        <v>+1</v>
      </c>
      <c r="E8" s="81" t="str">
        <f t="shared" si="4"/>
        <v>Cha (+1)</v>
      </c>
      <c r="F8" s="76" t="s">
        <v>65</v>
      </c>
      <c r="G8" s="76">
        <f t="shared" si="5"/>
        <v>7</v>
      </c>
      <c r="H8" s="137">
        <f t="shared" ca="1" si="2"/>
        <v>12</v>
      </c>
      <c r="I8" s="76">
        <f t="shared" ref="I8:I43" ca="1" si="7">SUM(G8:H8)</f>
        <v>19</v>
      </c>
      <c r="J8" s="77"/>
    </row>
    <row r="9" spans="1:10" s="35" customFormat="1" ht="16.8">
      <c r="A9" s="123" t="s">
        <v>44</v>
      </c>
      <c r="B9" s="48">
        <v>0</v>
      </c>
      <c r="C9" s="124" t="s">
        <v>38</v>
      </c>
      <c r="D9" s="125" t="str">
        <f>IF(C9="Str",'Personal File'!$C$9,IF(C9="Dex",'Personal File'!$C$10,IF(C9="Con",'Personal File'!$C$11,IF(C9="Int",'Personal File'!$C$12,IF(C9="Wis",'Personal File'!$C$13,IF(C9="Cha",'Personal File'!$C$14))))))</f>
        <v>+0</v>
      </c>
      <c r="E9" s="126" t="str">
        <f t="shared" si="4"/>
        <v>Str (+0)</v>
      </c>
      <c r="F9" s="49" t="s">
        <v>65</v>
      </c>
      <c r="G9" s="49">
        <f t="shared" si="5"/>
        <v>0</v>
      </c>
      <c r="H9" s="137">
        <f t="shared" ca="1" si="2"/>
        <v>9</v>
      </c>
      <c r="I9" s="49">
        <f t="shared" ca="1" si="7"/>
        <v>9</v>
      </c>
      <c r="J9" s="50"/>
    </row>
    <row r="10" spans="1:10" s="35" customFormat="1" ht="16.8">
      <c r="A10" s="95" t="s">
        <v>18</v>
      </c>
      <c r="B10" s="48">
        <v>0</v>
      </c>
      <c r="C10" s="96" t="s">
        <v>34</v>
      </c>
      <c r="D10" s="97" t="str">
        <f>IF(C10="Str",'Personal File'!$C$9,IF(C10="Dex",'Personal File'!$C$10,IF(C10="Con",'Personal File'!$C$11,IF(C10="Int",'Personal File'!$C$12,IF(C10="Wis",'Personal File'!$C$13,IF(C10="Cha",'Personal File'!$C$14))))))</f>
        <v>+1</v>
      </c>
      <c r="E10" s="98" t="str">
        <f t="shared" si="4"/>
        <v>Con (+1)</v>
      </c>
      <c r="F10" s="49" t="s">
        <v>65</v>
      </c>
      <c r="G10" s="49">
        <f t="shared" si="5"/>
        <v>1</v>
      </c>
      <c r="H10" s="137">
        <f t="shared" ca="1" si="2"/>
        <v>15</v>
      </c>
      <c r="I10" s="49">
        <f t="shared" ca="1" si="7"/>
        <v>16</v>
      </c>
      <c r="J10" s="50"/>
    </row>
    <row r="11" spans="1:10" s="34" customFormat="1" ht="16.8">
      <c r="A11" s="83" t="s">
        <v>121</v>
      </c>
      <c r="B11" s="73">
        <v>4</v>
      </c>
      <c r="C11" s="84" t="s">
        <v>35</v>
      </c>
      <c r="D11" s="85" t="str">
        <f>IF(C11="Str",'Personal File'!$C$9,IF(C11="Dex",'Personal File'!$C$10,IF(C11="Con",'Personal File'!$C$11,IF(C11="Int",'Personal File'!$C$12,IF(C11="Wis",'Personal File'!$C$13,IF(C11="Cha",'Personal File'!$C$14))))))</f>
        <v>+2</v>
      </c>
      <c r="E11" s="86" t="str">
        <f t="shared" si="4"/>
        <v>Int (+2)</v>
      </c>
      <c r="F11" s="76" t="s">
        <v>65</v>
      </c>
      <c r="G11" s="76">
        <f t="shared" si="5"/>
        <v>6</v>
      </c>
      <c r="H11" s="137">
        <f t="shared" ca="1" si="2"/>
        <v>15</v>
      </c>
      <c r="I11" s="76">
        <f t="shared" ca="1" si="7"/>
        <v>21</v>
      </c>
      <c r="J11" s="77"/>
    </row>
    <row r="12" spans="1:10" s="34" customFormat="1" ht="16.8">
      <c r="A12" s="83" t="s">
        <v>188</v>
      </c>
      <c r="B12" s="73">
        <v>9</v>
      </c>
      <c r="C12" s="84" t="s">
        <v>35</v>
      </c>
      <c r="D12" s="85" t="str">
        <f>IF(C12="Str",'Personal File'!$C$9,IF(C12="Dex",'Personal File'!$C$10,IF(C12="Con",'Personal File'!$C$11,IF(C12="Int",'Personal File'!$C$12,IF(C12="Wis",'Personal File'!$C$13,IF(C12="Cha",'Personal File'!$C$14))))))</f>
        <v>+2</v>
      </c>
      <c r="E12" s="86" t="str">
        <f t="shared" ref="E12" si="8">CONCATENATE(C12," (",D12,")")</f>
        <v>Int (+2)</v>
      </c>
      <c r="F12" s="76" t="s">
        <v>104</v>
      </c>
      <c r="G12" s="76">
        <f t="shared" ref="G12" si="9">B12+D12+F12</f>
        <v>13</v>
      </c>
      <c r="H12" s="137">
        <f t="shared" ca="1" si="2"/>
        <v>6</v>
      </c>
      <c r="I12" s="76">
        <f t="shared" ref="I12" ca="1" si="10">SUM(G12:H12)</f>
        <v>19</v>
      </c>
      <c r="J12" s="77" t="s">
        <v>223</v>
      </c>
    </row>
    <row r="13" spans="1:10" s="37" customFormat="1" ht="16.8">
      <c r="A13" s="208" t="s">
        <v>45</v>
      </c>
      <c r="B13" s="209">
        <v>0</v>
      </c>
      <c r="C13" s="210" t="s">
        <v>35</v>
      </c>
      <c r="D13" s="211" t="str">
        <f>IF(C13="Str",'Personal File'!$C$9,IF(C13="Dex",'Personal File'!$C$10,IF(C13="Con",'Personal File'!$C$11,IF(C13="Int",'Personal File'!$C$12,IF(C13="Wis",'Personal File'!$C$13,IF(C13="Cha",'Personal File'!$C$14))))))</f>
        <v>+2</v>
      </c>
      <c r="E13" s="212" t="str">
        <f t="shared" si="4"/>
        <v>Int (+2)</v>
      </c>
      <c r="F13" s="213" t="s">
        <v>65</v>
      </c>
      <c r="G13" s="213">
        <f t="shared" si="5"/>
        <v>2</v>
      </c>
      <c r="H13" s="137">
        <f t="shared" ca="1" si="2"/>
        <v>13</v>
      </c>
      <c r="I13" s="213">
        <f t="shared" ca="1" si="7"/>
        <v>15</v>
      </c>
      <c r="J13" s="215"/>
    </row>
    <row r="14" spans="1:10" s="38" customFormat="1" ht="16.8">
      <c r="A14" s="72" t="s">
        <v>46</v>
      </c>
      <c r="B14" s="73">
        <v>2</v>
      </c>
      <c r="C14" s="74" t="s">
        <v>33</v>
      </c>
      <c r="D14" s="75" t="str">
        <f>IF(C14="Str",'Personal File'!$C$9,IF(C14="Dex",'Personal File'!$C$10,IF(C14="Con",'Personal File'!$C$11,IF(C14="Int",'Personal File'!$C$12,IF(C14="Wis",'Personal File'!$C$13,IF(C14="Cha",'Personal File'!$C$14))))))</f>
        <v>+1</v>
      </c>
      <c r="E14" s="81" t="str">
        <f t="shared" si="4"/>
        <v>Cha (+1)</v>
      </c>
      <c r="F14" s="76" t="s">
        <v>65</v>
      </c>
      <c r="G14" s="76">
        <f t="shared" si="5"/>
        <v>3</v>
      </c>
      <c r="H14" s="137">
        <f t="shared" ca="1" si="2"/>
        <v>10</v>
      </c>
      <c r="I14" s="76">
        <f t="shared" ca="1" si="7"/>
        <v>13</v>
      </c>
      <c r="J14" s="77"/>
    </row>
    <row r="15" spans="1:10" s="38" customFormat="1" ht="16.8">
      <c r="A15" s="83" t="s">
        <v>47</v>
      </c>
      <c r="B15" s="73">
        <v>6</v>
      </c>
      <c r="C15" s="84" t="s">
        <v>35</v>
      </c>
      <c r="D15" s="85" t="str">
        <f>IF(C15="Str",'Personal File'!$C$9,IF(C15="Dex",'Personal File'!$C$10,IF(C15="Con",'Personal File'!$C$11,IF(C15="Int",'Personal File'!$C$12,IF(C15="Wis",'Personal File'!$C$13,IF(C15="Cha",'Personal File'!$C$14))))))</f>
        <v>+2</v>
      </c>
      <c r="E15" s="86" t="str">
        <f t="shared" si="4"/>
        <v>Int (+2)</v>
      </c>
      <c r="F15" s="390">
        <f>2+2</f>
        <v>4</v>
      </c>
      <c r="G15" s="76">
        <f t="shared" si="5"/>
        <v>12</v>
      </c>
      <c r="H15" s="137">
        <f t="shared" ca="1" si="2"/>
        <v>18</v>
      </c>
      <c r="I15" s="76">
        <f t="shared" ca="1" si="7"/>
        <v>30</v>
      </c>
      <c r="J15" s="77"/>
    </row>
    <row r="16" spans="1:10" s="38" customFormat="1" ht="16.8">
      <c r="A16" s="72" t="s">
        <v>48</v>
      </c>
      <c r="B16" s="73">
        <v>2</v>
      </c>
      <c r="C16" s="74" t="s">
        <v>33</v>
      </c>
      <c r="D16" s="75" t="str">
        <f>IF(C16="Str",'Personal File'!$C$9,IF(C16="Dex",'Personal File'!$C$10,IF(C16="Con",'Personal File'!$C$11,IF(C16="Int",'Personal File'!$C$12,IF(C16="Wis",'Personal File'!$C$13,IF(C16="Cha",'Personal File'!$C$14))))))</f>
        <v>+1</v>
      </c>
      <c r="E16" s="81" t="str">
        <f t="shared" si="4"/>
        <v>Cha (+1)</v>
      </c>
      <c r="F16" s="76" t="s">
        <v>65</v>
      </c>
      <c r="G16" s="76">
        <f t="shared" si="5"/>
        <v>3</v>
      </c>
      <c r="H16" s="137">
        <f t="shared" ca="1" si="2"/>
        <v>20</v>
      </c>
      <c r="I16" s="76">
        <f t="shared" ca="1" si="7"/>
        <v>23</v>
      </c>
      <c r="J16" s="292" t="s">
        <v>189</v>
      </c>
    </row>
    <row r="17" spans="1:10" s="38" customFormat="1" ht="16.8">
      <c r="A17" s="115" t="s">
        <v>49</v>
      </c>
      <c r="B17" s="48">
        <v>0</v>
      </c>
      <c r="C17" s="116" t="s">
        <v>37</v>
      </c>
      <c r="D17" s="117" t="str">
        <f>IF(C17="Str",'Personal File'!$C$9,IF(C17="Dex",'Personal File'!$C$10,IF(C17="Con",'Personal File'!$C$11,IF(C17="Int",'Personal File'!$C$12,IF(C17="Wis",'Personal File'!$C$13,IF(C17="Cha",'Personal File'!$C$14))))))</f>
        <v>+3</v>
      </c>
      <c r="E17" s="118" t="str">
        <f t="shared" si="4"/>
        <v>Dex (+3)</v>
      </c>
      <c r="F17" s="49" t="s">
        <v>65</v>
      </c>
      <c r="G17" s="49">
        <f t="shared" si="5"/>
        <v>3</v>
      </c>
      <c r="H17" s="137">
        <f t="shared" ca="1" si="2"/>
        <v>11</v>
      </c>
      <c r="I17" s="49">
        <f t="shared" ca="1" si="7"/>
        <v>14</v>
      </c>
      <c r="J17" s="50"/>
    </row>
    <row r="18" spans="1:10" s="38" customFormat="1" ht="16.8">
      <c r="A18" s="156" t="s">
        <v>50</v>
      </c>
      <c r="B18" s="48">
        <v>0</v>
      </c>
      <c r="C18" s="157" t="s">
        <v>35</v>
      </c>
      <c r="D18" s="158" t="str">
        <f>IF(C18="Str",'Personal File'!$C$9,IF(C18="Dex",'Personal File'!$C$10,IF(C18="Con",'Personal File'!$C$11,IF(C18="Int",'Personal File'!$C$12,IF(C18="Wis",'Personal File'!$C$13,IF(C18="Cha",'Personal File'!$C$14))))))</f>
        <v>+2</v>
      </c>
      <c r="E18" s="159" t="str">
        <f t="shared" si="4"/>
        <v>Int (+2)</v>
      </c>
      <c r="F18" s="49" t="s">
        <v>65</v>
      </c>
      <c r="G18" s="49">
        <f t="shared" si="5"/>
        <v>2</v>
      </c>
      <c r="H18" s="137">
        <f t="shared" ca="1" si="2"/>
        <v>9</v>
      </c>
      <c r="I18" s="49">
        <f t="shared" ca="1" si="7"/>
        <v>11</v>
      </c>
      <c r="J18" s="50"/>
    </row>
    <row r="19" spans="1:10" s="38" customFormat="1" ht="16.8">
      <c r="A19" s="72" t="s">
        <v>51</v>
      </c>
      <c r="B19" s="73">
        <v>2</v>
      </c>
      <c r="C19" s="74" t="s">
        <v>33</v>
      </c>
      <c r="D19" s="75" t="str">
        <f>IF(C19="Str",'Personal File'!$C$9,IF(C19="Dex",'Personal File'!$C$10,IF(C19="Con",'Personal File'!$C$11,IF(C19="Int",'Personal File'!$C$12,IF(C19="Wis",'Personal File'!$C$13,IF(C19="Cha",'Personal File'!$C$14))))))</f>
        <v>+1</v>
      </c>
      <c r="E19" s="81" t="str">
        <f t="shared" si="4"/>
        <v>Cha (+1)</v>
      </c>
      <c r="F19" s="76" t="s">
        <v>65</v>
      </c>
      <c r="G19" s="76">
        <f t="shared" si="5"/>
        <v>3</v>
      </c>
      <c r="H19" s="137">
        <f t="shared" ca="1" si="2"/>
        <v>1</v>
      </c>
      <c r="I19" s="76">
        <f t="shared" ca="1" si="7"/>
        <v>4</v>
      </c>
      <c r="J19" s="77"/>
    </row>
    <row r="20" spans="1:10" s="38" customFormat="1" ht="16.8">
      <c r="A20" s="111" t="s">
        <v>20</v>
      </c>
      <c r="B20" s="48">
        <v>0</v>
      </c>
      <c r="C20" s="112" t="s">
        <v>33</v>
      </c>
      <c r="D20" s="113" t="str">
        <f>IF(C20="Str",'Personal File'!$C$9,IF(C20="Dex",'Personal File'!$C$10,IF(C20="Con",'Personal File'!$C$11,IF(C20="Int",'Personal File'!$C$12,IF(C20="Wis",'Personal File'!$C$13,IF(C20="Cha",'Personal File'!$C$14))))))</f>
        <v>+1</v>
      </c>
      <c r="E20" s="114" t="str">
        <f t="shared" si="4"/>
        <v>Cha (+1)</v>
      </c>
      <c r="F20" s="49" t="s">
        <v>65</v>
      </c>
      <c r="G20" s="49">
        <f t="shared" si="5"/>
        <v>1</v>
      </c>
      <c r="H20" s="137">
        <f t="shared" ca="1" si="2"/>
        <v>13</v>
      </c>
      <c r="I20" s="49">
        <f t="shared" ca="1" si="7"/>
        <v>14</v>
      </c>
      <c r="J20" s="50"/>
    </row>
    <row r="21" spans="1:10" s="38" customFormat="1" ht="16.8">
      <c r="A21" s="119" t="s">
        <v>52</v>
      </c>
      <c r="B21" s="48">
        <v>0</v>
      </c>
      <c r="C21" s="120" t="s">
        <v>36</v>
      </c>
      <c r="D21" s="121" t="str">
        <f>IF(C21="Str",'Personal File'!$C$9,IF(C21="Dex",'Personal File'!$C$10,IF(C21="Con",'Personal File'!$C$11,IF(C21="Int",'Personal File'!$C$12,IF(C21="Wis",'Personal File'!$C$13,IF(C21="Cha",'Personal File'!$C$14))))))</f>
        <v>+1</v>
      </c>
      <c r="E21" s="122" t="str">
        <f t="shared" si="4"/>
        <v>Wis (+1)</v>
      </c>
      <c r="F21" s="49" t="s">
        <v>65</v>
      </c>
      <c r="G21" s="49">
        <f t="shared" si="5"/>
        <v>1</v>
      </c>
      <c r="H21" s="137">
        <f t="shared" ca="1" si="2"/>
        <v>12</v>
      </c>
      <c r="I21" s="49">
        <f t="shared" ca="1" si="7"/>
        <v>13</v>
      </c>
      <c r="J21" s="50"/>
    </row>
    <row r="22" spans="1:10" s="38" customFormat="1" ht="16.8">
      <c r="A22" s="87" t="s">
        <v>53</v>
      </c>
      <c r="B22" s="73">
        <v>1</v>
      </c>
      <c r="C22" s="88" t="s">
        <v>37</v>
      </c>
      <c r="D22" s="89" t="str">
        <f>IF(C22="Str",'Personal File'!$C$9,IF(C22="Dex",'Personal File'!$C$10,IF(C22="Con",'Personal File'!$C$11,IF(C22="Int",'Personal File'!$C$12,IF(C22="Wis",'Personal File'!$C$13,IF(C22="Cha",'Personal File'!$C$14))))))</f>
        <v>+3</v>
      </c>
      <c r="E22" s="90" t="str">
        <f t="shared" si="4"/>
        <v>Dex (+3)</v>
      </c>
      <c r="F22" s="76" t="s">
        <v>65</v>
      </c>
      <c r="G22" s="76">
        <f t="shared" si="5"/>
        <v>4</v>
      </c>
      <c r="H22" s="137">
        <f t="shared" ca="1" si="2"/>
        <v>14</v>
      </c>
      <c r="I22" s="76">
        <f t="shared" ca="1" si="7"/>
        <v>18</v>
      </c>
      <c r="J22" s="77"/>
    </row>
    <row r="23" spans="1:10" s="38" customFormat="1" ht="16.8">
      <c r="A23" s="72" t="s">
        <v>54</v>
      </c>
      <c r="B23" s="73">
        <v>1</v>
      </c>
      <c r="C23" s="74" t="s">
        <v>33</v>
      </c>
      <c r="D23" s="75" t="str">
        <f>IF(C23="Str",'Personal File'!$C$9,IF(C23="Dex",'Personal File'!$C$10,IF(C23="Con",'Personal File'!$C$11,IF(C23="Int",'Personal File'!$C$12,IF(C23="Wis",'Personal File'!$C$13,IF(C23="Cha",'Personal File'!$C$14))))))</f>
        <v>+1</v>
      </c>
      <c r="E23" s="81" t="str">
        <f t="shared" si="4"/>
        <v>Cha (+1)</v>
      </c>
      <c r="F23" s="76" t="s">
        <v>65</v>
      </c>
      <c r="G23" s="76">
        <f t="shared" si="5"/>
        <v>2</v>
      </c>
      <c r="H23" s="137">
        <f t="shared" ca="1" si="2"/>
        <v>7</v>
      </c>
      <c r="I23" s="76">
        <f t="shared" ca="1" si="7"/>
        <v>9</v>
      </c>
      <c r="J23" s="77"/>
    </row>
    <row r="24" spans="1:10" s="38" customFormat="1" ht="16.8">
      <c r="A24" s="123" t="s">
        <v>55</v>
      </c>
      <c r="B24" s="48">
        <v>0</v>
      </c>
      <c r="C24" s="124" t="s">
        <v>38</v>
      </c>
      <c r="D24" s="125" t="str">
        <f>IF(C24="Str",'Personal File'!$C$9,IF(C24="Dex",'Personal File'!$C$10,IF(C24="Con",'Personal File'!$C$11,IF(C24="Int",'Personal File'!$C$12,IF(C24="Wis",'Personal File'!$C$13,IF(C24="Cha",'Personal File'!$C$14))))))</f>
        <v>+0</v>
      </c>
      <c r="E24" s="126" t="str">
        <f t="shared" si="4"/>
        <v>Str (+0)</v>
      </c>
      <c r="F24" s="49" t="s">
        <v>65</v>
      </c>
      <c r="G24" s="49">
        <f t="shared" si="5"/>
        <v>0</v>
      </c>
      <c r="H24" s="137">
        <f t="shared" ca="1" si="2"/>
        <v>11</v>
      </c>
      <c r="I24" s="49">
        <f t="shared" ca="1" si="7"/>
        <v>11</v>
      </c>
      <c r="J24" s="50"/>
    </row>
    <row r="25" spans="1:10" s="38" customFormat="1" ht="16.8">
      <c r="A25" s="83" t="s">
        <v>190</v>
      </c>
      <c r="B25" s="73">
        <v>6</v>
      </c>
      <c r="C25" s="84" t="s">
        <v>35</v>
      </c>
      <c r="D25" s="85" t="str">
        <f>IF(C25="Str",'Personal File'!$C$9,IF(C25="Dex",'Personal File'!$C$10,IF(C25="Con",'Personal File'!$C$11,IF(C25="Int",'Personal File'!$C$12,IF(C25="Wis",'Personal File'!$C$13,IF(C25="Cha",'Personal File'!$C$14))))))</f>
        <v>+2</v>
      </c>
      <c r="E25" s="86" t="str">
        <f t="shared" ref="E25" si="11">CONCATENATE(C25," (",D25,")")</f>
        <v>Int (+2)</v>
      </c>
      <c r="F25" s="76" t="s">
        <v>65</v>
      </c>
      <c r="G25" s="76">
        <f t="shared" si="5"/>
        <v>8</v>
      </c>
      <c r="H25" s="137">
        <f t="shared" ca="1" si="2"/>
        <v>3</v>
      </c>
      <c r="I25" s="76">
        <f t="shared" ca="1" si="7"/>
        <v>11</v>
      </c>
      <c r="J25" s="77"/>
    </row>
    <row r="26" spans="1:10" s="38" customFormat="1" ht="16.8">
      <c r="A26" s="83" t="s">
        <v>100</v>
      </c>
      <c r="B26" s="73">
        <v>1</v>
      </c>
      <c r="C26" s="84" t="s">
        <v>35</v>
      </c>
      <c r="D26" s="85" t="str">
        <f>IF(C26="Str",'Personal File'!$C$9,IF(C26="Dex",'Personal File'!$C$10,IF(C26="Con",'Personal File'!$C$11,IF(C26="Int",'Personal File'!$C$12,IF(C26="Wis",'Personal File'!$C$13,IF(C26="Cha",'Personal File'!$C$14))))))</f>
        <v>+2</v>
      </c>
      <c r="E26" s="86" t="str">
        <f t="shared" ref="E26" si="12">CONCATENATE(C26," (",D26,")")</f>
        <v>Int (+2)</v>
      </c>
      <c r="F26" s="76" t="s">
        <v>65</v>
      </c>
      <c r="G26" s="76">
        <f t="shared" ref="G26" si="13">B26+D26+F26</f>
        <v>3</v>
      </c>
      <c r="H26" s="137">
        <f t="shared" ca="1" si="2"/>
        <v>13</v>
      </c>
      <c r="I26" s="76">
        <f t="shared" ref="I26" ca="1" si="14">SUM(G26:H26)</f>
        <v>16</v>
      </c>
      <c r="J26" s="77"/>
    </row>
    <row r="27" spans="1:10" s="38" customFormat="1" ht="16.8">
      <c r="A27" s="91" t="s">
        <v>56</v>
      </c>
      <c r="B27" s="73">
        <v>7</v>
      </c>
      <c r="C27" s="92" t="s">
        <v>36</v>
      </c>
      <c r="D27" s="93" t="str">
        <f>IF(C27="Str",'Personal File'!$C$9,IF(C27="Dex",'Personal File'!$C$10,IF(C27="Con",'Personal File'!$C$11,IF(C27="Int",'Personal File'!$C$12,IF(C27="Wis",'Personal File'!$C$13,IF(C27="Cha",'Personal File'!$C$14))))))</f>
        <v>+1</v>
      </c>
      <c r="E27" s="94" t="str">
        <f t="shared" si="4"/>
        <v>Wis (+1)</v>
      </c>
      <c r="F27" s="76" t="s">
        <v>65</v>
      </c>
      <c r="G27" s="76">
        <f t="shared" si="5"/>
        <v>8</v>
      </c>
      <c r="H27" s="137">
        <f t="shared" ca="1" si="2"/>
        <v>11</v>
      </c>
      <c r="I27" s="76">
        <f t="shared" ca="1" si="7"/>
        <v>19</v>
      </c>
      <c r="J27" s="77"/>
    </row>
    <row r="28" spans="1:10" s="38" customFormat="1" ht="16.8">
      <c r="A28" s="87" t="s">
        <v>21</v>
      </c>
      <c r="B28" s="73">
        <v>7</v>
      </c>
      <c r="C28" s="88" t="s">
        <v>37</v>
      </c>
      <c r="D28" s="89" t="str">
        <f>IF(C28="Str",'Personal File'!$C$9,IF(C28="Dex",'Personal File'!$C$10,IF(C28="Con",'Personal File'!$C$11,IF(C28="Int",'Personal File'!$C$12,IF(C28="Wis",'Personal File'!$C$13,IF(C28="Cha",'Personal File'!$C$14))))))</f>
        <v>+3</v>
      </c>
      <c r="E28" s="90" t="str">
        <f t="shared" si="4"/>
        <v>Dex (+3)</v>
      </c>
      <c r="F28" s="76" t="s">
        <v>65</v>
      </c>
      <c r="G28" s="76">
        <f t="shared" si="5"/>
        <v>10</v>
      </c>
      <c r="H28" s="137">
        <f t="shared" ca="1" si="2"/>
        <v>20</v>
      </c>
      <c r="I28" s="76">
        <f t="shared" ca="1" si="7"/>
        <v>30</v>
      </c>
      <c r="J28" s="77"/>
    </row>
    <row r="29" spans="1:10" s="38" customFormat="1" ht="16.8">
      <c r="A29" s="87" t="s">
        <v>57</v>
      </c>
      <c r="B29" s="73">
        <v>8</v>
      </c>
      <c r="C29" s="88" t="s">
        <v>37</v>
      </c>
      <c r="D29" s="89" t="str">
        <f>IF(C29="Str",'Personal File'!$C$9,IF(C29="Dex",'Personal File'!$C$10,IF(C29="Con",'Personal File'!$C$11,IF(C29="Int",'Personal File'!$C$12,IF(C29="Wis",'Personal File'!$C$13,IF(C29="Cha",'Personal File'!$C$14))))))</f>
        <v>+3</v>
      </c>
      <c r="E29" s="90" t="str">
        <f t="shared" si="4"/>
        <v>Dex (+3)</v>
      </c>
      <c r="F29" s="390">
        <f>2+2</f>
        <v>4</v>
      </c>
      <c r="G29" s="76">
        <f t="shared" si="5"/>
        <v>15</v>
      </c>
      <c r="H29" s="137">
        <f t="shared" ca="1" si="2"/>
        <v>5</v>
      </c>
      <c r="I29" s="76">
        <f t="shared" ca="1" si="7"/>
        <v>20</v>
      </c>
      <c r="J29" s="77"/>
    </row>
    <row r="30" spans="1:10" ht="16.8">
      <c r="A30" s="111" t="s">
        <v>112</v>
      </c>
      <c r="B30" s="48">
        <v>0</v>
      </c>
      <c r="C30" s="112" t="s">
        <v>33</v>
      </c>
      <c r="D30" s="113" t="str">
        <f>IF(C30="Str",'Personal File'!$C$9,IF(C30="Dex",'Personal File'!$C$10,IF(C30="Con",'Personal File'!$C$11,IF(C30="Int",'Personal File'!$C$12,IF(C30="Wis",'Personal File'!$C$13,IF(C30="Cha",'Personal File'!$C$14))))))</f>
        <v>+1</v>
      </c>
      <c r="E30" s="114" t="str">
        <f t="shared" si="4"/>
        <v>Cha (+1)</v>
      </c>
      <c r="F30" s="49" t="s">
        <v>65</v>
      </c>
      <c r="G30" s="49">
        <f t="shared" si="5"/>
        <v>1</v>
      </c>
      <c r="H30" s="137">
        <f t="shared" ca="1" si="2"/>
        <v>9</v>
      </c>
      <c r="I30" s="49">
        <f t="shared" ca="1" si="7"/>
        <v>10</v>
      </c>
      <c r="J30" s="50"/>
    </row>
    <row r="31" spans="1:10" ht="16.8">
      <c r="A31" s="216" t="s">
        <v>113</v>
      </c>
      <c r="B31" s="209">
        <v>0</v>
      </c>
      <c r="C31" s="217" t="s">
        <v>36</v>
      </c>
      <c r="D31" s="218" t="str">
        <f>IF(C31="Str",'Personal File'!$C$9,IF(C31="Dex",'Personal File'!$C$10,IF(C31="Con",'Personal File'!$C$11,IF(C31="Int",'Personal File'!$C$12,IF(C31="Wis",'Personal File'!$C$13,IF(C31="Cha",'Personal File'!$C$14))))))</f>
        <v>+1</v>
      </c>
      <c r="E31" s="219" t="str">
        <f t="shared" ref="E31" si="15">CONCATENATE(C31," (",D31,")")</f>
        <v>Wis (+1)</v>
      </c>
      <c r="F31" s="213" t="s">
        <v>65</v>
      </c>
      <c r="G31" s="213">
        <f t="shared" si="5"/>
        <v>1</v>
      </c>
      <c r="H31" s="137">
        <f t="shared" ca="1" si="2"/>
        <v>4</v>
      </c>
      <c r="I31" s="213">
        <f t="shared" ca="1" si="7"/>
        <v>5</v>
      </c>
      <c r="J31" s="215"/>
    </row>
    <row r="32" spans="1:10" ht="16.8">
      <c r="A32" s="115" t="s">
        <v>22</v>
      </c>
      <c r="B32" s="48">
        <v>0</v>
      </c>
      <c r="C32" s="116" t="s">
        <v>37</v>
      </c>
      <c r="D32" s="117" t="str">
        <f>IF(C32="Str",'Personal File'!$C$9,IF(C32="Dex",'Personal File'!$C$10,IF(C32="Con",'Personal File'!$C$11,IF(C32="Int",'Personal File'!$C$12,IF(C32="Wis",'Personal File'!$C$13,IF(C32="Cha",'Personal File'!$C$14))))))</f>
        <v>+3</v>
      </c>
      <c r="E32" s="118" t="str">
        <f t="shared" si="4"/>
        <v>Dex (+3)</v>
      </c>
      <c r="F32" s="49" t="s">
        <v>65</v>
      </c>
      <c r="G32" s="49">
        <f t="shared" si="5"/>
        <v>3</v>
      </c>
      <c r="H32" s="137">
        <f t="shared" ca="1" si="2"/>
        <v>1</v>
      </c>
      <c r="I32" s="49">
        <f t="shared" ca="1" si="7"/>
        <v>4</v>
      </c>
      <c r="J32" s="50"/>
    </row>
    <row r="33" spans="1:10" ht="16.8">
      <c r="A33" s="83" t="s">
        <v>23</v>
      </c>
      <c r="B33" s="73">
        <v>9</v>
      </c>
      <c r="C33" s="84" t="s">
        <v>35</v>
      </c>
      <c r="D33" s="85" t="str">
        <f>IF(C33="Str",'Personal File'!$C$9,IF(C33="Dex",'Personal File'!$C$10,IF(C33="Con",'Personal File'!$C$11,IF(C33="Int",'Personal File'!$C$12,IF(C33="Wis",'Personal File'!$C$13,IF(C33="Cha",'Personal File'!$C$14))))))</f>
        <v>+2</v>
      </c>
      <c r="E33" s="86" t="str">
        <f t="shared" si="4"/>
        <v>Int (+2)</v>
      </c>
      <c r="F33" s="76" t="s">
        <v>65</v>
      </c>
      <c r="G33" s="76">
        <f t="shared" si="5"/>
        <v>11</v>
      </c>
      <c r="H33" s="137">
        <f t="shared" ca="1" si="2"/>
        <v>1</v>
      </c>
      <c r="I33" s="76">
        <f t="shared" ca="1" si="7"/>
        <v>12</v>
      </c>
      <c r="J33" s="77"/>
    </row>
    <row r="34" spans="1:10" ht="16.8">
      <c r="A34" s="119" t="s">
        <v>58</v>
      </c>
      <c r="B34" s="48">
        <v>0</v>
      </c>
      <c r="C34" s="120" t="s">
        <v>36</v>
      </c>
      <c r="D34" s="121" t="str">
        <f>IF(C34="Str",'Personal File'!$C$9,IF(C34="Dex",'Personal File'!$C$10,IF(C34="Con",'Personal File'!$C$11,IF(C34="Int",'Personal File'!$C$12,IF(C34="Wis",'Personal File'!$C$13,IF(C34="Cha",'Personal File'!$C$14))))))</f>
        <v>+1</v>
      </c>
      <c r="E34" s="122" t="str">
        <f t="shared" si="4"/>
        <v>Wis (+1)</v>
      </c>
      <c r="F34" s="49" t="s">
        <v>65</v>
      </c>
      <c r="G34" s="49">
        <f t="shared" si="5"/>
        <v>1</v>
      </c>
      <c r="H34" s="137">
        <f t="shared" ca="1" si="2"/>
        <v>13</v>
      </c>
      <c r="I34" s="49">
        <f t="shared" ca="1" si="7"/>
        <v>14</v>
      </c>
      <c r="J34" s="50"/>
    </row>
    <row r="35" spans="1:10" ht="16.8">
      <c r="A35" s="87" t="s">
        <v>90</v>
      </c>
      <c r="B35" s="73">
        <v>6</v>
      </c>
      <c r="C35" s="88" t="s">
        <v>37</v>
      </c>
      <c r="D35" s="89" t="str">
        <f>IF(C35="Str",'Personal File'!$C$9,IF(C35="Dex",'Personal File'!$C$10,IF(C35="Con",'Personal File'!$C$11,IF(C35="Int",'Personal File'!$C$12,IF(C35="Wis",'Personal File'!$C$13,IF(C35="Cha",'Personal File'!$C$14))))))</f>
        <v>+3</v>
      </c>
      <c r="E35" s="90" t="str">
        <f t="shared" si="4"/>
        <v>Dex (+3)</v>
      </c>
      <c r="F35" s="76" t="s">
        <v>65</v>
      </c>
      <c r="G35" s="76">
        <f t="shared" si="5"/>
        <v>9</v>
      </c>
      <c r="H35" s="137">
        <f t="shared" ca="1" si="2"/>
        <v>15</v>
      </c>
      <c r="I35" s="76">
        <f t="shared" ca="1" si="7"/>
        <v>24</v>
      </c>
      <c r="J35" s="77"/>
    </row>
    <row r="36" spans="1:10" ht="16.8">
      <c r="A36" s="156" t="s">
        <v>89</v>
      </c>
      <c r="B36" s="48">
        <v>0</v>
      </c>
      <c r="C36" s="157" t="s">
        <v>35</v>
      </c>
      <c r="D36" s="158" t="str">
        <f>IF(C36="Str",'Personal File'!$C$9,IF(C36="Dex",'Personal File'!$C$10,IF(C36="Con",'Personal File'!$C$11,IF(C36="Int",'Personal File'!$C$12,IF(C36="Wis",'Personal File'!$C$13,IF(C36="Cha",'Personal File'!$C$14))))))</f>
        <v>+2</v>
      </c>
      <c r="E36" s="159" t="str">
        <f t="shared" si="4"/>
        <v>Int (+2)</v>
      </c>
      <c r="F36" s="49" t="s">
        <v>65</v>
      </c>
      <c r="G36" s="49">
        <f t="shared" si="5"/>
        <v>2</v>
      </c>
      <c r="H36" s="137">
        <f t="shared" ca="1" si="2"/>
        <v>7</v>
      </c>
      <c r="I36" s="49">
        <f t="shared" ca="1" si="7"/>
        <v>9</v>
      </c>
      <c r="J36" s="160"/>
    </row>
    <row r="37" spans="1:10" ht="16.8">
      <c r="A37" s="208" t="s">
        <v>59</v>
      </c>
      <c r="B37" s="209">
        <v>0</v>
      </c>
      <c r="C37" s="210" t="s">
        <v>35</v>
      </c>
      <c r="D37" s="211" t="str">
        <f>IF(C37="Str",'Personal File'!$C$9,IF(C37="Dex",'Personal File'!$C$10,IF(C37="Con",'Personal File'!$C$11,IF(C37="Int",'Personal File'!$C$12,IF(C37="Wis",'Personal File'!$C$13,IF(C37="Cha",'Personal File'!$C$14))))))</f>
        <v>+2</v>
      </c>
      <c r="E37" s="212" t="str">
        <f t="shared" si="4"/>
        <v>Int (+2)</v>
      </c>
      <c r="F37" s="213" t="s">
        <v>65</v>
      </c>
      <c r="G37" s="213">
        <f t="shared" si="5"/>
        <v>2</v>
      </c>
      <c r="H37" s="137">
        <f t="shared" ca="1" si="2"/>
        <v>5</v>
      </c>
      <c r="I37" s="213">
        <f t="shared" ca="1" si="7"/>
        <v>7</v>
      </c>
      <c r="J37" s="214"/>
    </row>
    <row r="38" spans="1:10" ht="16.8">
      <c r="A38" s="91" t="s">
        <v>60</v>
      </c>
      <c r="B38" s="73">
        <v>7</v>
      </c>
      <c r="C38" s="92" t="s">
        <v>36</v>
      </c>
      <c r="D38" s="93" t="str">
        <f>IF(C38="Str",'Personal File'!$C$9,IF(C38="Dex",'Personal File'!$C$10,IF(C38="Con",'Personal File'!$C$11,IF(C38="Int",'Personal File'!$C$12,IF(C38="Wis",'Personal File'!$C$13,IF(C38="Cha",'Personal File'!$C$14))))))</f>
        <v>+1</v>
      </c>
      <c r="E38" s="94" t="str">
        <f t="shared" si="4"/>
        <v>Wis (+1)</v>
      </c>
      <c r="F38" s="76" t="s">
        <v>65</v>
      </c>
      <c r="G38" s="76">
        <f t="shared" si="5"/>
        <v>8</v>
      </c>
      <c r="H38" s="137">
        <f t="shared" ca="1" si="2"/>
        <v>19</v>
      </c>
      <c r="I38" s="76">
        <f t="shared" ca="1" si="7"/>
        <v>27</v>
      </c>
      <c r="J38" s="77"/>
    </row>
    <row r="39" spans="1:10" ht="16.8">
      <c r="A39" s="119" t="s">
        <v>91</v>
      </c>
      <c r="B39" s="48">
        <v>0</v>
      </c>
      <c r="C39" s="120" t="s">
        <v>36</v>
      </c>
      <c r="D39" s="121" t="str">
        <f>IF(C39="Str",'Personal File'!$C$9,IF(C39="Dex",'Personal File'!$C$10,IF(C39="Con",'Personal File'!$C$11,IF(C39="Int",'Personal File'!$C$12,IF(C39="Wis",'Personal File'!$C$13,IF(C39="Cha",'Personal File'!$C$14))))))</f>
        <v>+1</v>
      </c>
      <c r="E39" s="122" t="str">
        <f t="shared" si="4"/>
        <v>Wis (+1)</v>
      </c>
      <c r="F39" s="49" t="s">
        <v>65</v>
      </c>
      <c r="G39" s="49">
        <f t="shared" si="5"/>
        <v>1</v>
      </c>
      <c r="H39" s="137">
        <f t="shared" ca="1" si="2"/>
        <v>9</v>
      </c>
      <c r="I39" s="49">
        <f t="shared" ca="1" si="7"/>
        <v>10</v>
      </c>
      <c r="J39" s="50"/>
    </row>
    <row r="40" spans="1:10" ht="16.8">
      <c r="A40" s="123" t="s">
        <v>24</v>
      </c>
      <c r="B40" s="48">
        <v>0</v>
      </c>
      <c r="C40" s="124" t="s">
        <v>38</v>
      </c>
      <c r="D40" s="125" t="str">
        <f>IF(C40="Str",'Personal File'!$C$9,IF(C40="Dex",'Personal File'!$C$10,IF(C40="Con",'Personal File'!$C$11,IF(C40="Int",'Personal File'!$C$12,IF(C40="Wis",'Personal File'!$C$13,IF(C40="Cha",'Personal File'!$C$14))))))</f>
        <v>+0</v>
      </c>
      <c r="E40" s="126" t="str">
        <f t="shared" si="4"/>
        <v>Str (+0)</v>
      </c>
      <c r="F40" s="49" t="s">
        <v>65</v>
      </c>
      <c r="G40" s="49">
        <f t="shared" si="5"/>
        <v>0</v>
      </c>
      <c r="H40" s="137">
        <f t="shared" ca="1" si="2"/>
        <v>19</v>
      </c>
      <c r="I40" s="49">
        <f t="shared" ca="1" si="7"/>
        <v>19</v>
      </c>
      <c r="J40" s="50"/>
    </row>
    <row r="41" spans="1:10" ht="16.8">
      <c r="A41" s="115" t="s">
        <v>61</v>
      </c>
      <c r="B41" s="48">
        <v>0</v>
      </c>
      <c r="C41" s="116" t="s">
        <v>37</v>
      </c>
      <c r="D41" s="117" t="str">
        <f>IF(C41="Str",'Personal File'!$C$9,IF(C41="Dex",'Personal File'!$C$10,IF(C41="Con",'Personal File'!$C$11,IF(C41="Int",'Personal File'!$C$12,IF(C41="Wis",'Personal File'!$C$13,IF(C41="Cha",'Personal File'!$C$14))))))</f>
        <v>+3</v>
      </c>
      <c r="E41" s="118" t="str">
        <f t="shared" si="4"/>
        <v>Dex (+3)</v>
      </c>
      <c r="F41" s="49" t="s">
        <v>65</v>
      </c>
      <c r="G41" s="49">
        <f t="shared" si="5"/>
        <v>3</v>
      </c>
      <c r="H41" s="137">
        <f t="shared" ca="1" si="2"/>
        <v>7</v>
      </c>
      <c r="I41" s="49">
        <f t="shared" ca="1" si="7"/>
        <v>10</v>
      </c>
      <c r="J41" s="50"/>
    </row>
    <row r="42" spans="1:10" ht="16.8">
      <c r="A42" s="111" t="s">
        <v>62</v>
      </c>
      <c r="B42" s="48">
        <v>0</v>
      </c>
      <c r="C42" s="112" t="s">
        <v>33</v>
      </c>
      <c r="D42" s="113" t="str">
        <f>IF(C42="Str",'Personal File'!$C$9,IF(C42="Dex",'Personal File'!$C$10,IF(C42="Con",'Personal File'!$C$11,IF(C42="Int",'Personal File'!$C$12,IF(C42="Wis",'Personal File'!$C$13,IF(C42="Cha",'Personal File'!$C$14))))))</f>
        <v>+1</v>
      </c>
      <c r="E42" s="114" t="str">
        <f t="shared" si="4"/>
        <v>Cha (+1)</v>
      </c>
      <c r="F42" s="49" t="s">
        <v>65</v>
      </c>
      <c r="G42" s="49">
        <f t="shared" si="5"/>
        <v>1</v>
      </c>
      <c r="H42" s="137">
        <f t="shared" ca="1" si="2"/>
        <v>10</v>
      </c>
      <c r="I42" s="49">
        <f t="shared" ca="1" si="7"/>
        <v>11</v>
      </c>
      <c r="J42" s="50"/>
    </row>
    <row r="43" spans="1:10" ht="17.399999999999999" thickBot="1">
      <c r="A43" s="296" t="s">
        <v>63</v>
      </c>
      <c r="B43" s="297">
        <v>2</v>
      </c>
      <c r="C43" s="298" t="s">
        <v>37</v>
      </c>
      <c r="D43" s="299" t="str">
        <f>IF(C43="Str",'Personal File'!$C$9,IF(C43="Dex",'Personal File'!$C$10,IF(C43="Con",'Personal File'!$C$11,IF(C43="Int",'Personal File'!$C$12,IF(C43="Wis",'Personal File'!$C$13,IF(C43="Cha",'Personal File'!$C$14))))))</f>
        <v>+3</v>
      </c>
      <c r="E43" s="300" t="str">
        <f t="shared" si="4"/>
        <v>Dex (+3)</v>
      </c>
      <c r="F43" s="301" t="s">
        <v>65</v>
      </c>
      <c r="G43" s="301">
        <f t="shared" si="5"/>
        <v>5</v>
      </c>
      <c r="H43" s="161">
        <f t="shared" ca="1" si="2"/>
        <v>3</v>
      </c>
      <c r="I43" s="301">
        <f t="shared" ca="1" si="7"/>
        <v>8</v>
      </c>
      <c r="J43" s="302"/>
    </row>
    <row r="44" spans="1:10" ht="16.2" thickTop="1">
      <c r="B44" s="47">
        <f>SUM(B6:B43)</f>
        <v>86</v>
      </c>
      <c r="E44" s="294">
        <f>SUM(E45:E50)</f>
        <v>86</v>
      </c>
    </row>
    <row r="45" spans="1:10">
      <c r="B45" s="47"/>
      <c r="E45" s="293">
        <f>4*(8+'Personal File'!$C$12)</f>
        <v>40</v>
      </c>
      <c r="F45" s="127" t="s">
        <v>114</v>
      </c>
    </row>
    <row r="46" spans="1:10">
      <c r="E46" s="295">
        <f>8+'Personal File'!$C$12</f>
        <v>10</v>
      </c>
      <c r="F46" s="127" t="s">
        <v>115</v>
      </c>
    </row>
    <row r="47" spans="1:10">
      <c r="E47" s="295">
        <f>8+'Personal File'!$C$12</f>
        <v>10</v>
      </c>
      <c r="F47" s="127" t="s">
        <v>120</v>
      </c>
    </row>
    <row r="48" spans="1:10">
      <c r="E48" s="295">
        <f>8+'Personal File'!$C$12</f>
        <v>10</v>
      </c>
      <c r="F48" s="127" t="s">
        <v>164</v>
      </c>
    </row>
    <row r="49" spans="5:6">
      <c r="E49" s="293">
        <f>6+'Personal File'!$C$12</f>
        <v>8</v>
      </c>
      <c r="F49" s="127" t="s">
        <v>191</v>
      </c>
    </row>
    <row r="50" spans="5:6">
      <c r="E50" s="293">
        <f>6+'Personal File'!$C$12</f>
        <v>8</v>
      </c>
      <c r="F50" s="127" t="s">
        <v>192</v>
      </c>
    </row>
  </sheetData>
  <phoneticPr fontId="0" type="noConversion"/>
  <conditionalFormatting sqref="H3:H5">
    <cfRule type="cellIs" dxfId="18" priority="7" operator="equal">
      <formula>20</formula>
    </cfRule>
    <cfRule type="cellIs" dxfId="17" priority="8" operator="equal">
      <formula>1</formula>
    </cfRule>
  </conditionalFormatting>
  <conditionalFormatting sqref="H6:H11 H13:H25 H27:H43">
    <cfRule type="cellIs" dxfId="16" priority="5" operator="equal">
      <formula>20</formula>
    </cfRule>
    <cfRule type="cellIs" dxfId="15" priority="6" operator="equal">
      <formula>1</formula>
    </cfRule>
  </conditionalFormatting>
  <conditionalFormatting sqref="H12">
    <cfRule type="cellIs" dxfId="14" priority="3" operator="equal">
      <formula>20</formula>
    </cfRule>
    <cfRule type="cellIs" dxfId="13" priority="4" operator="equal">
      <formula>1</formula>
    </cfRule>
  </conditionalFormatting>
  <conditionalFormatting sqref="H26">
    <cfRule type="cellIs" dxfId="12" priority="1" operator="equal">
      <formula>20</formula>
    </cfRule>
    <cfRule type="cellIs" dxfId="1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showGridLines="0" workbookViewId="0"/>
  </sheetViews>
  <sheetFormatPr defaultColWidth="8.69921875" defaultRowHeight="16.8"/>
  <cols>
    <col min="1" max="1" width="22.5" style="102" bestFit="1" customWidth="1"/>
    <col min="2" max="2" width="2.19921875" style="107" customWidth="1"/>
    <col min="3" max="3" width="20.8984375" style="100" bestFit="1" customWidth="1"/>
    <col min="4" max="16384" width="8.69921875" style="100"/>
  </cols>
  <sheetData>
    <row r="1" spans="1:3" ht="18" thickTop="1" thickBot="1">
      <c r="A1" s="99" t="s">
        <v>98</v>
      </c>
      <c r="B1" s="100"/>
      <c r="C1" s="99" t="s">
        <v>213</v>
      </c>
    </row>
    <row r="2" spans="1:3">
      <c r="A2" s="129" t="s">
        <v>220</v>
      </c>
      <c r="B2" s="100"/>
      <c r="C2" s="101" t="s">
        <v>102</v>
      </c>
    </row>
    <row r="3" spans="1:3">
      <c r="A3" s="129" t="s">
        <v>221</v>
      </c>
      <c r="B3" s="100"/>
      <c r="C3" s="129" t="s">
        <v>181</v>
      </c>
    </row>
    <row r="4" spans="1:3" ht="17.399999999999999" thickBot="1">
      <c r="A4" s="291" t="s">
        <v>228</v>
      </c>
      <c r="B4" s="100"/>
      <c r="C4" s="101" t="s">
        <v>184</v>
      </c>
    </row>
    <row r="5" spans="1:3" ht="18" thickTop="1" thickBot="1">
      <c r="B5" s="100"/>
      <c r="C5" s="129" t="s">
        <v>103</v>
      </c>
    </row>
    <row r="6" spans="1:3" ht="18" thickTop="1" thickBot="1">
      <c r="A6" s="104" t="s">
        <v>94</v>
      </c>
      <c r="B6" s="100"/>
      <c r="C6" s="129" t="s">
        <v>224</v>
      </c>
    </row>
    <row r="7" spans="1:3" ht="17.399999999999999" thickBot="1">
      <c r="A7" s="110" t="s">
        <v>95</v>
      </c>
      <c r="B7" s="100"/>
      <c r="C7" s="290" t="s">
        <v>182</v>
      </c>
    </row>
    <row r="8" spans="1:3" ht="18" thickTop="1" thickBot="1">
      <c r="A8" s="109" t="s">
        <v>111</v>
      </c>
      <c r="B8" s="100"/>
    </row>
    <row r="9" spans="1:3" ht="18" thickTop="1" thickBot="1">
      <c r="A9" s="220" t="s">
        <v>160</v>
      </c>
      <c r="B9" s="100"/>
      <c r="C9" s="99" t="s">
        <v>185</v>
      </c>
    </row>
    <row r="10" spans="1:3" ht="17.399999999999999" thickBot="1">
      <c r="A10" s="106" t="s">
        <v>116</v>
      </c>
      <c r="B10" s="100"/>
      <c r="C10" s="129" t="s">
        <v>186</v>
      </c>
    </row>
    <row r="11" spans="1:3" ht="18" thickTop="1" thickBot="1">
      <c r="B11" s="100"/>
      <c r="C11" s="129" t="s">
        <v>187</v>
      </c>
    </row>
    <row r="12" spans="1:3" ht="18" thickTop="1" thickBot="1">
      <c r="A12" s="103" t="s">
        <v>80</v>
      </c>
      <c r="C12" s="291" t="s">
        <v>225</v>
      </c>
    </row>
    <row r="13" spans="1:3">
      <c r="A13" s="105" t="s">
        <v>183</v>
      </c>
    </row>
    <row r="14" spans="1:3" ht="17.399999999999999" thickBot="1">
      <c r="A14" s="304" t="s">
        <v>196</v>
      </c>
    </row>
    <row r="15" spans="1:3" ht="17.399999999999999"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showGridLines="0" workbookViewId="0"/>
  </sheetViews>
  <sheetFormatPr defaultColWidth="13" defaultRowHeight="15.6"/>
  <cols>
    <col min="1" max="1" width="27.8984375" style="240" bestFit="1" customWidth="1"/>
    <col min="2" max="2" width="8.59765625" style="240" customWidth="1"/>
    <col min="3" max="3" width="4.3984375" style="240" bestFit="1" customWidth="1"/>
    <col min="4" max="4" width="6.19921875" style="240" bestFit="1" customWidth="1"/>
    <col min="5" max="5" width="8.5" style="240" bestFit="1" customWidth="1"/>
    <col min="6" max="6" width="8.8984375" style="240" bestFit="1" customWidth="1"/>
    <col min="7" max="7" width="4.3984375" style="240" bestFit="1" customWidth="1"/>
    <col min="8" max="8" width="5.59765625" style="240" bestFit="1" customWidth="1"/>
    <col min="9" max="9" width="5.5" style="240" bestFit="1" customWidth="1"/>
    <col min="10" max="10" width="6.19921875" style="240" bestFit="1" customWidth="1"/>
    <col min="11" max="11" width="17.796875" style="240" bestFit="1" customWidth="1"/>
    <col min="12" max="12" width="3" style="231" customWidth="1"/>
    <col min="13" max="13" width="8.296875" style="231" bestFit="1" customWidth="1"/>
    <col min="14" max="16384" width="13" style="231"/>
  </cols>
  <sheetData>
    <row r="1" spans="1:13" ht="23.4" thickBot="1">
      <c r="A1" s="230" t="s">
        <v>25</v>
      </c>
      <c r="B1" s="230"/>
      <c r="C1" s="230"/>
      <c r="D1" s="230"/>
      <c r="E1" s="230"/>
      <c r="F1" s="230"/>
      <c r="G1" s="230"/>
      <c r="H1" s="230"/>
      <c r="I1" s="230"/>
      <c r="J1" s="230"/>
      <c r="K1" s="230"/>
    </row>
    <row r="2" spans="1:13" ht="16.8" thickTop="1" thickBot="1">
      <c r="A2" s="232" t="s">
        <v>6</v>
      </c>
      <c r="B2" s="233" t="s">
        <v>7</v>
      </c>
      <c r="C2" s="233" t="s">
        <v>28</v>
      </c>
      <c r="D2" s="233" t="s">
        <v>29</v>
      </c>
      <c r="E2" s="234" t="s">
        <v>71</v>
      </c>
      <c r="F2" s="233" t="s">
        <v>26</v>
      </c>
      <c r="G2" s="233" t="s">
        <v>30</v>
      </c>
      <c r="H2" s="235" t="s">
        <v>96</v>
      </c>
      <c r="I2" s="236" t="s">
        <v>109</v>
      </c>
      <c r="J2" s="235" t="s">
        <v>85</v>
      </c>
      <c r="K2" s="237" t="s">
        <v>84</v>
      </c>
      <c r="M2" s="307" t="s">
        <v>197</v>
      </c>
    </row>
    <row r="3" spans="1:13">
      <c r="A3" s="306" t="s">
        <v>126</v>
      </c>
      <c r="B3" s="173" t="s">
        <v>122</v>
      </c>
      <c r="C3" s="174">
        <v>0</v>
      </c>
      <c r="D3" s="175">
        <v>0</v>
      </c>
      <c r="E3" s="175" t="s">
        <v>123</v>
      </c>
      <c r="F3" s="176" t="s">
        <v>143</v>
      </c>
      <c r="G3" s="177">
        <v>1</v>
      </c>
      <c r="H3" s="178" t="str">
        <f>CONCATENATE("+",RIGHT('Personal File'!$B$7,1)+'Personal File'!$C$9+D3+1)</f>
        <v>+5</v>
      </c>
      <c r="I3" s="179">
        <f t="shared" ref="I3:I5" ca="1" si="0">RANDBETWEEN(1,20)</f>
        <v>14</v>
      </c>
      <c r="J3" s="180">
        <f t="shared" ref="J3:J6" ca="1" si="1">I3+RIGHT(H3,1)</f>
        <v>19</v>
      </c>
      <c r="K3" s="227" t="s">
        <v>171</v>
      </c>
      <c r="M3" s="308">
        <v>0</v>
      </c>
    </row>
    <row r="4" spans="1:13">
      <c r="A4" s="181" t="s">
        <v>153</v>
      </c>
      <c r="B4" s="182" t="s">
        <v>149</v>
      </c>
      <c r="C4" s="183">
        <v>0</v>
      </c>
      <c r="D4" s="184" t="s">
        <v>97</v>
      </c>
      <c r="E4" s="184" t="s">
        <v>150</v>
      </c>
      <c r="F4" s="185" t="s">
        <v>143</v>
      </c>
      <c r="G4" s="186">
        <v>3</v>
      </c>
      <c r="H4" s="187" t="str">
        <f>CONCATENATE("+",RIGHT('Personal File'!$B$7,1)+'Personal File'!$C$9+D4+1)</f>
        <v>+6</v>
      </c>
      <c r="I4" s="188">
        <f t="shared" ca="1" si="0"/>
        <v>4</v>
      </c>
      <c r="J4" s="189">
        <f t="shared" ca="1" si="1"/>
        <v>10</v>
      </c>
      <c r="K4" s="190" t="s">
        <v>174</v>
      </c>
      <c r="M4" s="309">
        <v>300</v>
      </c>
    </row>
    <row r="5" spans="1:13">
      <c r="A5" s="181" t="s">
        <v>214</v>
      </c>
      <c r="B5" s="182" t="s">
        <v>142</v>
      </c>
      <c r="C5" s="183" t="s">
        <v>65</v>
      </c>
      <c r="D5" s="184" t="s">
        <v>97</v>
      </c>
      <c r="E5" s="184" t="s">
        <v>123</v>
      </c>
      <c r="F5" s="185" t="s">
        <v>124</v>
      </c>
      <c r="G5" s="186">
        <f>3*0.5</f>
        <v>1.5</v>
      </c>
      <c r="H5" s="187" t="str">
        <f>CONCATENATE("+",RIGHT('Personal File'!$B$7,1)+'Personal File'!$C$9+D5+1)</f>
        <v>+6</v>
      </c>
      <c r="I5" s="188">
        <f t="shared" ca="1" si="0"/>
        <v>8</v>
      </c>
      <c r="J5" s="189">
        <f t="shared" ca="1" si="1"/>
        <v>14</v>
      </c>
      <c r="K5" s="190"/>
      <c r="M5" s="309">
        <v>300</v>
      </c>
    </row>
    <row r="6" spans="1:13" ht="16.2" thickBot="1">
      <c r="A6" s="191" t="s">
        <v>125</v>
      </c>
      <c r="B6" s="192" t="s">
        <v>122</v>
      </c>
      <c r="C6" s="193">
        <v>0</v>
      </c>
      <c r="D6" s="194">
        <v>0</v>
      </c>
      <c r="E6" s="195" t="s">
        <v>144</v>
      </c>
      <c r="F6" s="196" t="s">
        <v>146</v>
      </c>
      <c r="G6" s="197">
        <v>1</v>
      </c>
      <c r="H6" s="198" t="str">
        <f>CONCATENATE("+",RIGHT('Personal File'!$B$7,1)+'Personal File'!$C$9+D6+1)</f>
        <v>+5</v>
      </c>
      <c r="I6" s="238">
        <f ca="1">RANDBETWEEN(1,20)</f>
        <v>20</v>
      </c>
      <c r="J6" s="239">
        <f t="shared" ca="1" si="1"/>
        <v>25</v>
      </c>
      <c r="K6" s="199" t="s">
        <v>145</v>
      </c>
      <c r="M6" s="310">
        <v>0</v>
      </c>
    </row>
    <row r="7" spans="1:13" ht="6" customHeight="1" thickTop="1" thickBot="1"/>
    <row r="8" spans="1:13" ht="16.8" thickTop="1" thickBot="1">
      <c r="A8" s="232" t="s">
        <v>9</v>
      </c>
      <c r="B8" s="233" t="s">
        <v>10</v>
      </c>
      <c r="C8" s="233" t="s">
        <v>28</v>
      </c>
      <c r="D8" s="233" t="s">
        <v>29</v>
      </c>
      <c r="E8" s="234" t="s">
        <v>71</v>
      </c>
      <c r="F8" s="233" t="s">
        <v>11</v>
      </c>
      <c r="G8" s="233" t="s">
        <v>30</v>
      </c>
      <c r="H8" s="235" t="s">
        <v>96</v>
      </c>
      <c r="I8" s="236" t="s">
        <v>109</v>
      </c>
      <c r="J8" s="235" t="s">
        <v>85</v>
      </c>
      <c r="K8" s="237" t="s">
        <v>84</v>
      </c>
      <c r="M8" s="307" t="s">
        <v>197</v>
      </c>
    </row>
    <row r="9" spans="1:13">
      <c r="A9" s="241" t="s">
        <v>177</v>
      </c>
      <c r="B9" s="242" t="s">
        <v>142</v>
      </c>
      <c r="C9" s="243" t="s">
        <v>65</v>
      </c>
      <c r="D9" s="243" t="s">
        <v>65</v>
      </c>
      <c r="E9" s="242" t="s">
        <v>144</v>
      </c>
      <c r="F9" s="243" t="s">
        <v>172</v>
      </c>
      <c r="G9" s="244">
        <v>0</v>
      </c>
      <c r="H9" s="245" t="str">
        <f>CONCATENATE("+",RIGHT('Personal File'!$B$7,1)+RIGHT('Personal File'!$C$10)+D9+4)</f>
        <v>+11</v>
      </c>
      <c r="I9" s="179">
        <f ca="1">RANDBETWEEN(1,20)</f>
        <v>5</v>
      </c>
      <c r="J9" s="246">
        <f ca="1">I9+H9</f>
        <v>16</v>
      </c>
      <c r="K9" s="247"/>
      <c r="M9" s="308">
        <v>8000</v>
      </c>
    </row>
    <row r="10" spans="1:13" ht="16.2" thickBot="1">
      <c r="A10" s="248" t="s">
        <v>163</v>
      </c>
      <c r="B10" s="249" t="s">
        <v>175</v>
      </c>
      <c r="C10" s="250" t="s">
        <v>65</v>
      </c>
      <c r="D10" s="250" t="s">
        <v>101</v>
      </c>
      <c r="E10" s="249" t="s">
        <v>175</v>
      </c>
      <c r="F10" s="250" t="s">
        <v>175</v>
      </c>
      <c r="G10" s="251" t="s">
        <v>175</v>
      </c>
      <c r="H10" s="252" t="str">
        <f>CONCATENATE("+",RIGHT('Personal File'!$B$7,1)+RIGHT('Personal File'!$C$10)+D10)</f>
        <v>+11</v>
      </c>
      <c r="I10" s="253">
        <f ca="1">RANDBETWEEN(1,20)</f>
        <v>1</v>
      </c>
      <c r="J10" s="254">
        <f t="shared" ref="J10" ca="1" si="2">I10+RIGHT(H10,1)</f>
        <v>2</v>
      </c>
      <c r="K10" s="255"/>
      <c r="M10" s="310" t="s">
        <v>175</v>
      </c>
    </row>
    <row r="11" spans="1:13" ht="6" customHeight="1" thickTop="1" thickBot="1">
      <c r="D11" s="256"/>
      <c r="E11" s="256"/>
      <c r="G11" s="257"/>
      <c r="H11" s="257"/>
      <c r="I11" s="257"/>
      <c r="J11" s="257"/>
    </row>
    <row r="12" spans="1:13" ht="16.8" thickTop="1" thickBot="1">
      <c r="A12" s="232" t="s">
        <v>75</v>
      </c>
      <c r="B12" s="233" t="s">
        <v>19</v>
      </c>
      <c r="C12" s="233" t="s">
        <v>37</v>
      </c>
      <c r="D12" s="233" t="s">
        <v>85</v>
      </c>
      <c r="E12" s="233" t="s">
        <v>86</v>
      </c>
      <c r="F12" s="233" t="s">
        <v>87</v>
      </c>
      <c r="G12" s="233" t="s">
        <v>30</v>
      </c>
      <c r="H12" s="258" t="s">
        <v>84</v>
      </c>
      <c r="I12" s="259"/>
      <c r="J12" s="259"/>
      <c r="K12" s="260"/>
      <c r="M12" s="307" t="s">
        <v>197</v>
      </c>
    </row>
    <row r="13" spans="1:13">
      <c r="A13" s="305" t="s">
        <v>198</v>
      </c>
      <c r="B13" s="261">
        <v>5</v>
      </c>
      <c r="C13" s="262">
        <v>8</v>
      </c>
      <c r="D13" s="242">
        <v>0</v>
      </c>
      <c r="E13" s="263">
        <v>0</v>
      </c>
      <c r="F13" s="264" t="s">
        <v>173</v>
      </c>
      <c r="G13" s="265">
        <v>25</v>
      </c>
      <c r="H13" s="266"/>
      <c r="I13" s="267"/>
      <c r="J13" s="267"/>
      <c r="K13" s="268"/>
      <c r="M13" s="308">
        <v>2600</v>
      </c>
    </row>
    <row r="14" spans="1:13">
      <c r="A14" s="379" t="s">
        <v>218</v>
      </c>
      <c r="B14" s="381" t="s">
        <v>175</v>
      </c>
      <c r="C14" s="380" t="s">
        <v>175</v>
      </c>
      <c r="D14" s="381" t="s">
        <v>175</v>
      </c>
      <c r="E14" s="382" t="s">
        <v>175</v>
      </c>
      <c r="F14" s="383" t="s">
        <v>175</v>
      </c>
      <c r="G14" s="384">
        <v>2</v>
      </c>
      <c r="H14" s="385"/>
      <c r="I14" s="386"/>
      <c r="J14" s="386"/>
      <c r="K14" s="387"/>
      <c r="M14" s="388">
        <v>5000</v>
      </c>
    </row>
    <row r="15" spans="1:13" ht="16.2" thickBot="1">
      <c r="A15" s="191" t="s">
        <v>208</v>
      </c>
      <c r="B15" s="192" t="s">
        <v>175</v>
      </c>
      <c r="C15" s="311" t="s">
        <v>175</v>
      </c>
      <c r="D15" s="192" t="s">
        <v>175</v>
      </c>
      <c r="E15" s="312" t="s">
        <v>175</v>
      </c>
      <c r="F15" s="313" t="s">
        <v>175</v>
      </c>
      <c r="G15" s="314">
        <v>0</v>
      </c>
      <c r="H15" s="371" t="s">
        <v>210</v>
      </c>
      <c r="I15" s="269"/>
      <c r="J15" s="269"/>
      <c r="K15" s="270"/>
      <c r="M15" s="310">
        <v>500</v>
      </c>
    </row>
    <row r="16" spans="1:13" ht="6.75" customHeight="1" thickTop="1" thickBot="1"/>
    <row r="17" spans="1:13" ht="16.8" thickTop="1" thickBot="1">
      <c r="A17" s="271"/>
      <c r="B17" s="257"/>
      <c r="D17" s="272" t="s">
        <v>76</v>
      </c>
      <c r="E17" s="273"/>
      <c r="F17" s="258" t="s">
        <v>8</v>
      </c>
      <c r="G17" s="233" t="s">
        <v>30</v>
      </c>
      <c r="H17" s="235" t="s">
        <v>96</v>
      </c>
      <c r="I17" s="258" t="s">
        <v>84</v>
      </c>
      <c r="J17" s="259"/>
      <c r="K17" s="260"/>
      <c r="M17" s="307" t="s">
        <v>197</v>
      </c>
    </row>
    <row r="18" spans="1:13">
      <c r="A18" s="271"/>
      <c r="B18" s="257"/>
      <c r="D18" s="274" t="s">
        <v>148</v>
      </c>
      <c r="E18" s="275"/>
      <c r="F18" s="276">
        <v>12</v>
      </c>
      <c r="G18" s="265">
        <f t="shared" ref="G18" si="3">F18*0.25</f>
        <v>3</v>
      </c>
      <c r="H18" s="277" t="s">
        <v>147</v>
      </c>
      <c r="I18" s="278"/>
      <c r="J18" s="279"/>
      <c r="K18" s="280"/>
      <c r="M18" s="309">
        <v>0</v>
      </c>
    </row>
    <row r="19" spans="1:13" ht="16.2" thickBot="1">
      <c r="A19" s="271"/>
      <c r="B19" s="257"/>
      <c r="D19" s="281"/>
      <c r="E19" s="282"/>
      <c r="F19" s="283"/>
      <c r="G19" s="284"/>
      <c r="H19" s="285"/>
      <c r="I19" s="286"/>
      <c r="J19" s="287"/>
      <c r="K19" s="288"/>
      <c r="M19" s="310"/>
    </row>
    <row r="20" spans="1:13" ht="16.8" thickTop="1" thickBot="1"/>
    <row r="21" spans="1:13" ht="16.8" thickTop="1" thickBot="1">
      <c r="D21" s="272" t="s">
        <v>203</v>
      </c>
      <c r="E21" s="259"/>
      <c r="F21" s="259"/>
      <c r="G21" s="353" t="s">
        <v>8</v>
      </c>
      <c r="H21" s="353" t="s">
        <v>204</v>
      </c>
      <c r="I21" s="353" t="s">
        <v>205</v>
      </c>
      <c r="J21" s="354" t="s">
        <v>84</v>
      </c>
      <c r="K21" s="260"/>
      <c r="L21" s="355"/>
      <c r="M21" s="307" t="s">
        <v>197</v>
      </c>
    </row>
    <row r="22" spans="1:13">
      <c r="D22" s="356"/>
      <c r="E22" s="357"/>
      <c r="F22" s="357"/>
      <c r="G22" s="173"/>
      <c r="H22" s="173"/>
      <c r="I22" s="173"/>
      <c r="J22" s="358"/>
      <c r="K22" s="359"/>
      <c r="L22" s="355"/>
      <c r="M22" s="360"/>
    </row>
    <row r="23" spans="1:13">
      <c r="D23" s="361"/>
      <c r="E23" s="362"/>
      <c r="F23" s="362"/>
      <c r="G23" s="182"/>
      <c r="H23" s="182"/>
      <c r="I23" s="182"/>
      <c r="J23" s="363"/>
      <c r="K23" s="364"/>
      <c r="L23" s="355"/>
      <c r="M23" s="360"/>
    </row>
    <row r="24" spans="1:13" ht="16.2" thickBot="1">
      <c r="D24" s="365"/>
      <c r="E24" s="366"/>
      <c r="F24" s="366"/>
      <c r="G24" s="367"/>
      <c r="H24" s="367"/>
      <c r="I24" s="367"/>
      <c r="J24" s="368"/>
      <c r="K24" s="369"/>
      <c r="L24" s="355"/>
      <c r="M24" s="370"/>
    </row>
    <row r="25" spans="1:13" ht="16.2" thickTop="1"/>
  </sheetData>
  <phoneticPr fontId="0" type="noConversion"/>
  <conditionalFormatting sqref="I10">
    <cfRule type="cellIs" dxfId="10" priority="9" operator="equal">
      <formula>20</formula>
    </cfRule>
    <cfRule type="cellIs" dxfId="9" priority="10" operator="equal">
      <formula>1</formula>
    </cfRule>
  </conditionalFormatting>
  <conditionalFormatting sqref="I6">
    <cfRule type="cellIs" dxfId="8" priority="7" operator="equal">
      <formula>20</formula>
    </cfRule>
    <cfRule type="cellIs" dxfId="7" priority="8" operator="equal">
      <formula>1</formula>
    </cfRule>
  </conditionalFormatting>
  <conditionalFormatting sqref="I3:I4">
    <cfRule type="cellIs" dxfId="6" priority="5" operator="equal">
      <formula>20</formula>
    </cfRule>
    <cfRule type="cellIs" dxfId="5" priority="6" operator="equal">
      <formula>1</formula>
    </cfRule>
  </conditionalFormatting>
  <conditionalFormatting sqref="I5">
    <cfRule type="cellIs" dxfId="4" priority="3" operator="equal">
      <formula>20</formula>
    </cfRule>
    <cfRule type="cellIs" dxfId="3" priority="4" operator="equal">
      <formula>1</formula>
    </cfRule>
  </conditionalFormatting>
  <conditionalFormatting sqref="I9">
    <cfRule type="cellIs" dxfId="2" priority="1" operator="equal">
      <formula>20</formula>
    </cfRule>
    <cfRule type="cellIs" dxfId="1"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9"/>
  <sheetViews>
    <sheetView showGridLines="0" workbookViewId="0"/>
  </sheetViews>
  <sheetFormatPr defaultColWidth="13" defaultRowHeight="15.6"/>
  <cols>
    <col min="1" max="1" width="25.3984375" style="24" bestFit="1" customWidth="1"/>
    <col min="2" max="2" width="4.5" style="24" bestFit="1" customWidth="1"/>
    <col min="3" max="3" width="5.59765625" style="25" bestFit="1" customWidth="1"/>
    <col min="4" max="5" width="26.59765625" style="1" customWidth="1"/>
    <col min="6" max="6" width="4.09765625" style="24" customWidth="1"/>
    <col min="7" max="7" width="8.296875" style="1" bestFit="1" customWidth="1"/>
    <col min="8" max="16384" width="13" style="1"/>
  </cols>
  <sheetData>
    <row r="1" spans="1:7" ht="23.4" thickBot="1">
      <c r="A1" s="23" t="s">
        <v>81</v>
      </c>
      <c r="B1" s="23"/>
      <c r="C1" s="56"/>
      <c r="D1" s="23"/>
      <c r="E1" s="23"/>
    </row>
    <row r="2" spans="1:7" s="24" customFormat="1" ht="16.8" thickTop="1" thickBot="1">
      <c r="A2" s="57" t="s">
        <v>82</v>
      </c>
      <c r="B2" s="226" t="s">
        <v>8</v>
      </c>
      <c r="C2" s="58" t="s">
        <v>30</v>
      </c>
      <c r="D2" s="59" t="s">
        <v>83</v>
      </c>
      <c r="E2" s="60" t="s">
        <v>84</v>
      </c>
      <c r="G2" s="342" t="s">
        <v>197</v>
      </c>
    </row>
    <row r="3" spans="1:7">
      <c r="A3" s="162" t="s">
        <v>151</v>
      </c>
      <c r="B3" s="168">
        <v>1</v>
      </c>
      <c r="C3" s="69">
        <v>3</v>
      </c>
      <c r="D3" s="163"/>
      <c r="E3" s="68"/>
      <c r="G3" s="343">
        <v>0</v>
      </c>
    </row>
    <row r="4" spans="1:7">
      <c r="A4" s="128" t="s">
        <v>209</v>
      </c>
      <c r="B4" s="222">
        <v>1</v>
      </c>
      <c r="C4" s="79" t="s">
        <v>207</v>
      </c>
      <c r="D4" s="169" t="s">
        <v>212</v>
      </c>
      <c r="E4" s="62"/>
      <c r="G4" s="344">
        <v>500</v>
      </c>
    </row>
    <row r="5" spans="1:7">
      <c r="A5" s="128" t="s">
        <v>206</v>
      </c>
      <c r="B5" s="222">
        <v>1</v>
      </c>
      <c r="C5" s="61">
        <v>0</v>
      </c>
      <c r="D5" s="164"/>
      <c r="E5" s="62"/>
      <c r="G5" s="344">
        <v>500</v>
      </c>
    </row>
    <row r="6" spans="1:7">
      <c r="A6" s="128" t="s">
        <v>219</v>
      </c>
      <c r="B6" s="222">
        <v>1</v>
      </c>
      <c r="C6" s="61">
        <v>0</v>
      </c>
      <c r="D6" s="164"/>
      <c r="E6" s="62"/>
      <c r="G6" s="344">
        <v>1500</v>
      </c>
    </row>
    <row r="7" spans="1:7" ht="16.2" thickBot="1">
      <c r="A7" s="170"/>
      <c r="B7" s="223"/>
      <c r="C7" s="63"/>
      <c r="D7" s="171"/>
      <c r="E7" s="64"/>
      <c r="G7" s="345"/>
    </row>
    <row r="8" spans="1:7" ht="24" thickTop="1" thickBot="1">
      <c r="A8" s="23" t="s">
        <v>169</v>
      </c>
      <c r="B8" s="23"/>
      <c r="C8" s="65"/>
      <c r="D8" s="23"/>
      <c r="E8" s="66"/>
    </row>
    <row r="9" spans="1:7" ht="16.8" thickTop="1" thickBot="1">
      <c r="A9" s="57" t="s">
        <v>82</v>
      </c>
      <c r="B9" s="226" t="s">
        <v>8</v>
      </c>
      <c r="C9" s="58" t="s">
        <v>30</v>
      </c>
      <c r="D9" s="59" t="s">
        <v>83</v>
      </c>
      <c r="E9" s="60" t="s">
        <v>84</v>
      </c>
      <c r="G9" s="342" t="s">
        <v>197</v>
      </c>
    </row>
    <row r="10" spans="1:7">
      <c r="A10" s="315" t="s">
        <v>199</v>
      </c>
      <c r="B10" s="316">
        <v>1</v>
      </c>
      <c r="C10" s="317">
        <v>1</v>
      </c>
      <c r="D10" s="318"/>
      <c r="E10" s="319"/>
      <c r="F10" s="82"/>
      <c r="G10" s="343"/>
    </row>
    <row r="11" spans="1:7">
      <c r="A11" s="320" t="s">
        <v>158</v>
      </c>
      <c r="B11" s="316">
        <v>1</v>
      </c>
      <c r="C11" s="317">
        <v>5</v>
      </c>
      <c r="D11" s="318" t="s">
        <v>105</v>
      </c>
      <c r="E11" s="319"/>
      <c r="F11" s="82"/>
      <c r="G11" s="344"/>
    </row>
    <row r="12" spans="1:7">
      <c r="A12" s="320" t="s">
        <v>135</v>
      </c>
      <c r="B12" s="316">
        <v>1</v>
      </c>
      <c r="C12" s="317">
        <v>2.5</v>
      </c>
      <c r="D12" s="318" t="s">
        <v>157</v>
      </c>
      <c r="E12" s="321"/>
      <c r="F12" s="82"/>
      <c r="G12" s="344"/>
    </row>
    <row r="13" spans="1:7">
      <c r="A13" s="333" t="s">
        <v>202</v>
      </c>
      <c r="B13" s="334">
        <v>1</v>
      </c>
      <c r="C13" s="335">
        <v>2</v>
      </c>
      <c r="D13" s="318"/>
      <c r="E13" s="321"/>
      <c r="F13" s="82"/>
      <c r="G13" s="344">
        <v>800</v>
      </c>
    </row>
    <row r="14" spans="1:7">
      <c r="A14" s="320" t="s">
        <v>166</v>
      </c>
      <c r="B14" s="316">
        <v>1</v>
      </c>
      <c r="C14" s="322">
        <v>2</v>
      </c>
      <c r="D14" s="318" t="s">
        <v>106</v>
      </c>
      <c r="E14" s="321"/>
      <c r="F14" s="82"/>
      <c r="G14" s="344"/>
    </row>
    <row r="15" spans="1:7">
      <c r="A15" s="320" t="s">
        <v>154</v>
      </c>
      <c r="B15" s="316">
        <v>2</v>
      </c>
      <c r="C15" s="322">
        <f>B15/10</f>
        <v>0.2</v>
      </c>
      <c r="D15" s="318"/>
      <c r="E15" s="321"/>
      <c r="F15" s="82"/>
      <c r="G15" s="344"/>
    </row>
    <row r="16" spans="1:7">
      <c r="A16" s="323" t="s">
        <v>155</v>
      </c>
      <c r="B16" s="324">
        <v>1</v>
      </c>
      <c r="C16" s="348">
        <v>1</v>
      </c>
      <c r="D16" s="349" t="s">
        <v>156</v>
      </c>
      <c r="E16" s="327"/>
      <c r="F16" s="82"/>
      <c r="G16" s="351"/>
    </row>
    <row r="17" spans="1:7">
      <c r="A17" s="328" t="s">
        <v>200</v>
      </c>
      <c r="B17" s="329">
        <v>1</v>
      </c>
      <c r="C17" s="346">
        <f>B17*0.5</f>
        <v>0.5</v>
      </c>
      <c r="D17" s="347"/>
      <c r="E17" s="332"/>
      <c r="F17" s="82"/>
      <c r="G17" s="350">
        <v>0</v>
      </c>
    </row>
    <row r="18" spans="1:7">
      <c r="A18" s="320" t="s">
        <v>170</v>
      </c>
      <c r="B18" s="316">
        <v>1</v>
      </c>
      <c r="C18" s="322">
        <v>1</v>
      </c>
      <c r="D18" s="318"/>
      <c r="E18" s="321"/>
      <c r="F18" s="82"/>
      <c r="G18" s="344">
        <v>0</v>
      </c>
    </row>
    <row r="19" spans="1:7">
      <c r="A19" s="320" t="s">
        <v>168</v>
      </c>
      <c r="B19" s="316">
        <v>27</v>
      </c>
      <c r="C19" s="322">
        <f>B19/200</f>
        <v>0.13500000000000001</v>
      </c>
      <c r="D19" s="318"/>
      <c r="E19" s="321"/>
      <c r="F19" s="82"/>
      <c r="G19" s="352">
        <f>B19/100</f>
        <v>0.27</v>
      </c>
    </row>
    <row r="20" spans="1:7">
      <c r="A20" s="320" t="s">
        <v>167</v>
      </c>
      <c r="B20" s="316">
        <v>42</v>
      </c>
      <c r="C20" s="322">
        <f>B20/150</f>
        <v>0.28000000000000003</v>
      </c>
      <c r="D20" s="318"/>
      <c r="E20" s="321"/>
      <c r="F20" s="82"/>
      <c r="G20" s="352">
        <f>B20/20</f>
        <v>2.1</v>
      </c>
    </row>
    <row r="21" spans="1:7">
      <c r="A21" s="323" t="s">
        <v>161</v>
      </c>
      <c r="B21" s="324">
        <v>421</v>
      </c>
      <c r="C21" s="325">
        <f>B21/100</f>
        <v>4.21</v>
      </c>
      <c r="D21" s="326"/>
      <c r="E21" s="327"/>
      <c r="F21" s="82"/>
      <c r="G21" s="351">
        <f>B21</f>
        <v>421</v>
      </c>
    </row>
    <row r="22" spans="1:7">
      <c r="A22" s="328" t="s">
        <v>201</v>
      </c>
      <c r="B22" s="329">
        <v>1</v>
      </c>
      <c r="C22" s="330">
        <f>B22*0.5</f>
        <v>0.5</v>
      </c>
      <c r="D22" s="331"/>
      <c r="E22" s="332"/>
      <c r="F22" s="82"/>
      <c r="G22" s="350">
        <v>0</v>
      </c>
    </row>
    <row r="23" spans="1:7">
      <c r="A23" s="333" t="s">
        <v>137</v>
      </c>
      <c r="B23" s="334">
        <v>1</v>
      </c>
      <c r="C23" s="335">
        <v>2</v>
      </c>
      <c r="D23" s="336"/>
      <c r="E23" s="321"/>
      <c r="F23" s="82"/>
      <c r="G23" s="344">
        <v>0</v>
      </c>
    </row>
    <row r="24" spans="1:7">
      <c r="A24" s="333"/>
      <c r="B24" s="334"/>
      <c r="C24" s="335"/>
      <c r="D24" s="336"/>
      <c r="E24" s="321"/>
      <c r="F24" s="82"/>
      <c r="G24" s="344"/>
    </row>
    <row r="25" spans="1:7">
      <c r="A25" s="333"/>
      <c r="B25" s="334"/>
      <c r="C25" s="335"/>
      <c r="D25" s="336"/>
      <c r="E25" s="321"/>
      <c r="F25" s="82"/>
      <c r="G25" s="344"/>
    </row>
    <row r="26" spans="1:7" ht="16.2" thickBot="1">
      <c r="A26" s="337"/>
      <c r="B26" s="338"/>
      <c r="C26" s="339"/>
      <c r="D26" s="340"/>
      <c r="E26" s="341"/>
      <c r="F26" s="82"/>
      <c r="G26" s="345"/>
    </row>
    <row r="27" spans="1:7" ht="24" thickTop="1" thickBot="1">
      <c r="A27" s="20"/>
      <c r="B27" s="20"/>
      <c r="D27" s="67" t="s">
        <v>129</v>
      </c>
      <c r="E27" s="66"/>
    </row>
    <row r="28" spans="1:7" s="24" customFormat="1" ht="16.8" thickTop="1" thickBot="1">
      <c r="A28" s="57" t="s">
        <v>82</v>
      </c>
      <c r="B28" s="226" t="s">
        <v>8</v>
      </c>
      <c r="C28" s="58" t="s">
        <v>30</v>
      </c>
      <c r="D28" s="59" t="s">
        <v>83</v>
      </c>
      <c r="E28" s="60" t="s">
        <v>84</v>
      </c>
      <c r="G28" s="342" t="s">
        <v>197</v>
      </c>
    </row>
    <row r="29" spans="1:7">
      <c r="A29" s="128" t="s">
        <v>128</v>
      </c>
      <c r="B29" s="222">
        <v>1</v>
      </c>
      <c r="C29" s="79">
        <v>1</v>
      </c>
      <c r="D29" s="169" t="s">
        <v>127</v>
      </c>
      <c r="E29" s="62"/>
      <c r="G29" s="344">
        <v>100</v>
      </c>
    </row>
    <row r="30" spans="1:7">
      <c r="A30" s="128" t="s">
        <v>117</v>
      </c>
      <c r="B30" s="222">
        <v>1</v>
      </c>
      <c r="C30" s="79">
        <v>5</v>
      </c>
      <c r="D30" s="169"/>
      <c r="E30" s="62"/>
      <c r="G30" s="344">
        <v>0</v>
      </c>
    </row>
    <row r="31" spans="1:7">
      <c r="A31" s="165" t="s">
        <v>148</v>
      </c>
      <c r="B31" s="224">
        <v>80</v>
      </c>
      <c r="C31" s="61">
        <f>B31*0.25</f>
        <v>20</v>
      </c>
      <c r="D31" s="164"/>
      <c r="E31" s="62"/>
      <c r="G31" s="344">
        <v>0</v>
      </c>
    </row>
    <row r="32" spans="1:7">
      <c r="A32" s="128" t="s">
        <v>152</v>
      </c>
      <c r="B32" s="222">
        <v>7</v>
      </c>
      <c r="C32" s="61">
        <f>0.5*B32</f>
        <v>3.5</v>
      </c>
      <c r="D32" s="164"/>
      <c r="E32" s="62"/>
      <c r="G32" s="344">
        <v>0</v>
      </c>
    </row>
    <row r="33" spans="1:7">
      <c r="A33" s="128" t="s">
        <v>130</v>
      </c>
      <c r="B33" s="222">
        <v>1</v>
      </c>
      <c r="C33" s="79">
        <v>4</v>
      </c>
      <c r="D33" s="172"/>
      <c r="E33" s="62"/>
      <c r="G33" s="344">
        <v>15</v>
      </c>
    </row>
    <row r="34" spans="1:7">
      <c r="A34" s="128" t="s">
        <v>139</v>
      </c>
      <c r="B34" s="222">
        <v>1</v>
      </c>
      <c r="C34" s="79">
        <v>1</v>
      </c>
      <c r="D34" s="169"/>
      <c r="E34" s="62"/>
      <c r="G34" s="344">
        <v>0</v>
      </c>
    </row>
    <row r="35" spans="1:7">
      <c r="A35" s="128" t="s">
        <v>133</v>
      </c>
      <c r="B35" s="222">
        <v>2</v>
      </c>
      <c r="C35" s="79">
        <v>0</v>
      </c>
      <c r="D35" s="169"/>
      <c r="E35" s="62"/>
      <c r="G35" s="344">
        <v>0</v>
      </c>
    </row>
    <row r="36" spans="1:7">
      <c r="A36" s="128" t="s">
        <v>132</v>
      </c>
      <c r="B36" s="222">
        <v>2</v>
      </c>
      <c r="C36" s="79">
        <v>0</v>
      </c>
      <c r="D36" s="169"/>
      <c r="E36" s="62"/>
      <c r="G36" s="344">
        <v>0</v>
      </c>
    </row>
    <row r="37" spans="1:7">
      <c r="A37" s="128" t="s">
        <v>159</v>
      </c>
      <c r="B37" s="222">
        <v>1</v>
      </c>
      <c r="C37" s="79">
        <v>1</v>
      </c>
      <c r="D37" s="169"/>
      <c r="E37" s="62"/>
      <c r="G37" s="344">
        <v>1</v>
      </c>
    </row>
    <row r="38" spans="1:7">
      <c r="A38" s="128" t="s">
        <v>107</v>
      </c>
      <c r="B38" s="222">
        <v>25</v>
      </c>
      <c r="C38" s="79">
        <v>0</v>
      </c>
      <c r="D38" s="169"/>
      <c r="E38" s="62"/>
      <c r="G38" s="344">
        <v>0</v>
      </c>
    </row>
    <row r="39" spans="1:7">
      <c r="A39" s="128" t="s">
        <v>118</v>
      </c>
      <c r="B39" s="222">
        <v>50</v>
      </c>
      <c r="C39" s="79">
        <v>0</v>
      </c>
      <c r="D39" s="169"/>
      <c r="E39" s="62"/>
      <c r="G39" s="344">
        <v>0</v>
      </c>
    </row>
    <row r="40" spans="1:7">
      <c r="A40" s="128" t="s">
        <v>140</v>
      </c>
      <c r="B40" s="222">
        <v>1</v>
      </c>
      <c r="C40" s="79">
        <v>0.25</v>
      </c>
      <c r="D40" s="169"/>
      <c r="E40" s="62"/>
      <c r="G40" s="344">
        <v>0</v>
      </c>
    </row>
    <row r="41" spans="1:7">
      <c r="A41" s="128" t="s">
        <v>136</v>
      </c>
      <c r="B41" s="222">
        <v>3</v>
      </c>
      <c r="C41" s="79">
        <f>B41*0.5</f>
        <v>1.5</v>
      </c>
      <c r="D41" s="169"/>
      <c r="E41" s="62"/>
      <c r="G41" s="344">
        <v>0</v>
      </c>
    </row>
    <row r="42" spans="1:7">
      <c r="A42" s="128" t="s">
        <v>108</v>
      </c>
      <c r="B42" s="222">
        <v>1</v>
      </c>
      <c r="C42" s="79">
        <v>1</v>
      </c>
      <c r="D42" s="169"/>
      <c r="E42" s="62"/>
      <c r="G42" s="344">
        <v>0</v>
      </c>
    </row>
    <row r="43" spans="1:7">
      <c r="A43" s="128" t="s">
        <v>131</v>
      </c>
      <c r="B43" s="222">
        <v>2</v>
      </c>
      <c r="C43" s="79">
        <f>B43/10</f>
        <v>0.2</v>
      </c>
      <c r="D43" s="169"/>
      <c r="E43" s="62"/>
      <c r="G43" s="344">
        <v>0</v>
      </c>
    </row>
    <row r="44" spans="1:7">
      <c r="A44" s="128" t="s">
        <v>141</v>
      </c>
      <c r="B44" s="222">
        <v>7</v>
      </c>
      <c r="C44" s="61">
        <v>0</v>
      </c>
      <c r="D44" s="164"/>
      <c r="E44" s="62"/>
      <c r="G44" s="344">
        <v>0</v>
      </c>
    </row>
    <row r="45" spans="1:7" ht="16.2" thickBot="1">
      <c r="A45" s="166" t="s">
        <v>138</v>
      </c>
      <c r="B45" s="225">
        <v>1</v>
      </c>
      <c r="C45" s="63">
        <v>0.5</v>
      </c>
      <c r="D45" s="167"/>
      <c r="E45" s="64"/>
      <c r="G45" s="345">
        <v>0</v>
      </c>
    </row>
    <row r="46" spans="1:7" ht="16.2" thickTop="1"/>
    <row r="47" spans="1:7">
      <c r="E47" s="377" t="s">
        <v>215</v>
      </c>
      <c r="F47" s="355"/>
      <c r="G47" s="378">
        <f>SUM(G3:G45,Martial!M3:M24)</f>
        <v>20539.37</v>
      </c>
    </row>
    <row r="48" spans="1:7">
      <c r="E48" s="377" t="s">
        <v>216</v>
      </c>
      <c r="F48" s="355"/>
      <c r="G48" s="378">
        <v>19000</v>
      </c>
    </row>
    <row r="49" spans="5:7">
      <c r="E49" s="377" t="s">
        <v>217</v>
      </c>
      <c r="F49" s="355"/>
      <c r="G49" s="389">
        <f>G48-G47</f>
        <v>-1539.369999999999</v>
      </c>
    </row>
  </sheetData>
  <sortState ref="A3:E18">
    <sortCondition ref="A3:A18"/>
  </sortState>
  <phoneticPr fontId="0" type="noConversion"/>
  <conditionalFormatting sqref="G47:G49">
    <cfRule type="cellIs" dxfId="0"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2012-11-29T20:27:19Z</cp:lastPrinted>
  <dcterms:created xsi:type="dcterms:W3CDTF">2000-10-24T15:39:59Z</dcterms:created>
  <dcterms:modified xsi:type="dcterms:W3CDTF">2016-10-19T19:33:16Z</dcterms:modified>
</cp:coreProperties>
</file>