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8" yWindow="5400" windowWidth="11916" windowHeight="5316" tabRatio="638"/>
  </bookViews>
  <sheets>
    <sheet name="Yuan-ti" sheetId="25" r:id="rId1"/>
  </sheets>
  <definedNames>
    <definedName name="_xlnm._FilterDatabase" localSheetId="0" hidden="1">'Yuan-ti'!$A$1:$AA$1</definedName>
  </definedNames>
  <calcPr calcId="145621"/>
</workbook>
</file>

<file path=xl/calcChain.xml><?xml version="1.0" encoding="utf-8"?>
<calcChain xmlns="http://schemas.openxmlformats.org/spreadsheetml/2006/main">
  <c r="U2" i="25" l="1"/>
  <c r="S2" i="25"/>
  <c r="L2" i="25" l="1"/>
  <c r="K2" i="25"/>
  <c r="V2" i="25" l="1"/>
  <c r="U7" i="25" l="1"/>
  <c r="S7" i="25"/>
  <c r="U8" i="25"/>
  <c r="S8" i="25"/>
  <c r="Q4" i="25"/>
  <c r="P4" i="25"/>
  <c r="O4" i="25"/>
  <c r="R4" i="25"/>
  <c r="U4" i="25"/>
  <c r="T4" i="25"/>
  <c r="S4" i="25"/>
  <c r="Q5" i="25" l="1"/>
  <c r="P5" i="25"/>
  <c r="O5" i="25"/>
  <c r="V6" i="25"/>
  <c r="V5" i="25"/>
  <c r="V4" i="25"/>
  <c r="G2" i="25" l="1"/>
  <c r="U3" i="25"/>
  <c r="S3" i="25"/>
  <c r="N6" i="25"/>
  <c r="N2" i="25"/>
  <c r="Q2" i="25"/>
  <c r="P2" i="25"/>
  <c r="O2" i="25"/>
  <c r="N3" i="25"/>
  <c r="M3" i="25"/>
  <c r="R2" i="25"/>
  <c r="D2" i="25"/>
  <c r="N7" i="25"/>
  <c r="N8" i="25"/>
  <c r="N5" i="25"/>
  <c r="N4" i="25"/>
  <c r="M2" i="25" l="1"/>
  <c r="M4" i="25"/>
  <c r="M5" i="25"/>
  <c r="M6" i="25"/>
  <c r="M8" i="25"/>
  <c r="M7" i="25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sz val="12"/>
            <color indexed="81"/>
            <rFont val="Times New Roman"/>
            <family val="1"/>
          </rPr>
          <t>yuan-ti 3 / knight 3 / cleric 3</t>
        </r>
      </text>
    </comment>
    <comment ref="G2" authorId="0">
      <text>
        <r>
          <rPr>
            <sz val="12"/>
            <color indexed="81"/>
            <rFont val="Times New Roman"/>
            <family val="1"/>
          </rPr>
          <t xml:space="preserve">+4 </t>
        </r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I2" authorId="0">
      <text>
        <r>
          <rPr>
            <sz val="12"/>
            <color indexed="81"/>
            <rFont val="Times New Roman"/>
            <family val="1"/>
          </rPr>
          <t xml:space="preserve">+4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L2" authorId="0">
      <text>
        <r>
          <rPr>
            <sz val="12"/>
            <color indexed="81"/>
            <rFont val="Times New Roman"/>
            <family val="1"/>
          </rPr>
          <t xml:space="preserve">+4 </t>
        </r>
        <r>
          <rPr>
            <i/>
            <sz val="12"/>
            <color indexed="81"/>
            <rFont val="Times New Roman"/>
            <family val="1"/>
          </rPr>
          <t>eagle’s splendor</t>
        </r>
      </text>
    </comment>
    <comment ref="S2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U2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V2" authorId="0">
      <text>
        <r>
          <rPr>
            <i/>
            <sz val="12"/>
            <color indexed="81"/>
            <rFont val="Times New Roman"/>
            <family val="1"/>
          </rPr>
          <t xml:space="preserve">bear’s endurance
</t>
        </r>
        <r>
          <rPr>
            <sz val="12"/>
            <color indexed="81"/>
            <rFont val="Times New Roman"/>
            <family val="1"/>
          </rPr>
          <t>adds 9 x 2 = 18 hps.</t>
        </r>
      </text>
    </comment>
  </commentList>
</comments>
</file>

<file path=xl/sharedStrings.xml><?xml version="1.0" encoding="utf-8"?>
<sst xmlns="http://schemas.openxmlformats.org/spreadsheetml/2006/main" count="101" uniqueCount="86">
  <si>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</si>
  <si>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</si>
  <si>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</si>
  <si>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</si>
  <si>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</si>
  <si>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</si>
  <si>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</si>
  <si>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</si>
  <si>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</si>
  <si>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</si>
  <si>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</si>
  <si>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</si>
  <si>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</si>
  <si>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</si>
  <si>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</si>
  <si>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</si>
  <si>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</si>
  <si>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</si>
  <si>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</si>
  <si>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</si>
  <si>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</si>
  <si>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</si>
  <si>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</si>
  <si>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</si>
  <si>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F</t>
  </si>
  <si>
    <t>NE</t>
  </si>
  <si>
    <t>Notable Equipment</t>
  </si>
  <si>
    <t>TAC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</si>
  <si>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</si>
  <si>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</si>
  <si>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ECL</t>
  </si>
  <si>
    <t>N</t>
  </si>
  <si>
    <t>CE</t>
  </si>
  <si>
    <t>Pureblood Yuan-ti</t>
  </si>
  <si>
    <t>Halfblood Yuan-ti</t>
  </si>
  <si>
    <t>Wereserpent</t>
  </si>
  <si>
    <t>Lizardfolk</t>
  </si>
  <si>
    <t>MW Scimitar (+5 melee), MW longbow (+6 ranged)</t>
  </si>
  <si>
    <t>pre-rangers</t>
  </si>
  <si>
    <t>3 each</t>
  </si>
  <si>
    <t>5 each</t>
  </si>
  <si>
    <t>halfblood shock troops [3]</t>
  </si>
  <si>
    <t>pre-warriors</t>
  </si>
  <si>
    <t>1/day—animal trance (DC 13), cause fear (DC 12), charm person (DC 12), darkness, entangle (DC 12).  Caster level 4th.</t>
  </si>
  <si>
    <t>MW Scimitar or Bite (+10/5 melee), MW longbow (+9/4 ranged)</t>
  </si>
  <si>
    <r>
      <rPr>
        <i/>
        <sz val="12"/>
        <rFont val="Times New Roman"/>
        <family val="1"/>
      </rPr>
      <t xml:space="preserve">Alternate form, </t>
    </r>
    <r>
      <rPr>
        <sz val="12"/>
        <rFont val="Times New Roman"/>
        <family val="1"/>
      </rPr>
      <t xml:space="preserve">Darkvision 60’, </t>
    </r>
    <r>
      <rPr>
        <i/>
        <sz val="12"/>
        <rFont val="Times New Roman"/>
        <family val="1"/>
      </rPr>
      <t xml:space="preserve">detect poison, </t>
    </r>
    <r>
      <rPr>
        <sz val="12"/>
        <rFont val="Times New Roman"/>
        <family val="1"/>
      </rPr>
      <t>spell resistance 14, Alertness, Blind-Fight, Dodge, Improved Initiative</t>
    </r>
  </si>
  <si>
    <r>
      <rPr>
        <i/>
        <sz val="12"/>
        <rFont val="Times New Roman"/>
        <family val="1"/>
      </rPr>
      <t xml:space="preserve">Alternate form, chameleon power, </t>
    </r>
    <r>
      <rPr>
        <sz val="12"/>
        <rFont val="Times New Roman"/>
        <family val="1"/>
      </rPr>
      <t xml:space="preserve">Darkvision 60’, </t>
    </r>
    <r>
      <rPr>
        <i/>
        <sz val="12"/>
        <rFont val="Times New Roman"/>
        <family val="1"/>
      </rPr>
      <t xml:space="preserve">detect poison, </t>
    </r>
    <r>
      <rPr>
        <sz val="12"/>
        <rFont val="Times New Roman"/>
        <family val="1"/>
      </rPr>
      <t>scent, spell resistance 16</t>
    </r>
  </si>
  <si>
    <t>MW studded leather</t>
  </si>
  <si>
    <t>MW studded leather, MW heavy shield</t>
  </si>
  <si>
    <t>Masigniorine Adderhiss</t>
  </si>
  <si>
    <t>Viperswift Fangsheart</t>
  </si>
  <si>
    <t>Pythongrip Featherscale</t>
  </si>
  <si>
    <t>All cleric spells up to 2nd level</t>
  </si>
  <si>
    <t>Heavy Mace +2, Heavy Crossbow +1, MW Dagger</t>
  </si>
  <si>
    <t>Masigniorine’s mount</t>
  </si>
  <si>
    <t>mount</t>
  </si>
  <si>
    <t>Military Riding Saddle</t>
  </si>
  <si>
    <t>Knight (3) / Cleric of Sseth (3)</t>
  </si>
  <si>
    <t>Ranger (6)</t>
  </si>
  <si>
    <t>Composite Gnomebane Longbow</t>
  </si>
  <si>
    <t>Abilities/Feats</t>
  </si>
  <si>
    <t>Bite +14 melee 2d8+9; 2 claws +9 melee (2d6+4 plus poison)</t>
  </si>
  <si>
    <t>Chain Barding</t>
  </si>
  <si>
    <t>Improved grab, poison, low-light vision, scent, Alertness, Cleave, Improved Overrun, Power Attack</t>
  </si>
  <si>
    <t>Diviner (4)</t>
  </si>
  <si>
    <t>Scout (5)</t>
  </si>
  <si>
    <t>Ring of Protection +1</t>
  </si>
  <si>
    <t>Quarterstaff +1</t>
  </si>
  <si>
    <t>All 1st-level ranger spells</t>
  </si>
  <si>
    <t>Longstrider</t>
  </si>
  <si>
    <r>
      <rPr>
        <i/>
        <sz val="12"/>
        <rFont val="Times New Roman"/>
        <family val="1"/>
      </rPr>
      <t xml:space="preserve">Alternate form, </t>
    </r>
    <r>
      <rPr>
        <sz val="12"/>
        <rFont val="Times New Roman"/>
        <family val="1"/>
      </rPr>
      <t xml:space="preserve">Darkvision 60’, </t>
    </r>
    <r>
      <rPr>
        <i/>
        <sz val="12"/>
        <rFont val="Times New Roman"/>
        <family val="1"/>
      </rPr>
      <t xml:space="preserve">detect poison, </t>
    </r>
    <r>
      <rPr>
        <sz val="12"/>
        <rFont val="Times New Roman"/>
        <family val="1"/>
      </rPr>
      <t>spell resistance 14, Alertness, Blind-Fight, Dodge, Improved Initiative, Fighting Challenge +1, Mounted Combat, Bulwark of Defense, Domains:  Darkness &amp; Magic</t>
    </r>
  </si>
  <si>
    <t>Skirmish +1d6, +1 AC, Trackless Step, Battle Fortitude +1, Uncanny Dodge, Precise Shot, Rapid Shot, Trapfinding</t>
  </si>
  <si>
    <t>Seal of the Serpent King, preciosities</t>
  </si>
  <si>
    <t>Telescope</t>
  </si>
  <si>
    <t>Multiattack, Favored Enemy (gnome, human), Rapid Shot</t>
  </si>
  <si>
    <t>both</t>
  </si>
  <si>
    <r>
      <t xml:space="preserve">Professor Rattlehum Diamondback </t>
    </r>
    <r>
      <rPr>
        <b/>
        <i/>
        <sz val="12"/>
        <color rgb="FFFF0000"/>
        <rFont val="Times New Roman"/>
        <family val="1"/>
      </rPr>
      <t>(seeing invisibility)</t>
    </r>
  </si>
  <si>
    <t>pureblood acolytes [6]</t>
  </si>
  <si>
    <t>Giant Lizard</t>
  </si>
  <si>
    <t>Dismissable Half-plate +2</t>
  </si>
  <si>
    <t>undefined beyond daily spells</t>
  </si>
  <si>
    <r>
      <t xml:space="preserve">3/day—animal trance (DC 15), cause fear (DC 14), </t>
    </r>
    <r>
      <rPr>
        <sz val="12"/>
        <color rgb="FFFF0000"/>
        <rFont val="Times New Roman"/>
        <family val="1"/>
      </rPr>
      <t xml:space="preserve">3 of 15 </t>
    </r>
    <r>
      <rPr>
        <sz val="12"/>
        <rFont val="Times New Roman"/>
        <family val="1"/>
      </rPr>
      <t>entangle (DC 14); 1/day—deeper darkness, neutralize poison (DC 17), suggestion (DC 16).  Caster level 8th.</t>
    </r>
  </si>
  <si>
    <r>
      <rPr>
        <b/>
        <sz val="12"/>
        <rFont val="Times New Roman"/>
        <family val="1"/>
      </rPr>
      <t xml:space="preserve">Yuan-ti:  </t>
    </r>
    <r>
      <rPr>
        <sz val="12"/>
        <rFont val="Times New Roman"/>
        <family val="1"/>
      </rPr>
      <t xml:space="preserve">1/day—animal trance (DC 13), cause fear (DC 12), charm person (DC 12), darkness, entangle (DC 12).  Caster level 4th.
Cleric:  4/3/3:  </t>
    </r>
    <r>
      <rPr>
        <sz val="12"/>
        <color rgb="FFFF0000"/>
        <rFont val="Times New Roman"/>
        <family val="1"/>
      </rPr>
      <t>Detect Magic</t>
    </r>
    <r>
      <rPr>
        <sz val="12"/>
        <rFont val="Times New Roman"/>
        <family val="1"/>
      </rPr>
      <t xml:space="preserve">, Read Magic, </t>
    </r>
    <r>
      <rPr>
        <sz val="12"/>
        <color rgb="FFFF0000"/>
        <rFont val="Times New Roman"/>
        <family val="1"/>
      </rPr>
      <t>Guidance</t>
    </r>
    <r>
      <rPr>
        <sz val="12"/>
        <rFont val="Times New Roman"/>
        <family val="1"/>
      </rPr>
      <t xml:space="preserve">, Create Water; Bane, Doom, Sanctuary, </t>
    </r>
    <r>
      <rPr>
        <b/>
        <sz val="12"/>
        <rFont val="Times New Roman"/>
        <family val="1"/>
      </rPr>
      <t>Obscuring Mist</t>
    </r>
    <r>
      <rPr>
        <sz val="12"/>
        <rFont val="Times New Roman"/>
        <family val="1"/>
      </rPr>
      <t xml:space="preserve">; </t>
    </r>
    <r>
      <rPr>
        <sz val="12"/>
        <color rgb="FFFF0000"/>
        <rFont val="Times New Roman"/>
        <family val="1"/>
      </rPr>
      <t xml:space="preserve">Bull’s Strength, Bear’s Endurance, Eagle’s Splendor, </t>
    </r>
    <r>
      <rPr>
        <b/>
        <sz val="12"/>
        <color rgb="FFFF0000"/>
        <rFont val="Times New Roman"/>
        <family val="1"/>
      </rPr>
      <t>Blindness/Deafness</t>
    </r>
  </si>
  <si>
    <r>
      <rPr>
        <b/>
        <sz val="12"/>
        <rFont val="Times New Roman"/>
        <family val="1"/>
      </rPr>
      <t xml:space="preserve">Yuan-ti:  </t>
    </r>
    <r>
      <rPr>
        <sz val="12"/>
        <rFont val="Times New Roman"/>
        <family val="1"/>
      </rPr>
      <t xml:space="preserve">1/day—animal trance (DC 13), cause fear (DC 12), charm person (DC 12), darkness, entangle (DC 12).  Caster level 4th.
</t>
    </r>
    <r>
      <rPr>
        <b/>
        <sz val="12"/>
        <rFont val="Times New Roman"/>
        <family val="1"/>
      </rPr>
      <t xml:space="preserve">Diviner:  </t>
    </r>
    <r>
      <rPr>
        <sz val="12"/>
        <rFont val="Times New Roman"/>
        <family val="1"/>
      </rPr>
      <t xml:space="preserve">4/4/3 </t>
    </r>
    <r>
      <rPr>
        <sz val="12"/>
        <color rgb="FFFF0000"/>
        <rFont val="Times New Roman"/>
        <family val="1"/>
      </rPr>
      <t>Acid Splash</t>
    </r>
    <r>
      <rPr>
        <sz val="12"/>
        <rFont val="Times New Roman"/>
        <family val="1"/>
      </rPr>
      <t xml:space="preserve">, Prestidigitation, </t>
    </r>
    <r>
      <rPr>
        <sz val="12"/>
        <color rgb="FFFF0000"/>
        <rFont val="Times New Roman"/>
        <family val="1"/>
      </rPr>
      <t xml:space="preserve">Ray of Frost, </t>
    </r>
    <r>
      <rPr>
        <sz val="12"/>
        <rFont val="Times New Roman"/>
        <family val="1"/>
      </rPr>
      <t xml:space="preserve">Read Magic; </t>
    </r>
    <r>
      <rPr>
        <sz val="12"/>
        <color rgb="FFFF0000"/>
        <rFont val="Times New Roman"/>
        <family val="1"/>
      </rPr>
      <t>Lesser Orb of Electricity,</t>
    </r>
    <r>
      <rPr>
        <sz val="12"/>
        <rFont val="Times New Roman"/>
        <family val="1"/>
      </rPr>
      <t xml:space="preserve"> Reduce Person, </t>
    </r>
    <r>
      <rPr>
        <sz val="12"/>
        <color rgb="FFFF0000"/>
        <rFont val="Times New Roman"/>
        <family val="1"/>
      </rPr>
      <t xml:space="preserve">True Casting, </t>
    </r>
    <r>
      <rPr>
        <b/>
        <sz val="12"/>
        <color rgb="FFFF0000"/>
        <rFont val="Times New Roman"/>
        <family val="1"/>
      </rPr>
      <t>True Strike</t>
    </r>
    <r>
      <rPr>
        <sz val="12"/>
        <rFont val="Times New Roman"/>
        <family val="1"/>
      </rPr>
      <t xml:space="preserve">; </t>
    </r>
    <r>
      <rPr>
        <sz val="12"/>
        <color rgb="FFFF0000"/>
        <rFont val="Times New Roman"/>
        <family val="1"/>
      </rPr>
      <t xml:space="preserve">Darkbolt, </t>
    </r>
    <r>
      <rPr>
        <sz val="12"/>
        <rFont val="Times New Roman"/>
        <family val="1"/>
      </rPr>
      <t xml:space="preserve">Dimension Hop, </t>
    </r>
    <r>
      <rPr>
        <b/>
        <sz val="12"/>
        <color rgb="FFFF0000"/>
        <rFont val="Times New Roman"/>
        <family val="1"/>
      </rPr>
      <t>See Invisibility</t>
    </r>
  </si>
  <si>
    <t>Imp familiar</t>
  </si>
  <si>
    <t>Boots of Striding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</si>
</sst>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8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2"/>
    <cellStyle name="Normal 2 2" xfId="4"/>
    <cellStyle name="Percent 2" xfId="1"/>
  </cellStyles>
  <dxfs count="7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9966FF"/>
      <color rgb="FF00FF00"/>
      <color rgb="FFCCFFCC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"/>
  <sheetViews>
    <sheetView showGridLine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0.8984375" defaultRowHeight="16.2"/>
  <cols>
    <col min="1" max="1" width="23.69921875" style="3" bestFit="1" customWidth="1"/>
    <col min="2" max="2" width="10.8984375" style="1" bestFit="1" customWidth="1"/>
    <col min="3" max="3" width="12.69921875" style="1" bestFit="1" customWidth="1"/>
    <col min="4" max="4" width="4.8984375" style="1" bestFit="1" customWidth="1"/>
    <col min="5" max="5" width="4.296875" style="1" bestFit="1" customWidth="1"/>
    <col min="6" max="6" width="5.296875" style="1" bestFit="1" customWidth="1"/>
    <col min="7" max="7" width="3.69921875" style="1" bestFit="1" customWidth="1"/>
    <col min="8" max="8" width="4.59765625" style="1" bestFit="1" customWidth="1"/>
    <col min="9" max="9" width="4.796875" style="1" bestFit="1" customWidth="1"/>
    <col min="10" max="10" width="3.69921875" style="1" bestFit="1" customWidth="1"/>
    <col min="11" max="11" width="4.59765625" style="1" bestFit="1" customWidth="1"/>
    <col min="12" max="12" width="4.796875" style="1" bestFit="1" customWidth="1"/>
    <col min="13" max="13" width="4.3984375" style="1" bestFit="1" customWidth="1"/>
    <col min="14" max="14" width="9.09765625" style="1" bestFit="1" customWidth="1"/>
    <col min="15" max="15" width="5" style="1" bestFit="1" customWidth="1"/>
    <col min="16" max="16" width="4.09765625" style="1" bestFit="1" customWidth="1"/>
    <col min="17" max="18" width="4.296875" style="1" bestFit="1" customWidth="1"/>
    <col min="19" max="19" width="4" style="1" bestFit="1" customWidth="1"/>
    <col min="20" max="20" width="5.5" style="1" bestFit="1" customWidth="1"/>
    <col min="21" max="21" width="3.69921875" style="1" bestFit="1" customWidth="1"/>
    <col min="22" max="22" width="4" style="2" bestFit="1" customWidth="1"/>
    <col min="23" max="23" width="49.59765625" style="1" bestFit="1" customWidth="1"/>
    <col min="24" max="24" width="66.69921875" style="1" customWidth="1"/>
    <col min="25" max="25" width="12.09765625" style="1" bestFit="1" customWidth="1"/>
    <col min="26" max="26" width="30.09765625" style="1" bestFit="1" customWidth="1"/>
    <col min="27" max="27" width="13.5" style="1" bestFit="1" customWidth="1"/>
    <col min="28" max="28" width="17.19921875" style="1" bestFit="1" customWidth="1"/>
    <col min="29" max="16384" width="10.8984375" style="1"/>
  </cols>
  <sheetData>
    <row r="1" spans="1:28" ht="17.399999999999999" thickBot="1">
      <c r="A1" s="16" t="s">
        <v>17</v>
      </c>
      <c r="B1" s="17" t="s">
        <v>16</v>
      </c>
      <c r="C1" s="17" t="s">
        <v>15</v>
      </c>
      <c r="D1" s="17" t="s">
        <v>30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27</v>
      </c>
      <c r="U1" s="28" t="s">
        <v>28</v>
      </c>
      <c r="V1" s="20" t="s">
        <v>11</v>
      </c>
      <c r="W1" s="25" t="s">
        <v>60</v>
      </c>
      <c r="X1" s="24" t="s">
        <v>29</v>
      </c>
      <c r="Y1" s="26" t="s">
        <v>8</v>
      </c>
      <c r="Z1" s="33" t="s">
        <v>10</v>
      </c>
      <c r="AA1" s="24" t="s">
        <v>9</v>
      </c>
      <c r="AB1" s="29" t="s">
        <v>26</v>
      </c>
    </row>
    <row r="2" spans="1:28" ht="78">
      <c r="A2" s="39" t="s">
        <v>49</v>
      </c>
      <c r="B2" s="4" t="s">
        <v>33</v>
      </c>
      <c r="C2" s="4" t="s">
        <v>57</v>
      </c>
      <c r="D2" s="41">
        <f>3+3+3</f>
        <v>9</v>
      </c>
      <c r="E2" s="6" t="s">
        <v>24</v>
      </c>
      <c r="F2" s="6" t="s">
        <v>25</v>
      </c>
      <c r="G2" s="36">
        <f>16+4</f>
        <v>20</v>
      </c>
      <c r="H2" s="5">
        <v>10</v>
      </c>
      <c r="I2" s="37">
        <v>16</v>
      </c>
      <c r="J2" s="5">
        <v>13</v>
      </c>
      <c r="K2" s="5">
        <f>16</f>
        <v>16</v>
      </c>
      <c r="L2" s="47">
        <f>17+4</f>
        <v>21</v>
      </c>
      <c r="M2" s="44">
        <f t="shared" ref="M2:M8" si="0">AVERAGE(G2:L2)</f>
        <v>16</v>
      </c>
      <c r="N2" s="9" t="str">
        <f>IF(H2&gt;9.9,CONCATENATE("+",ROUNDDOWN((H2-10)/2,0),"+4 Imp. Init."),ROUNDUP((H2-10)/2,0))</f>
        <v>+0+4 Imp. Init.</v>
      </c>
      <c r="O2" s="11">
        <f>1+1+3</f>
        <v>5</v>
      </c>
      <c r="P2" s="5">
        <f>5+1+1</f>
        <v>7</v>
      </c>
      <c r="Q2" s="7">
        <f>4+3+3</f>
        <v>10</v>
      </c>
      <c r="R2" s="14">
        <f>4+2</f>
        <v>6</v>
      </c>
      <c r="S2" s="7">
        <f>17+12+2</f>
        <v>31</v>
      </c>
      <c r="T2" s="7">
        <v>11</v>
      </c>
      <c r="U2" s="7">
        <f>16+12+2</f>
        <v>30</v>
      </c>
      <c r="V2" s="46">
        <f>18+28+14+18</f>
        <v>78</v>
      </c>
      <c r="W2" s="27" t="s">
        <v>70</v>
      </c>
      <c r="X2" s="27" t="s">
        <v>82</v>
      </c>
      <c r="Y2" s="38" t="s">
        <v>52</v>
      </c>
      <c r="Z2" s="34" t="s">
        <v>53</v>
      </c>
      <c r="AA2" s="4" t="s">
        <v>79</v>
      </c>
      <c r="AB2" s="15" t="s">
        <v>72</v>
      </c>
    </row>
    <row r="3" spans="1:28" ht="31.2">
      <c r="A3" s="39" t="s">
        <v>54</v>
      </c>
      <c r="B3" s="4" t="s">
        <v>78</v>
      </c>
      <c r="C3" s="4" t="s">
        <v>55</v>
      </c>
      <c r="D3" s="43">
        <v>7</v>
      </c>
      <c r="E3" s="6" t="s">
        <v>7</v>
      </c>
      <c r="F3" s="6" t="s">
        <v>31</v>
      </c>
      <c r="G3" s="8">
        <v>28</v>
      </c>
      <c r="H3" s="5">
        <v>10</v>
      </c>
      <c r="I3" s="5">
        <v>23</v>
      </c>
      <c r="J3" s="5">
        <v>2</v>
      </c>
      <c r="K3" s="5">
        <v>10</v>
      </c>
      <c r="L3" s="7">
        <v>5</v>
      </c>
      <c r="M3" s="13">
        <f t="shared" si="0"/>
        <v>13</v>
      </c>
      <c r="N3" s="9" t="str">
        <f>IF(H3&gt;9.9,CONCATENATE("+",ROUNDDOWN((H3-10)/2,0)),ROUNDUP((H3-10)/2,0))</f>
        <v>+0</v>
      </c>
      <c r="O3" s="11">
        <v>13</v>
      </c>
      <c r="P3" s="5">
        <v>3</v>
      </c>
      <c r="Q3" s="7">
        <v>3</v>
      </c>
      <c r="R3" s="14">
        <v>7</v>
      </c>
      <c r="S3" s="7">
        <f>13+5</f>
        <v>18</v>
      </c>
      <c r="T3" s="7">
        <v>8</v>
      </c>
      <c r="U3" s="7">
        <f>13+5</f>
        <v>18</v>
      </c>
      <c r="V3" s="10">
        <v>105</v>
      </c>
      <c r="W3" s="27" t="s">
        <v>63</v>
      </c>
      <c r="X3" s="30"/>
      <c r="Y3" s="32"/>
      <c r="Z3" s="34" t="s">
        <v>61</v>
      </c>
      <c r="AA3" s="4" t="s">
        <v>62</v>
      </c>
      <c r="AB3" s="15" t="s">
        <v>56</v>
      </c>
    </row>
    <row r="4" spans="1:28" ht="31.2">
      <c r="A4" s="39" t="s">
        <v>50</v>
      </c>
      <c r="B4" s="4" t="s">
        <v>35</v>
      </c>
      <c r="C4" s="4" t="s">
        <v>65</v>
      </c>
      <c r="D4" s="42">
        <v>8</v>
      </c>
      <c r="E4" s="6" t="s">
        <v>7</v>
      </c>
      <c r="F4" s="6" t="s">
        <v>32</v>
      </c>
      <c r="G4" s="8">
        <v>10</v>
      </c>
      <c r="H4" s="5">
        <v>16</v>
      </c>
      <c r="I4" s="5">
        <v>12</v>
      </c>
      <c r="J4" s="5">
        <v>10</v>
      </c>
      <c r="K4" s="5">
        <v>14</v>
      </c>
      <c r="L4" s="7">
        <v>10</v>
      </c>
      <c r="M4" s="13">
        <f t="shared" si="0"/>
        <v>12</v>
      </c>
      <c r="N4" s="9" t="str">
        <f>IF(H4&gt;9.9,CONCATENATE("+",ROUNDDOWN((H4-10)/2,0)),ROUNDUP((H4-10)/2,0))</f>
        <v>+3</v>
      </c>
      <c r="O4" s="11">
        <f>6+1</f>
        <v>7</v>
      </c>
      <c r="P4" s="5">
        <f>4+4</f>
        <v>8</v>
      </c>
      <c r="Q4" s="7">
        <f>1+1</f>
        <v>2</v>
      </c>
      <c r="R4" s="35">
        <f>3+3</f>
        <v>6</v>
      </c>
      <c r="S4" s="7">
        <f>18</f>
        <v>18</v>
      </c>
      <c r="T4" s="7">
        <f>11</f>
        <v>11</v>
      </c>
      <c r="U4" s="7">
        <f>17</f>
        <v>17</v>
      </c>
      <c r="V4" s="10">
        <f>28+30</f>
        <v>58</v>
      </c>
      <c r="W4" s="27" t="s">
        <v>71</v>
      </c>
      <c r="X4" s="30"/>
      <c r="Y4" s="32"/>
      <c r="Z4" s="34" t="s">
        <v>59</v>
      </c>
      <c r="AA4" s="4" t="s">
        <v>47</v>
      </c>
      <c r="AB4" s="15" t="s">
        <v>73</v>
      </c>
    </row>
    <row r="5" spans="1:28" ht="46.8">
      <c r="A5" s="39" t="s">
        <v>51</v>
      </c>
      <c r="B5" s="4" t="s">
        <v>36</v>
      </c>
      <c r="C5" s="4" t="s">
        <v>58</v>
      </c>
      <c r="D5" s="40">
        <v>7</v>
      </c>
      <c r="E5" s="6" t="s">
        <v>24</v>
      </c>
      <c r="F5" s="6" t="s">
        <v>32</v>
      </c>
      <c r="G5" s="8">
        <v>13</v>
      </c>
      <c r="H5" s="5">
        <v>14</v>
      </c>
      <c r="I5" s="5">
        <v>12</v>
      </c>
      <c r="J5" s="5">
        <v>10</v>
      </c>
      <c r="K5" s="5">
        <v>13</v>
      </c>
      <c r="L5" s="7">
        <v>10</v>
      </c>
      <c r="M5" s="13">
        <f t="shared" si="0"/>
        <v>12</v>
      </c>
      <c r="N5" s="9" t="str">
        <f>IF(H5&gt;9.9,CONCATENATE("+",ROUNDDOWN((H5-10)/2,0)),ROUNDUP((H5-10)/2,0))</f>
        <v>+2</v>
      </c>
      <c r="O5" s="11">
        <f>1</f>
        <v>1</v>
      </c>
      <c r="P5" s="5">
        <f>3</f>
        <v>3</v>
      </c>
      <c r="Q5" s="7">
        <f>0</f>
        <v>0</v>
      </c>
      <c r="R5" s="14">
        <v>5</v>
      </c>
      <c r="S5" s="7">
        <v>17</v>
      </c>
      <c r="T5" s="7">
        <v>10</v>
      </c>
      <c r="U5" s="7">
        <v>15</v>
      </c>
      <c r="V5" s="10">
        <f>11+36</f>
        <v>47</v>
      </c>
      <c r="W5" s="27" t="s">
        <v>74</v>
      </c>
      <c r="X5" s="45" t="s">
        <v>69</v>
      </c>
      <c r="Y5" s="31" t="s">
        <v>68</v>
      </c>
      <c r="Z5" s="34" t="s">
        <v>37</v>
      </c>
      <c r="AA5" s="4" t="s">
        <v>48</v>
      </c>
      <c r="AB5" s="15" t="s">
        <v>85</v>
      </c>
    </row>
    <row r="6" spans="1:28" ht="78">
      <c r="A6" s="39" t="s">
        <v>76</v>
      </c>
      <c r="B6" s="4" t="s">
        <v>33</v>
      </c>
      <c r="C6" s="4" t="s">
        <v>64</v>
      </c>
      <c r="D6" s="40">
        <v>7</v>
      </c>
      <c r="E6" s="6" t="s">
        <v>7</v>
      </c>
      <c r="F6" s="6" t="s">
        <v>22</v>
      </c>
      <c r="G6" s="8">
        <v>9</v>
      </c>
      <c r="H6" s="5">
        <v>14</v>
      </c>
      <c r="I6" s="4">
        <v>10</v>
      </c>
      <c r="J6" s="5">
        <v>18</v>
      </c>
      <c r="K6" s="5">
        <v>12</v>
      </c>
      <c r="L6" s="7">
        <v>13</v>
      </c>
      <c r="M6" s="13">
        <f t="shared" si="0"/>
        <v>12.666666666666666</v>
      </c>
      <c r="N6" s="9" t="str">
        <f>IF(H6&gt;9.9,CONCATENATE("+",ROUNDDOWN((H6-10)/2,0),"+4 Imp. Init."),ROUNDUP((H6-10)/2,0))</f>
        <v>+2+4 Imp. Init.</v>
      </c>
      <c r="O6" s="11">
        <v>1</v>
      </c>
      <c r="P6" s="5">
        <v>5</v>
      </c>
      <c r="Q6" s="7">
        <v>4</v>
      </c>
      <c r="R6" s="14">
        <v>4</v>
      </c>
      <c r="S6" s="7">
        <v>14</v>
      </c>
      <c r="T6" s="7">
        <v>9</v>
      </c>
      <c r="U6" s="7">
        <v>14</v>
      </c>
      <c r="V6" s="10">
        <f>18+12</f>
        <v>30</v>
      </c>
      <c r="W6" s="27" t="s">
        <v>45</v>
      </c>
      <c r="X6" s="27" t="s">
        <v>83</v>
      </c>
      <c r="Y6" s="31" t="s">
        <v>80</v>
      </c>
      <c r="Z6" s="34" t="s">
        <v>67</v>
      </c>
      <c r="AA6" s="4" t="s">
        <v>66</v>
      </c>
      <c r="AB6" s="15" t="s">
        <v>84</v>
      </c>
    </row>
    <row r="7" spans="1:28" ht="46.8">
      <c r="A7" s="39" t="s">
        <v>41</v>
      </c>
      <c r="B7" s="4" t="s">
        <v>34</v>
      </c>
      <c r="C7" s="4" t="s">
        <v>42</v>
      </c>
      <c r="D7" s="40" t="s">
        <v>40</v>
      </c>
      <c r="E7" s="6" t="s">
        <v>75</v>
      </c>
      <c r="F7" s="6" t="s">
        <v>32</v>
      </c>
      <c r="G7" s="8">
        <v>15</v>
      </c>
      <c r="H7" s="5">
        <v>13</v>
      </c>
      <c r="I7" s="5">
        <v>13</v>
      </c>
      <c r="J7" s="5">
        <v>18</v>
      </c>
      <c r="K7" s="5">
        <v>18</v>
      </c>
      <c r="L7" s="7">
        <v>16</v>
      </c>
      <c r="M7" s="13">
        <f t="shared" si="0"/>
        <v>15.5</v>
      </c>
      <c r="N7" s="9" t="str">
        <f>IF(H7&gt;9.9,CONCATENATE("+",ROUNDDOWN((H7-10)/2,0),"+4 Imp. Init."),ROUNDUP((H7-10)/2,0))</f>
        <v>+1+4 Imp. Init.</v>
      </c>
      <c r="O7" s="11">
        <v>3</v>
      </c>
      <c r="P7" s="5">
        <v>6</v>
      </c>
      <c r="Q7" s="7">
        <v>9</v>
      </c>
      <c r="R7" s="14">
        <v>7</v>
      </c>
      <c r="S7" s="7">
        <f>20+1</f>
        <v>21</v>
      </c>
      <c r="T7" s="7">
        <v>11</v>
      </c>
      <c r="U7" s="7">
        <f>19+1</f>
        <v>20</v>
      </c>
      <c r="V7" s="10">
        <v>38</v>
      </c>
      <c r="W7" s="27" t="s">
        <v>46</v>
      </c>
      <c r="X7" s="27" t="s">
        <v>81</v>
      </c>
      <c r="Y7" s="32"/>
      <c r="Z7" s="34" t="s">
        <v>44</v>
      </c>
      <c r="AA7" s="4" t="s">
        <v>48</v>
      </c>
      <c r="AB7" s="15" t="s">
        <v>66</v>
      </c>
    </row>
    <row r="8" spans="1:28" ht="46.8">
      <c r="A8" s="39" t="s">
        <v>77</v>
      </c>
      <c r="B8" s="4" t="s">
        <v>33</v>
      </c>
      <c r="C8" s="4" t="s">
        <v>38</v>
      </c>
      <c r="D8" s="40" t="s">
        <v>39</v>
      </c>
      <c r="E8" s="6" t="s">
        <v>75</v>
      </c>
      <c r="F8" s="6" t="s">
        <v>32</v>
      </c>
      <c r="G8" s="8">
        <v>11</v>
      </c>
      <c r="H8" s="5">
        <v>13</v>
      </c>
      <c r="I8" s="4">
        <v>11</v>
      </c>
      <c r="J8" s="5">
        <v>12</v>
      </c>
      <c r="K8" s="5">
        <v>10</v>
      </c>
      <c r="L8" s="7">
        <v>12</v>
      </c>
      <c r="M8" s="13">
        <f t="shared" si="0"/>
        <v>11.5</v>
      </c>
      <c r="N8" s="9" t="str">
        <f>IF(H8&gt;9.9,CONCATENATE("+",ROUNDDOWN((H8-10)/2,0),"+4 Imp. Init."),ROUNDUP((H8-10)/2,0))</f>
        <v>+1+4 Imp. Init.</v>
      </c>
      <c r="O8" s="11">
        <v>1</v>
      </c>
      <c r="P8" s="5">
        <v>5</v>
      </c>
      <c r="Q8" s="7">
        <v>4</v>
      </c>
      <c r="R8" s="14">
        <v>4</v>
      </c>
      <c r="S8" s="7">
        <f>17+1</f>
        <v>18</v>
      </c>
      <c r="T8" s="7">
        <v>11</v>
      </c>
      <c r="U8" s="7">
        <f>16+1</f>
        <v>17</v>
      </c>
      <c r="V8" s="10">
        <v>18</v>
      </c>
      <c r="W8" s="27" t="s">
        <v>45</v>
      </c>
      <c r="X8" s="27" t="s">
        <v>43</v>
      </c>
      <c r="Y8" s="32"/>
      <c r="Z8" s="34" t="s">
        <v>37</v>
      </c>
      <c r="AA8" s="4" t="s">
        <v>48</v>
      </c>
      <c r="AB8" s="15" t="s">
        <v>66</v>
      </c>
    </row>
  </sheetData>
  <sortState ref="A2:AB8">
    <sortCondition descending="1" ref="D2:D8"/>
    <sortCondition ref="B2:B8"/>
  </sortState>
  <conditionalFormatting sqref="X1:Y1">
    <cfRule type="containsBlanks" dxfId="6" priority="13">
      <formula>LEN(TRIM(X1))=0</formula>
    </cfRule>
  </conditionalFormatting>
  <conditionalFormatting sqref="A2:A6">
    <cfRule type="cellIs" dxfId="5" priority="11" operator="equal">
      <formula>"No"</formula>
    </cfRule>
    <cfRule type="cellIs" dxfId="4" priority="12" operator="equal">
      <formula>"Yes"</formula>
    </cfRule>
  </conditionalFormatting>
  <conditionalFormatting sqref="A7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A8">
    <cfRule type="cellIs" dxfId="1" priority="1" operator="equal">
      <formula>"No"</formula>
    </cfRule>
    <cfRule type="cellIs" dxfId="0" priority="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Yuan-ti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2012-12-19T17:47:49Z</cp:lastPrinted>
  <dcterms:created xsi:type="dcterms:W3CDTF">2000-10-24T15:39:59Z</dcterms:created>
  <dcterms:modified xsi:type="dcterms:W3CDTF">2018-01-19T21:27:27Z</dcterms:modified>
</cp:coreProperties>
</file>