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2" windowWidth="11916" windowHeight="10728" tabRatio="471"/>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Spells!$A$1:$I$20</definedName>
  </definedNames>
  <calcPr calcId="145621"/>
</workbook>
</file>

<file path=xl/calcChain.xml><?xml version="1.0" encoding="utf-8"?>
<calcChain xmlns="http://schemas.openxmlformats.org/spreadsheetml/2006/main">
  <c r="D8" i="6" l="1"/>
  <c r="H8" i="6" s="1"/>
  <c r="E13" i="4" l="1"/>
  <c r="E11" i="4"/>
  <c r="B6" i="4" l="1"/>
  <c r="E5" i="17" l="1"/>
  <c r="F5" i="17"/>
  <c r="G5" i="17"/>
  <c r="E6" i="17"/>
  <c r="F6" i="17"/>
  <c r="G6" i="17"/>
  <c r="B5" i="15" l="1"/>
  <c r="B4" i="15"/>
  <c r="B3" i="15"/>
  <c r="E42" i="15" l="1"/>
  <c r="E52" i="15"/>
  <c r="E51" i="15"/>
  <c r="C21" i="19" l="1"/>
  <c r="B13" i="4" l="1"/>
  <c r="B7" i="4" l="1"/>
  <c r="G6" i="19" l="1"/>
  <c r="G23" i="19"/>
  <c r="H11" i="15" l="1"/>
  <c r="D8" i="17"/>
  <c r="B9" i="4" l="1"/>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0" i="15"/>
  <c r="H9" i="15"/>
  <c r="H8" i="15"/>
  <c r="G25" i="19" l="1"/>
  <c r="B42" i="15" l="1"/>
  <c r="I7" i="6" l="1"/>
  <c r="H40" i="15" l="1"/>
  <c r="H39" i="15"/>
  <c r="H3" i="15" l="1"/>
  <c r="H5" i="15"/>
  <c r="H4" i="15"/>
  <c r="I8" i="6" l="1"/>
  <c r="J8" i="6" s="1"/>
  <c r="I4" i="6"/>
  <c r="I3" i="6"/>
  <c r="C13" i="4" l="1"/>
  <c r="C12" i="4"/>
  <c r="D5" i="15" s="1"/>
  <c r="C11" i="4"/>
  <c r="C10" i="4"/>
  <c r="E10" i="4" s="1"/>
  <c r="C9" i="4"/>
  <c r="C8" i="4"/>
  <c r="B6" i="17" l="1"/>
  <c r="C6" i="17"/>
  <c r="K6" i="17"/>
  <c r="H6" i="17"/>
  <c r="D6" i="17"/>
  <c r="I6" i="17"/>
  <c r="J6" i="17"/>
  <c r="E50" i="15"/>
  <c r="E47" i="15"/>
  <c r="E43" i="15"/>
  <c r="E46" i="15"/>
  <c r="E49" i="15"/>
  <c r="E45" i="15"/>
  <c r="E48" i="15"/>
  <c r="E44" i="15"/>
  <c r="D3" i="15"/>
  <c r="E3" i="15" s="1"/>
  <c r="E12" i="4"/>
  <c r="H7" i="6"/>
  <c r="J7" i="6" s="1"/>
  <c r="E5" i="15"/>
  <c r="G5" i="15"/>
  <c r="I5" i="15" s="1"/>
  <c r="D4" i="15"/>
  <c r="G3" i="15" l="1"/>
  <c r="I3" i="15" s="1"/>
  <c r="E4" i="15"/>
  <c r="G4" i="15"/>
  <c r="I4" i="15" s="1"/>
  <c r="H41" i="15" l="1"/>
  <c r="H7" i="15"/>
  <c r="H6" i="15"/>
  <c r="K5" i="17" l="1"/>
  <c r="J5" i="17"/>
  <c r="D5" i="17"/>
  <c r="I5" i="17"/>
  <c r="H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G28" i="15"/>
  <c r="I28" i="15" s="1"/>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Sorceress +3
Incantatrix +1
Bless +1</t>
        </r>
      </text>
    </comment>
    <comment ref="C7" authorId="0">
      <text>
        <r>
          <rPr>
            <sz val="12"/>
            <color indexed="81"/>
            <rFont val="Times New Roman"/>
            <family val="1"/>
          </rPr>
          <t>Improved Initiative +4</t>
        </r>
      </text>
    </comment>
    <comment ref="E8" authorId="0">
      <text>
        <r>
          <rPr>
            <sz val="12"/>
            <color indexed="81"/>
            <rFont val="Times New Roman"/>
            <family val="1"/>
          </rPr>
          <t>See PHB 162</t>
        </r>
      </text>
    </comment>
    <comment ref="B9" authorId="0">
      <text>
        <r>
          <rPr>
            <sz val="12"/>
            <color indexed="81"/>
            <rFont val="Times New Roman"/>
            <family val="1"/>
          </rPr>
          <t>Gloves of Dexterity +2</t>
        </r>
      </text>
    </comment>
    <comment ref="E10" authorId="0">
      <text>
        <r>
          <rPr>
            <sz val="12"/>
            <color indexed="81"/>
            <rFont val="Times New Roman"/>
            <family val="1"/>
          </rPr>
          <t>[(6 * 4 Sorcerer) * 75%]
+ [(4 * 4 Incantatrix) * 75%]
+ (10 * 0 Con)</t>
        </r>
      </text>
    </comment>
    <comment ref="B13" authorId="0">
      <text>
        <r>
          <rPr>
            <sz val="12"/>
            <color indexed="81"/>
            <rFont val="Times New Roman"/>
            <family val="1"/>
          </rPr>
          <t>Cloak of Charisma +2
Ioun Stones +2</t>
        </r>
      </text>
    </comment>
  </commentList>
</comments>
</file>

<file path=xl/comments2.xml><?xml version="1.0" encoding="utf-8"?>
<comments xmlns="http://schemas.openxmlformats.org/spreadsheetml/2006/main">
  <authors>
    <author>Alexis Álvarez</author>
  </authors>
  <commentList>
    <comment ref="F5" authorId="0">
      <text>
        <r>
          <rPr>
            <sz val="12"/>
            <color indexed="81"/>
            <rFont val="Times New Roman"/>
            <family val="1"/>
          </rPr>
          <t>Iron Will +2</t>
        </r>
      </text>
    </comment>
    <comment ref="F15" authorId="0">
      <text>
        <r>
          <rPr>
            <sz val="12"/>
            <color indexed="81"/>
            <rFont val="Times New Roman"/>
            <family val="1"/>
          </rPr>
          <t>Silverbrow +2</t>
        </r>
      </text>
    </comment>
    <comment ref="F26" authorId="0">
      <text>
        <r>
          <rPr>
            <sz val="12"/>
            <color indexed="81"/>
            <rFont val="Times New Roman"/>
            <family val="1"/>
          </rPr>
          <t>Alertness +2</t>
        </r>
      </text>
    </comment>
    <comment ref="F36" authorId="0">
      <text>
        <r>
          <rPr>
            <sz val="12"/>
            <color indexed="81"/>
            <rFont val="Times New Roman"/>
            <family val="1"/>
          </rPr>
          <t>Alertness +2</t>
        </r>
      </text>
    </comment>
  </commentList>
</comments>
</file>

<file path=xl/comments3.xml><?xml version="1.0" encoding="utf-8"?>
<comments xmlns="http://schemas.openxmlformats.org/spreadsheetml/2006/main">
  <authors>
    <author>Alexis Álvarez</author>
  </authors>
  <commentList>
    <comment ref="D5" authorId="0">
      <text>
        <r>
          <rPr>
            <sz val="12"/>
            <color indexed="81"/>
            <rFont val="Times New Roman"/>
            <family val="1"/>
          </rPr>
          <t>Crossbow Bolt Imbued</t>
        </r>
      </text>
    </comment>
    <comment ref="D9" authorId="0">
      <text>
        <r>
          <rPr>
            <sz val="12"/>
            <color indexed="81"/>
            <rFont val="Times New Roman"/>
            <family val="1"/>
          </rPr>
          <t>Prism, lens, or monocle</t>
        </r>
      </text>
    </comment>
    <comment ref="D12" authorId="0">
      <text>
        <r>
          <rPr>
            <sz val="12"/>
            <color indexed="81"/>
            <rFont val="Times New Roman"/>
            <family val="1"/>
          </rPr>
          <t>Dagger</t>
        </r>
      </text>
    </comment>
    <comment ref="D13" authorId="0">
      <text>
        <r>
          <rPr>
            <sz val="12"/>
            <color indexed="81"/>
            <rFont val="Times New Roman"/>
            <family val="1"/>
          </rPr>
          <t>5 GP worth of jade</t>
        </r>
      </text>
    </comment>
    <comment ref="D17" authorId="0">
      <text>
        <r>
          <rPr>
            <sz val="12"/>
            <color indexed="81"/>
            <rFont val="Times New Roman"/>
            <family val="1"/>
          </rPr>
          <t>oil &amp; flint</t>
        </r>
      </text>
    </comment>
    <comment ref="D19" authorId="0">
      <text>
        <r>
          <rPr>
            <sz val="12"/>
            <color indexed="81"/>
            <rFont val="Times New Roman"/>
            <family val="1"/>
          </rPr>
          <t>drop of water or piece of ice</t>
        </r>
      </text>
    </comment>
    <comment ref="D20" authorId="0">
      <text>
        <r>
          <rPr>
            <sz val="12"/>
            <color indexed="81"/>
            <rFont val="Times New Roman"/>
            <family val="1"/>
          </rPr>
          <t>spider web</t>
        </r>
      </text>
    </comment>
    <comment ref="D21" authorId="0">
      <text>
        <r>
          <rPr>
            <sz val="12"/>
            <color indexed="81"/>
            <rFont val="Times New Roman"/>
            <family val="1"/>
          </rPr>
          <t>dragon scale</t>
        </r>
      </text>
    </comment>
    <comment ref="D22" authorId="0">
      <text>
        <r>
          <rPr>
            <sz val="12"/>
            <color indexed="81"/>
            <rFont val="Times New Roman"/>
            <family val="1"/>
          </rPr>
          <t>Bat guano &amp; sulfur</t>
        </r>
      </text>
    </comment>
    <comment ref="D23" authorId="0">
      <text>
        <r>
          <rPr>
            <sz val="12"/>
            <color indexed="81"/>
            <rFont val="Times New Roman"/>
            <family val="1"/>
          </rPr>
          <t>50-gp gem or crystal</t>
        </r>
      </text>
    </comment>
    <comment ref="D25" authorId="0">
      <text>
        <r>
          <rPr>
            <sz val="12"/>
            <color indexed="81"/>
            <rFont val="Times New Roman"/>
            <family val="1"/>
          </rPr>
          <t>wick soaked in soil</t>
        </r>
      </text>
    </comment>
  </commentList>
</comments>
</file>

<file path=xl/comments4.xml><?xml version="1.0" encoding="utf-8"?>
<comments xmlns="http://schemas.openxmlformats.org/spreadsheetml/2006/main">
  <authors>
    <author>Alexis Álvarez</author>
  </authors>
  <commentList>
    <comment ref="M2" authorId="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text>
        <r>
          <rPr>
            <b/>
            <i/>
            <sz val="12"/>
            <color indexed="81"/>
            <rFont val="Times New Roman"/>
            <family val="1"/>
          </rPr>
          <t>ONLY WHEN FAMILIAR IS WITHIN ARM’S REACH</t>
        </r>
        <r>
          <rPr>
            <sz val="12"/>
            <color indexed="81"/>
            <rFont val="Times New Roman"/>
            <family val="1"/>
          </rPr>
          <t xml:space="preserve">
You have finely tuned senses.
</t>
        </r>
        <r>
          <rPr>
            <b/>
            <sz val="12"/>
            <color indexed="81"/>
            <rFont val="Times New Roman"/>
            <family val="1"/>
          </rPr>
          <t xml:space="preserve">Benefit:  </t>
        </r>
        <r>
          <rPr>
            <sz val="12"/>
            <color indexed="81"/>
            <rFont val="Times New Roman"/>
            <family val="1"/>
          </rPr>
          <t xml:space="preserve">You get a +2 bonus on all Listen checks and Spot checks.
</t>
        </r>
        <r>
          <rPr>
            <b/>
            <sz val="12"/>
            <color indexed="81"/>
            <rFont val="Times New Roman"/>
            <family val="1"/>
          </rPr>
          <t xml:space="preserve">Special:  </t>
        </r>
        <r>
          <rPr>
            <sz val="12"/>
            <color indexed="81"/>
            <rFont val="Times New Roman"/>
            <family val="1"/>
          </rPr>
          <t>The master of a familiar (see the Familiars sidebar, page 52) gains the benefit of the Alertness feat whenever the familiar is within arm’s reach.
PHB 89</t>
        </r>
      </text>
    </comment>
    <comment ref="M3"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3" authorId="0">
      <text>
        <r>
          <rPr>
            <sz val="12"/>
            <color indexed="81"/>
            <rFont val="Times New Roman"/>
            <family val="1"/>
          </rPr>
          <t>If the master is 3rd level or higher, a familiar can deliver touch spells for him. If the master and the familiar are in contact at the time the master casts a touch spell, he can designate his familiar as the “toucher.” The familiar can then deliver the touch spell just as the master could. As usual, if the master casts another spell before the touch is delivered, the touch spell dissipates.
PHB 53</t>
        </r>
      </text>
    </comment>
    <comment ref="O4" authorId="0">
      <text>
        <r>
          <rPr>
            <sz val="12"/>
            <color indexed="81"/>
            <rFont val="Times New Roman"/>
            <family val="1"/>
          </rPr>
          <t>When subjected to an attack that normally allows a Reflex saving throw for half damage, a familiar takes no damage if it makes a successful saving throw and half damage even if the saving throw fails.
PHB 53</t>
        </r>
      </text>
    </comment>
    <comment ref="M5" authorId="0">
      <text>
        <r>
          <rPr>
            <sz val="12"/>
            <rFont val="Times New Roman"/>
            <family val="1"/>
          </rPr>
          <t xml:space="preserve">You can cast spells to maximum effect.
</t>
        </r>
        <r>
          <rPr>
            <b/>
            <sz val="12"/>
            <color indexed="81"/>
            <rFont val="Times New Roman"/>
            <family val="1"/>
          </rPr>
          <t xml:space="preserve">Benefit:  </t>
        </r>
        <r>
          <rPr>
            <sz val="12"/>
            <rFont val="Times New Roman"/>
            <family val="1"/>
          </rPr>
          <t xml:space="preserve">All variable, numeric effects of a spell modified by this feat are maximized.  A maximized spell deals maximum damage, cures the maximum number of hit points, affects the maximum number of targets, etc., as appropriate.  For example, a maximized fireball deals 6 points of damage per caster level (up to a maximum of 60 points of damage at 10th caster level).  Saving throws and opposed rolls (such as the one you make when you cast </t>
        </r>
        <r>
          <rPr>
            <i/>
            <sz val="12"/>
            <color indexed="81"/>
            <rFont val="Times New Roman"/>
            <family val="1"/>
          </rPr>
          <t>dispel magic</t>
        </r>
        <r>
          <rPr>
            <sz val="12"/>
            <rFont val="Times New Roman"/>
            <family val="1"/>
          </rPr>
          <t>) are not affected, nor are spells without random variables.  A maximized spell uses up a spell slot three levels higher than the spell’s actual level.
An empowered, maximized spell gains the separate benefits of each feat: the maximum result plus one-half the normally rolled result.  An empowered, maximized fireball cast by a 15th-level wizard deals points of damage equal to 60 plus one half of 10d6.
PHB 97</t>
        </r>
      </text>
    </comment>
    <comment ref="O5" authorId="0">
      <text>
        <r>
          <rPr>
            <sz val="12"/>
            <color indexed="81"/>
            <rFont val="Times New Roman"/>
            <family val="1"/>
          </rPr>
          <t>If the master is 7th level or higher, a familiar can communicate with animals of approximately the same kind as itself (including dire varieties): bats with bats, rats with rodents, cats with felines, hawks and owls and ravens with birds, lizards and snakes with reptiles, toads with amphibians, weasels with similar creatures (weasels, minks, polecats, ermines, skunks, wolverines, and badgers).  Such communication is limited by the intelligence of the conversing creatures.
PHB 53</t>
        </r>
      </text>
    </comment>
    <comment ref="M6" authorId="0">
      <text>
        <r>
          <rPr>
            <sz val="12"/>
            <rFont val="Times New Roman"/>
            <family val="1"/>
          </rPr>
          <t xml:space="preserve">You can cast spells farther than normal.
</t>
        </r>
        <r>
          <rPr>
            <b/>
            <sz val="12"/>
            <color indexed="81"/>
            <rFont val="Times New Roman"/>
            <family val="1"/>
          </rPr>
          <t xml:space="preserve">Benefit:  </t>
        </r>
        <r>
          <rPr>
            <sz val="12"/>
            <rFont val="Times New Roman"/>
            <family val="1"/>
          </rPr>
          <t>You can alter a spell with a range of close, medium, or long to increase its range by 100%.  An enlarged spell with a range of close now has a range of 50 ft. + 5 ft./level, while medium-range spells have a range of 200 ft. + 20 ft./level and long-range spells have a range of 800 ft. + 80 ft./level.  An enlarged spell uses up a spell slot one level higher than the spell’s actual level.
Spells whose ranges are not defined by distance, as well as spells whose ranges are not close, medium, or long, do not have increased ranges.
PHB 94</t>
        </r>
      </text>
    </comment>
    <comment ref="O6" authorId="0">
      <text>
        <r>
          <rPr>
            <sz val="12"/>
            <color indexed="81"/>
            <rFont val="Times New Roman"/>
            <family val="1"/>
          </rPr>
          <t>If the master is 5th level or higher, a familiar and the master can communicate verbally as if they were using a common language.  Other creatures do not understand the communication without magical help.
PHB 53</t>
        </r>
      </text>
    </comment>
    <comment ref="O9" authorId="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O11" authorId="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14" authorId="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List>
</comments>
</file>

<file path=xl/comments5.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<sst xmlns="http://schemas.openxmlformats.org/spreadsheetml/2006/main" count="499" uniqueCount="270">
  <si>
    <t>Race:</t>
  </si>
  <si>
    <t>Sex:</t>
  </si>
  <si>
    <t>Strength:</t>
  </si>
  <si>
    <t>Dexterity:</t>
  </si>
  <si>
    <t>Properties</t>
  </si>
  <si>
    <t>Melee Weapon</t>
  </si>
  <si>
    <t>Dmg</t>
  </si>
  <si>
    <t>Qty.</t>
  </si>
  <si>
    <t>Ranged Weapon</t>
  </si>
  <si>
    <t>Rng.</t>
  </si>
  <si>
    <t>Charisma:</t>
  </si>
  <si>
    <t>Constitution:</t>
  </si>
  <si>
    <t>Intelligence:</t>
  </si>
  <si>
    <t>Hit Points:</t>
  </si>
  <si>
    <t>Wisdom:</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</si>
  <si>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</si>
  <si>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</si>
  <si>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</si>
  <si>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</si>
  <si>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</si>
  <si>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</si>
  <si>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</si>
  <si>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</si>
  <si>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</si>
  <si>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</si>
  <si>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</si>
  <si>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</si>
  <si>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</si>
  <si>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</si>
  <si>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</si>
  <si>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</si>
  <si>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</si>
  <si>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</si>
  <si>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</si>
  <si>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</si>
  <si>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</si>
  <si>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</si>
  <si>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</si>
  <si>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</si>
  <si>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</si>
  <si>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</si>
  <si>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</si>
  <si>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</si>
  <si>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</si>
  <si>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</si>
  <si>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</si>
  <si>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</si>
  <si>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</si>
  <si>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</si>
  <si>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</si>
  <si>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</si>
  <si>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</si>
  <si>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</si>
  <si>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</si>
  <si>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</si>
  <si>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</si>
  <si>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</si>
  <si>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</si>
  <si>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</si>
  <si>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</si>
  <si>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</si>
  <si>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</si>
  <si>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</si>
  <si>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</si>
  <si>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</si>
  <si>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</si>
  <si>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</si>
  <si>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</si>
  <si>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</si>
  <si>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</si>
  <si>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</si>
  <si>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</si>
  <si>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</si>
  <si>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Lb. Capacity:</t>
  </si>
  <si>
    <t>Lb. Carried:</t>
  </si>
  <si>
    <t>Spell</t>
  </si>
  <si>
    <t>Languages</t>
  </si>
  <si>
    <t>Equipment Worn</t>
  </si>
  <si>
    <t>Item</t>
  </si>
  <si>
    <t>Mass</t>
  </si>
  <si>
    <t>Effects/</t>
  </si>
  <si>
    <t>Notes</t>
  </si>
  <si>
    <t>Equipment Carried</t>
  </si>
  <si>
    <t>Check</t>
  </si>
  <si>
    <t>Arcane</t>
  </si>
  <si>
    <t>Speed</t>
  </si>
  <si>
    <t>Knowledge:  Arcana</t>
  </si>
  <si>
    <t>Waterskin</t>
  </si>
  <si>
    <t>Sleight of Hand</t>
  </si>
  <si>
    <t>Survival</t>
  </si>
  <si>
    <t>Touch AC:</t>
  </si>
  <si>
    <t>2</t>
  </si>
  <si>
    <t>Proficiencies</t>
  </si>
  <si>
    <t>Attack Bonus: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</si>
  <si>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</si>
  <si>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</si>
  <si>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</si>
  <si>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</si>
  <si>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</si>
  <si>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</si>
  <si>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</si>
  <si>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</si>
  <si>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</si>
  <si>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</si>
  <si>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</si>
  <si>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</si>
  <si>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</si>
  <si>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</si>
  <si>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</si>
  <si>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</si>
  <si>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</si>
  <si>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</si>
  <si>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</si>
  <si>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</si>
  <si>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</si>
  <si>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</si>
  <si>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</si>
  <si>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</si>
  <si>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</si>
  <si>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Initiative:</t>
  </si>
  <si>
    <t>Ranged Touch Attack</t>
  </si>
  <si>
    <t>varies</t>
  </si>
  <si>
    <t>Familiar Bonuses</t>
  </si>
  <si>
    <t>Alertness</t>
  </si>
  <si>
    <t>Improved Evasion</t>
  </si>
  <si>
    <t>Deliver Touch Spells</t>
  </si>
  <si>
    <t>Speak with Master</t>
  </si>
  <si>
    <t>Speak with Animals of Its Kind</t>
  </si>
  <si>
    <t>Roll</t>
  </si>
  <si>
    <t>Skill/Save</t>
  </si>
  <si>
    <t>Skills &amp; Saves</t>
  </si>
  <si>
    <t>n.a.</t>
  </si>
  <si>
    <t>30’</t>
  </si>
  <si>
    <t>Results</t>
  </si>
  <si>
    <t>Detect Magic</t>
  </si>
  <si>
    <t>FF AC:</t>
  </si>
  <si>
    <t>1 min/lvl</t>
  </si>
  <si>
    <t>Spells Known:</t>
  </si>
  <si>
    <t>At Next Level:</t>
  </si>
  <si>
    <t>Class Features</t>
  </si>
  <si>
    <t>+ Mod</t>
  </si>
  <si>
    <t>AC +</t>
  </si>
  <si>
    <t>Reference</t>
  </si>
  <si>
    <t>Page</t>
  </si>
  <si>
    <t>PHB</t>
  </si>
  <si>
    <t>Actual Speed:</t>
  </si>
  <si>
    <t>Base Speed:</t>
  </si>
  <si>
    <t>Sorcerer 1</t>
  </si>
  <si>
    <t>Sorcerer 2</t>
  </si>
  <si>
    <t>Sorcerer 3</t>
  </si>
  <si>
    <t>Sorcerer 4</t>
  </si>
  <si>
    <t>Sorcerer 5</t>
  </si>
  <si>
    <t>Sorcerer 6</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</si>
  <si>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</si>
  <si>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</si>
  <si>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</si>
  <si>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</si>
  <si>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</si>
  <si>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</si>
  <si>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</si>
  <si>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</si>
  <si>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</si>
  <si>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</si>
  <si>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</si>
  <si>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</si>
  <si>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</si>
  <si>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</si>
  <si>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</si>
  <si>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</si>
  <si>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</si>
  <si>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</si>
  <si>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Detect Poison</t>
  </si>
  <si>
    <t>Value</t>
  </si>
  <si>
    <t>Cloak of Charisma +2</t>
  </si>
  <si>
    <t>Total Equity:</t>
  </si>
  <si>
    <t>Wealth Cap:</t>
  </si>
  <si>
    <t>Balance:</t>
  </si>
  <si>
    <t>Incantatrix</t>
  </si>
  <si>
    <t>Craft:  Alchemy</t>
  </si>
  <si>
    <t>Profession:  Alchemist</t>
  </si>
  <si>
    <t>Launch Bolt</t>
  </si>
  <si>
    <t>Launch Item</t>
  </si>
  <si>
    <t>Mage Hand</t>
  </si>
  <si>
    <t>Ray of Frost</t>
  </si>
  <si>
    <t>Read Magic</t>
  </si>
  <si>
    <t>Sonic Snap</t>
  </si>
  <si>
    <t>Backbiter</t>
  </si>
  <si>
    <t>Hail of Stone</t>
  </si>
  <si>
    <t>Lesser Orb of Acid</t>
  </si>
  <si>
    <t>Lesser Orb of Sound</t>
  </si>
  <si>
    <t>True Strike</t>
  </si>
  <si>
    <t>Combust</t>
  </si>
  <si>
    <t>Ice Knife</t>
  </si>
  <si>
    <t>Web</t>
  </si>
  <si>
    <t>Rainbow Blast</t>
  </si>
  <si>
    <t>Orb of Acid</t>
  </si>
  <si>
    <t>Ring of Warmth</t>
  </si>
  <si>
    <t>Gloves of Dexterity +2</t>
  </si>
  <si>
    <t>Ioun Stones</t>
  </si>
  <si>
    <t>+2 to Cha</t>
  </si>
  <si>
    <t>Divination</t>
  </si>
  <si>
    <t>25’ + 2½’/lvl</t>
  </si>
  <si>
    <t>Instant</t>
  </si>
  <si>
    <t>Transmutation</t>
  </si>
  <si>
    <t>V S M</t>
  </si>
  <si>
    <t>Touch</t>
  </si>
  <si>
    <t>Spell Compendium</t>
  </si>
  <si>
    <t>S</t>
  </si>
  <si>
    <t>Conjuration</t>
  </si>
  <si>
    <t>V S F</t>
  </si>
  <si>
    <t>Personal</t>
  </si>
  <si>
    <t>10 min/lvl</t>
  </si>
  <si>
    <t>Evocation</t>
  </si>
  <si>
    <t>Necromancy</t>
  </si>
  <si>
    <t>1 rnd/lvl</t>
  </si>
  <si>
    <t>Complete Arcane</t>
  </si>
  <si>
    <t>1 FR</t>
  </si>
  <si>
    <t>100’ + 10’/lvl</t>
  </si>
  <si>
    <t>V F</t>
  </si>
  <si>
    <t>special</t>
  </si>
  <si>
    <t>400’ + 40’/lvl</t>
  </si>
  <si>
    <t>Tome &amp; Blood</t>
  </si>
  <si>
    <t>Female</t>
  </si>
  <si>
    <t>Subtype:</t>
  </si>
  <si>
    <t>Racial Abilities</t>
  </si>
  <si>
    <t>Effective Caster Level:</t>
  </si>
  <si>
    <t>Cooperative Metamagic</t>
  </si>
  <si>
    <t>Incantatrix 1</t>
  </si>
  <si>
    <t>Incantatrix 2</t>
  </si>
  <si>
    <t>Spells Known</t>
  </si>
  <si>
    <t>Focused Studies</t>
  </si>
  <si>
    <t>Scrolls and Potions</t>
  </si>
  <si>
    <t>CLev</t>
  </si>
  <si>
    <t>50 charges</t>
  </si>
  <si>
    <t>Wand of Summon Monster I</t>
  </si>
  <si>
    <t>Incx Feat 1:  Easy: Empower Spell</t>
  </si>
  <si>
    <t>Traits</t>
  </si>
  <si>
    <t>Aggressive</t>
  </si>
  <si>
    <t>1st:  Empower Spell</t>
  </si>
  <si>
    <t>6th:  Maximize Spell</t>
  </si>
  <si>
    <t>3rd:  Improved Initiative</t>
  </si>
  <si>
    <t>Human:  Iron Will</t>
  </si>
  <si>
    <t>Rations</t>
  </si>
  <si>
    <t>NPC</t>
  </si>
  <si>
    <t>120’</t>
  </si>
  <si>
    <t>Dragonskin</t>
  </si>
  <si>
    <t>S M</t>
  </si>
  <si>
    <t>Neutral Evil</t>
  </si>
  <si>
    <t>Incantatrix 3</t>
  </si>
  <si>
    <t>Incantatrix 4</t>
  </si>
  <si>
    <t>+2 versus Enchantments</t>
  </si>
  <si>
    <t>Immunity to Sleep</t>
  </si>
  <si>
    <t>Low-light Vision</t>
  </si>
  <si>
    <t>Send Away</t>
  </si>
  <si>
    <t>See &amp; Strike Ethereal</t>
  </si>
  <si>
    <t>9/5/4/3/2/1</t>
  </si>
  <si>
    <t>9/5/5/4/3/2</t>
  </si>
  <si>
    <t>Fireball</t>
  </si>
  <si>
    <t>Acid Splash</t>
  </si>
  <si>
    <t>Darkbolt</t>
  </si>
  <si>
    <t>Book of Vile Darkness</t>
  </si>
  <si>
    <t>Blast of Flame</t>
  </si>
  <si>
    <t>Cloudkill</t>
  </si>
  <si>
    <t>Sun</t>
  </si>
  <si>
    <t>Elf</t>
  </si>
  <si>
    <t>Immedia</t>
  </si>
  <si>
    <t>Elven, Draconic</t>
  </si>
  <si>
    <t>9th:  Enlarge Spell</t>
  </si>
  <si>
    <t>-</t>
  </si>
  <si>
    <t>Overcome Spell Resistance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</si>
</sst>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6"/>
      <color indexed="17"/>
      <name val="Times New Roman"/>
      <family val="1"/>
    </font>
    <font>
      <i/>
      <sz val="12"/>
      <color indexed="81"/>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00FF0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FFFF00"/>
        <bgColor indexed="64"/>
      </patternFill>
    </fill>
  </fills>
  <borders count="12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7">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41" fillId="0" borderId="0" applyFont="0" applyFill="0" applyBorder="0" applyAlignment="0" applyProtection="0"/>
    <xf numFmtId="0" fontId="1" fillId="0" borderId="0"/>
    <xf numFmtId="0" fontId="50" fillId="0" borderId="0"/>
    <xf numFmtId="0" fontId="1" fillId="0" borderId="0"/>
  </cellStyleXfs>
  <cellXfs count="450">
    <xf numFmtId="0" fontId="0" fillId="0" borderId="0" xfId="0"/>
    <xf numFmtId="0" fontId="6" fillId="0" borderId="25" xfId="0" applyFont="1" applyBorder="1" applyAlignment="1">
      <alignment horizontal="center" vertical="center" wrapText="1"/>
    </xf>
    <xf numFmtId="0" fontId="6" fillId="0" borderId="25" xfId="0" applyFont="1" applyFill="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69" xfId="0" applyFont="1" applyFill="1" applyBorder="1" applyAlignment="1">
      <alignment horizontal="center" vertical="center" wrapText="1"/>
    </xf>
    <xf numFmtId="49" fontId="1" fillId="0" borderId="57" xfId="0" applyNumberFormat="1" applyFont="1" applyBorder="1" applyAlignment="1">
      <alignment horizontal="center" vertical="center"/>
    </xf>
    <xf numFmtId="0" fontId="11" fillId="4" borderId="86"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11" fillId="4" borderId="37" xfId="0" applyNumberFormat="1" applyFont="1" applyFill="1" applyBorder="1" applyAlignment="1">
      <alignment horizontal="center" vertical="center" wrapText="1"/>
    </xf>
    <xf numFmtId="0" fontId="54" fillId="12" borderId="36" xfId="0" applyNumberFormat="1" applyFont="1" applyFill="1" applyBorder="1" applyAlignment="1">
      <alignment horizontal="center" vertical="center" wrapText="1"/>
    </xf>
    <xf numFmtId="0" fontId="11" fillId="4" borderId="87" xfId="0" applyFont="1" applyFill="1" applyBorder="1" applyAlignment="1">
      <alignment horizontal="center" vertical="center"/>
    </xf>
    <xf numFmtId="0" fontId="3" fillId="0" borderId="0" xfId="0" applyFont="1" applyBorder="1" applyAlignment="1">
      <alignment vertical="center"/>
    </xf>
    <xf numFmtId="1" fontId="56"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49" fontId="1" fillId="0" borderId="84" xfId="2" applyNumberFormat="1" applyFont="1" applyFill="1" applyBorder="1" applyAlignment="1">
      <alignment horizontal="center" vertical="center"/>
    </xf>
    <xf numFmtId="0" fontId="1" fillId="0" borderId="84" xfId="0" applyFont="1" applyFill="1" applyBorder="1" applyAlignment="1">
      <alignment horizontal="center" vertical="center" shrinkToFit="1"/>
    </xf>
    <xf numFmtId="164" fontId="4" fillId="0" borderId="84" xfId="0" applyNumberFormat="1" applyFont="1" applyFill="1" applyBorder="1" applyAlignment="1">
      <alignment horizontal="center" vertical="center"/>
    </xf>
    <xf numFmtId="164" fontId="4" fillId="0" borderId="88" xfId="0" applyNumberFormat="1" applyFont="1" applyBorder="1" applyAlignment="1">
      <alignment horizontal="center" vertical="center"/>
    </xf>
    <xf numFmtId="0" fontId="1" fillId="0" borderId="91" xfId="0" quotePrefix="1" applyFont="1" applyFill="1" applyBorder="1" applyAlignment="1">
      <alignment horizontal="center" vertical="center"/>
    </xf>
    <xf numFmtId="0" fontId="61" fillId="0" borderId="33" xfId="0" applyFont="1" applyBorder="1" applyAlignment="1">
      <alignment horizontal="centerContinuous" vertical="center" wrapText="1"/>
    </xf>
    <xf numFmtId="0" fontId="6" fillId="0" borderId="25" xfId="0" applyFont="1" applyFill="1" applyBorder="1" applyAlignment="1">
      <alignment horizontal="center" vertical="center" wrapText="1"/>
    </xf>
    <xf numFmtId="9" fontId="6" fillId="0" borderId="14"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9" fontId="6" fillId="0" borderId="25" xfId="2"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11" fillId="9" borderId="101" xfId="0" applyFont="1" applyFill="1" applyBorder="1" applyAlignment="1">
      <alignment horizontal="center" vertical="center" wrapText="1"/>
    </xf>
    <xf numFmtId="0" fontId="11" fillId="9" borderId="102" xfId="0" applyNumberFormat="1" applyFont="1" applyFill="1" applyBorder="1" applyAlignment="1">
      <alignment horizontal="centerContinuous" vertical="center" wrapText="1"/>
    </xf>
    <xf numFmtId="0" fontId="6" fillId="0" borderId="27" xfId="0" applyNumberFormat="1" applyFont="1" applyFill="1" applyBorder="1" applyAlignment="1">
      <alignment horizontal="center" vertical="center" wrapText="1"/>
    </xf>
    <xf numFmtId="0" fontId="6" fillId="0" borderId="69" xfId="2" applyNumberFormat="1" applyFont="1" applyBorder="1" applyAlignment="1">
      <alignment horizontal="center" vertical="center" shrinkToFit="1"/>
    </xf>
    <xf numFmtId="0" fontId="6" fillId="0" borderId="69" xfId="2" applyNumberFormat="1" applyFont="1" applyFill="1" applyBorder="1" applyAlignment="1">
      <alignment horizontal="center" vertical="center" shrinkToFit="1"/>
    </xf>
    <xf numFmtId="0" fontId="6" fillId="0" borderId="56" xfId="0" applyNumberFormat="1" applyFont="1" applyBorder="1" applyAlignment="1">
      <alignment horizontal="center" vertical="center" wrapText="1"/>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0" fontId="4" fillId="0" borderId="0" xfId="0" applyFont="1" applyBorder="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Border="1" applyAlignment="1">
      <alignment horizontal="center" vertical="center"/>
    </xf>
    <xf numFmtId="0" fontId="1" fillId="0" borderId="43"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164" fontId="4" fillId="0" borderId="44" xfId="0" applyNumberFormat="1" applyFont="1" applyFill="1" applyBorder="1" applyAlignment="1">
      <alignment horizontal="center" vertical="center" shrinkToFit="1"/>
    </xf>
    <xf numFmtId="0" fontId="1" fillId="0" borderId="45" xfId="0" applyFont="1" applyFill="1" applyBorder="1" applyAlignment="1">
      <alignment horizontal="left" vertical="center"/>
    </xf>
    <xf numFmtId="0" fontId="4" fillId="0" borderId="46" xfId="0" applyFont="1" applyFill="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164" fontId="1" fillId="0" borderId="53" xfId="0" applyNumberFormat="1" applyFont="1" applyFill="1" applyBorder="1" applyAlignment="1">
      <alignment horizontal="center" vertical="center" shrinkToFit="1"/>
    </xf>
    <xf numFmtId="0" fontId="1" fillId="0" borderId="41" xfId="0" applyFont="1" applyFill="1" applyBorder="1" applyAlignment="1">
      <alignment horizontal="left" vertical="center"/>
    </xf>
    <xf numFmtId="0" fontId="4" fillId="0" borderId="42" xfId="0" applyFont="1" applyFill="1" applyBorder="1" applyAlignment="1">
      <alignment horizontal="left" vertical="center" shrinkToFit="1"/>
    </xf>
    <xf numFmtId="0" fontId="4" fillId="0" borderId="39" xfId="0" applyFont="1" applyFill="1" applyBorder="1" applyAlignment="1">
      <alignment horizontal="center" vertical="center" shrinkToFit="1"/>
    </xf>
    <xf numFmtId="164" fontId="4" fillId="0" borderId="53" xfId="0" applyNumberFormat="1" applyFont="1" applyFill="1" applyBorder="1" applyAlignment="1">
      <alignment horizontal="center" vertical="center" shrinkToFit="1"/>
    </xf>
    <xf numFmtId="0" fontId="4" fillId="0" borderId="41" xfId="0" applyFont="1" applyFill="1" applyBorder="1" applyAlignment="1">
      <alignment horizontal="left" vertical="center"/>
    </xf>
    <xf numFmtId="0" fontId="1" fillId="0" borderId="47"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164" fontId="4" fillId="0" borderId="48" xfId="0" applyNumberFormat="1" applyFont="1" applyFill="1" applyBorder="1" applyAlignment="1">
      <alignment horizontal="center" vertical="center" shrinkToFit="1"/>
    </xf>
    <xf numFmtId="0" fontId="1" fillId="0" borderId="49" xfId="0" applyFont="1" applyFill="1" applyBorder="1" applyAlignment="1">
      <alignment horizontal="left" vertical="center"/>
    </xf>
    <xf numFmtId="0" fontId="4" fillId="0" borderId="50" xfId="0" applyFont="1" applyFill="1" applyBorder="1" applyAlignment="1">
      <alignment horizontal="left" vertical="center" shrinkToFit="1"/>
    </xf>
    <xf numFmtId="0" fontId="3" fillId="0" borderId="0" xfId="0" applyFont="1" applyBorder="1" applyAlignment="1">
      <alignment horizontal="right" vertical="center"/>
    </xf>
    <xf numFmtId="164" fontId="4" fillId="0" borderId="0" xfId="0" applyNumberFormat="1" applyFont="1" applyBorder="1" applyAlignment="1">
      <alignment horizontal="center" vertical="center"/>
    </xf>
    <xf numFmtId="0" fontId="1" fillId="0" borderId="0" xfId="0" applyFont="1" applyBorder="1" applyAlignment="1">
      <alignment vertical="center"/>
    </xf>
    <xf numFmtId="0" fontId="20" fillId="14" borderId="16" xfId="0" applyFont="1" applyFill="1" applyBorder="1" applyAlignment="1">
      <alignment horizontal="center" vertical="center"/>
    </xf>
    <xf numFmtId="0" fontId="20" fillId="14" borderId="21" xfId="0" applyFont="1" applyFill="1" applyBorder="1" applyAlignment="1">
      <alignment horizontal="right" vertical="center"/>
    </xf>
    <xf numFmtId="0" fontId="20" fillId="14" borderId="20" xfId="0" quotePrefix="1" applyFont="1" applyFill="1" applyBorder="1" applyAlignment="1">
      <alignment vertical="center"/>
    </xf>
    <xf numFmtId="0" fontId="20" fillId="14" borderId="17" xfId="0" applyFont="1" applyFill="1" applyBorder="1" applyAlignment="1">
      <alignment horizontal="center" vertical="center"/>
    </xf>
    <xf numFmtId="49" fontId="20" fillId="14" borderId="17" xfId="0" applyNumberFormat="1" applyFont="1" applyFill="1" applyBorder="1" applyAlignment="1">
      <alignment horizontal="center" vertical="center"/>
    </xf>
    <xf numFmtId="0" fontId="20" fillId="14" borderId="21" xfId="0" applyFont="1" applyFill="1" applyBorder="1" applyAlignment="1">
      <alignment horizontal="center" vertical="center"/>
    </xf>
    <xf numFmtId="0" fontId="46" fillId="12" borderId="21" xfId="0" applyFont="1" applyFill="1" applyBorder="1" applyAlignment="1">
      <alignment horizontal="center" vertical="center"/>
    </xf>
    <xf numFmtId="0" fontId="20" fillId="14" borderId="18" xfId="0" applyFont="1" applyFill="1" applyBorder="1" applyAlignment="1">
      <alignment horizontal="center" vertical="center"/>
    </xf>
    <xf numFmtId="0" fontId="1" fillId="0" borderId="92" xfId="0" applyFont="1" applyFill="1" applyBorder="1" applyAlignment="1">
      <alignment horizontal="center" vertical="center"/>
    </xf>
    <xf numFmtId="0" fontId="4" fillId="0" borderId="93" xfId="0" applyFont="1" applyFill="1" applyBorder="1" applyAlignment="1">
      <alignment horizontal="center" vertical="center"/>
    </xf>
    <xf numFmtId="164" fontId="4" fillId="0" borderId="93" xfId="0" applyNumberFormat="1" applyFont="1" applyFill="1" applyBorder="1" applyAlignment="1">
      <alignment horizontal="center" vertical="center"/>
    </xf>
    <xf numFmtId="164" fontId="4" fillId="0" borderId="89" xfId="0" applyNumberFormat="1" applyFont="1" applyFill="1" applyBorder="1" applyAlignment="1">
      <alignment horizontal="center" vertical="center"/>
    </xf>
    <xf numFmtId="1" fontId="56" fillId="12" borderId="89" xfId="0" applyNumberFormat="1" applyFont="1" applyFill="1" applyBorder="1" applyAlignment="1">
      <alignment horizontal="center" vertical="center"/>
    </xf>
    <xf numFmtId="1" fontId="1" fillId="0" borderId="89" xfId="0" applyNumberFormat="1" applyFont="1" applyFill="1" applyBorder="1" applyAlignment="1">
      <alignment horizontal="center" vertical="center"/>
    </xf>
    <xf numFmtId="0" fontId="1" fillId="0" borderId="94" xfId="0" quotePrefix="1" applyFont="1" applyFill="1" applyBorder="1" applyAlignment="1">
      <alignment horizontal="center" vertical="center"/>
    </xf>
    <xf numFmtId="0" fontId="20" fillId="14" borderId="20" xfId="0" quotePrefix="1" applyFont="1" applyFill="1" applyBorder="1" applyAlignment="1">
      <alignment horizontal="left" vertical="center"/>
    </xf>
    <xf numFmtId="0" fontId="42" fillId="15" borderId="91" xfId="0" applyFont="1" applyFill="1" applyBorder="1" applyAlignment="1">
      <alignment horizontal="center" vertical="center"/>
    </xf>
    <xf numFmtId="0" fontId="4" fillId="0" borderId="0" xfId="0" applyFont="1" applyBorder="1" applyAlignment="1">
      <alignment horizontal="centerContinuous" vertical="center"/>
    </xf>
    <xf numFmtId="0" fontId="20" fillId="14" borderId="21" xfId="0" applyFont="1" applyFill="1" applyBorder="1" applyAlignment="1">
      <alignment horizontal="centerContinuous" vertical="center"/>
    </xf>
    <xf numFmtId="0" fontId="20" fillId="14" borderId="65" xfId="0" applyFont="1" applyFill="1" applyBorder="1" applyAlignment="1">
      <alignment horizontal="centerContinuous" vertical="center"/>
    </xf>
    <xf numFmtId="0" fontId="20" fillId="14" borderId="66" xfId="0" applyFont="1" applyFill="1" applyBorder="1" applyAlignment="1">
      <alignment horizontal="centerContinuous" vertical="center"/>
    </xf>
    <xf numFmtId="0" fontId="17" fillId="0" borderId="0" xfId="0" applyFont="1" applyBorder="1" applyAlignment="1">
      <alignment horizontal="right" vertical="center"/>
    </xf>
    <xf numFmtId="0" fontId="20" fillId="14" borderId="19" xfId="0" applyFont="1" applyFill="1" applyBorder="1" applyAlignment="1">
      <alignment horizontal="centerContinuous" vertical="center"/>
    </xf>
    <xf numFmtId="0" fontId="20" fillId="14" borderId="20" xfId="0" applyFont="1" applyFill="1" applyBorder="1" applyAlignment="1">
      <alignment horizontal="centerContinuous" vertical="center"/>
    </xf>
    <xf numFmtId="0" fontId="20" fillId="14" borderId="85" xfId="0" applyFont="1" applyFill="1" applyBorder="1" applyAlignment="1">
      <alignment horizontal="center" vertical="center"/>
    </xf>
    <xf numFmtId="0" fontId="1" fillId="0" borderId="1"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83" xfId="0" applyFont="1" applyFill="1" applyBorder="1" applyAlignment="1">
      <alignment horizontal="centerContinuous" vertical="center"/>
    </xf>
    <xf numFmtId="0" fontId="1" fillId="0" borderId="83" xfId="0" applyFont="1" applyFill="1" applyBorder="1" applyAlignment="1">
      <alignment horizontal="center" vertical="center"/>
    </xf>
    <xf numFmtId="0" fontId="1" fillId="0" borderId="2" xfId="0" applyFont="1" applyFill="1" applyBorder="1" applyAlignment="1">
      <alignment horizontal="centerContinuous" vertical="center"/>
    </xf>
    <xf numFmtId="0" fontId="4" fillId="0" borderId="58" xfId="0" applyFont="1" applyFill="1" applyBorder="1" applyAlignment="1">
      <alignment horizontal="centerContinuous" vertical="center"/>
    </xf>
    <xf numFmtId="0" fontId="4" fillId="0" borderId="59" xfId="0" applyFont="1" applyFill="1" applyBorder="1" applyAlignment="1">
      <alignment horizontal="centerContinuous" vertical="center"/>
    </xf>
    <xf numFmtId="0" fontId="4" fillId="0" borderId="23" xfId="0" applyFont="1" applyFill="1" applyBorder="1" applyAlignment="1">
      <alignment horizontal="centerContinuous" vertical="center"/>
    </xf>
    <xf numFmtId="164" fontId="4" fillId="0" borderId="10"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164" fontId="4" fillId="0" borderId="67" xfId="0" applyNumberFormat="1" applyFont="1" applyFill="1" applyBorder="1" applyAlignment="1">
      <alignment horizontal="centerContinuous" vertical="center"/>
    </xf>
    <xf numFmtId="0" fontId="4" fillId="0" borderId="68" xfId="0" applyFont="1" applyFill="1" applyBorder="1" applyAlignment="1">
      <alignment horizontal="centerContinuous" vertical="center"/>
    </xf>
    <xf numFmtId="0" fontId="43" fillId="0" borderId="77" xfId="0" applyFont="1" applyBorder="1" applyAlignment="1">
      <alignment horizontal="centerContinuous" vertical="center"/>
    </xf>
    <xf numFmtId="0" fontId="1" fillId="0" borderId="78" xfId="0" applyFont="1" applyBorder="1" applyAlignment="1">
      <alignment horizontal="centerContinuous" vertical="center" wrapText="1"/>
    </xf>
    <xf numFmtId="0" fontId="1" fillId="0" borderId="79" xfId="0" applyFont="1" applyBorder="1" applyAlignment="1">
      <alignment horizontal="centerContinuous" vertical="center" wrapText="1"/>
    </xf>
    <xf numFmtId="0" fontId="35" fillId="0" borderId="33" xfId="0" applyFont="1" applyBorder="1" applyAlignment="1">
      <alignment horizontal="centerContinuous" vertical="center"/>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26" fillId="0" borderId="34" xfId="0" applyFont="1" applyFill="1" applyBorder="1" applyAlignment="1">
      <alignment horizontal="center" vertical="center" shrinkToFit="1"/>
    </xf>
    <xf numFmtId="0" fontId="3" fillId="0" borderId="96" xfId="0" applyFont="1" applyBorder="1" applyAlignment="1">
      <alignment horizontal="right" vertical="center"/>
    </xf>
    <xf numFmtId="0" fontId="44" fillId="11" borderId="72" xfId="0" applyFont="1" applyFill="1" applyBorder="1" applyAlignment="1">
      <alignment horizontal="center" vertical="center" wrapText="1"/>
    </xf>
    <xf numFmtId="0" fontId="44"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Fill="1" applyBorder="1" applyAlignment="1">
      <alignment horizontal="center" vertical="center" wrapText="1"/>
    </xf>
    <xf numFmtId="0" fontId="44" fillId="11" borderId="40" xfId="0" applyFont="1" applyFill="1" applyBorder="1" applyAlignment="1">
      <alignment horizontal="center" vertical="center" wrapText="1"/>
    </xf>
    <xf numFmtId="0" fontId="44" fillId="11" borderId="42" xfId="0" applyFont="1" applyFill="1" applyBorder="1" applyAlignment="1">
      <alignment horizontal="center" vertical="center" wrapText="1"/>
    </xf>
    <xf numFmtId="0" fontId="60" fillId="0" borderId="97" xfId="0" applyFont="1" applyBorder="1" applyAlignment="1">
      <alignment horizontal="right" vertical="center"/>
    </xf>
    <xf numFmtId="0" fontId="47" fillId="0" borderId="98" xfId="0" applyFont="1" applyBorder="1" applyAlignment="1">
      <alignment horizontal="right" vertical="center"/>
    </xf>
    <xf numFmtId="0" fontId="42" fillId="12" borderId="75"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45" fillId="11" borderId="50" xfId="0" applyFont="1" applyFill="1" applyBorder="1" applyAlignment="1">
      <alignment horizontal="center" vertical="center" wrapText="1"/>
    </xf>
    <xf numFmtId="0" fontId="6" fillId="0" borderId="60" xfId="0" applyFont="1" applyFill="1" applyBorder="1" applyAlignment="1">
      <alignment horizontal="centerContinuous" vertical="center"/>
    </xf>
    <xf numFmtId="0" fontId="3" fillId="0" borderId="0" xfId="0" applyFont="1" applyBorder="1" applyAlignment="1">
      <alignment horizontal="right" vertical="center" wrapText="1"/>
    </xf>
    <xf numFmtId="0" fontId="49" fillId="0" borderId="35" xfId="0" applyFont="1" applyFill="1" applyBorder="1" applyAlignment="1">
      <alignment horizontal="centerContinuous" vertical="center"/>
    </xf>
    <xf numFmtId="0" fontId="37" fillId="0" borderId="22"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11" fillId="9" borderId="86"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Border="1" applyAlignment="1">
      <alignment vertical="center" wrapText="1"/>
    </xf>
    <xf numFmtId="0" fontId="36" fillId="0" borderId="1" xfId="0" applyFont="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70" xfId="0" applyFont="1" applyFill="1" applyBorder="1" applyAlignment="1">
      <alignment horizontal="center" vertical="center" shrinkToFit="1"/>
    </xf>
    <xf numFmtId="0" fontId="36" fillId="0" borderId="1" xfId="6" applyFont="1" applyFill="1" applyBorder="1" applyAlignment="1">
      <alignment horizontal="center" vertical="center" shrinkToFit="1"/>
    </xf>
    <xf numFmtId="0" fontId="6" fillId="0" borderId="25" xfId="6" applyFont="1" applyFill="1" applyBorder="1" applyAlignment="1">
      <alignment horizontal="center" vertical="center" wrapText="1"/>
    </xf>
    <xf numFmtId="9" fontId="6" fillId="0" borderId="69" xfId="3" applyFont="1" applyFill="1" applyBorder="1" applyAlignment="1">
      <alignment horizontal="center" vertical="center" shrinkToFit="1"/>
    </xf>
    <xf numFmtId="0" fontId="1" fillId="0" borderId="1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4"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7" fillId="0" borderId="1" xfId="0" applyFont="1" applyFill="1" applyBorder="1" applyAlignment="1">
      <alignment vertical="center"/>
    </xf>
    <xf numFmtId="0" fontId="6" fillId="0" borderId="25" xfId="0" applyFont="1" applyFill="1" applyBorder="1" applyAlignment="1">
      <alignment horizontal="center" vertical="center"/>
    </xf>
    <xf numFmtId="0" fontId="58" fillId="0" borderId="25" xfId="0" applyFont="1" applyFill="1" applyBorder="1" applyAlignment="1">
      <alignment horizontal="center" vertical="center" wrapText="1"/>
    </xf>
    <xf numFmtId="0" fontId="6" fillId="0" borderId="27" xfId="0" applyNumberFormat="1" applyFont="1" applyFill="1" applyBorder="1" applyAlignment="1">
      <alignment horizontal="center" vertical="center"/>
    </xf>
    <xf numFmtId="0" fontId="59" fillId="0" borderId="1" xfId="0" applyFont="1" applyFill="1" applyBorder="1" applyAlignment="1">
      <alignment vertical="center"/>
    </xf>
    <xf numFmtId="0" fontId="12" fillId="0" borderId="26" xfId="0" applyNumberFormat="1" applyFont="1" applyFill="1" applyBorder="1" applyAlignment="1">
      <alignment horizontal="center" vertical="center"/>
    </xf>
    <xf numFmtId="0" fontId="58" fillId="0" borderId="70" xfId="0" applyFont="1" applyFill="1" applyBorder="1" applyAlignment="1">
      <alignment vertical="center"/>
    </xf>
    <xf numFmtId="0" fontId="6" fillId="0" borderId="69" xfId="0" applyFont="1" applyFill="1" applyBorder="1" applyAlignment="1">
      <alignment horizontal="center" vertical="center"/>
    </xf>
    <xf numFmtId="0" fontId="54" fillId="0" borderId="69" xfId="0" applyFont="1" applyFill="1" applyBorder="1" applyAlignment="1">
      <alignment horizontal="center" vertical="center" wrapText="1"/>
    </xf>
    <xf numFmtId="0" fontId="55" fillId="12" borderId="69" xfId="0" applyNumberFormat="1" applyFont="1" applyFill="1" applyBorder="1" applyAlignment="1">
      <alignment horizontal="center" vertical="center"/>
    </xf>
    <xf numFmtId="0" fontId="6" fillId="0" borderId="56" xfId="0" applyNumberFormat="1" applyFont="1" applyFill="1" applyBorder="1" applyAlignment="1">
      <alignment horizontal="center" vertical="center"/>
    </xf>
    <xf numFmtId="0" fontId="51" fillId="0" borderId="1" xfId="0" applyFont="1" applyFill="1" applyBorder="1" applyAlignment="1">
      <alignment vertical="center"/>
    </xf>
    <xf numFmtId="0" fontId="6" fillId="0" borderId="25" xfId="0" applyNumberFormat="1" applyFont="1" applyFill="1" applyBorder="1" applyAlignment="1">
      <alignment horizontal="center" vertical="center"/>
    </xf>
    <xf numFmtId="49"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5"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31" fillId="0" borderId="0" xfId="0" applyFont="1" applyBorder="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28" fillId="0" borderId="0" xfId="0" applyFont="1" applyBorder="1" applyAlignment="1">
      <alignment vertical="center"/>
    </xf>
    <xf numFmtId="0" fontId="9" fillId="7" borderId="1" xfId="0" applyFont="1" applyFill="1" applyBorder="1" applyAlignment="1">
      <alignment vertical="center"/>
    </xf>
    <xf numFmtId="0" fontId="6" fillId="7" borderId="25" xfId="0" applyNumberFormat="1"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NumberFormat="1"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5" xfId="0" applyNumberFormat="1"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NumberFormat="1" applyFont="1" applyFill="1" applyBorder="1" applyAlignment="1">
      <alignment horizontal="center" vertical="center"/>
    </xf>
    <xf numFmtId="49" fontId="6" fillId="5" borderId="26" xfId="0" applyNumberFormat="1" applyFont="1" applyFill="1" applyBorder="1" applyAlignment="1">
      <alignment horizontal="center" vertical="center"/>
    </xf>
    <xf numFmtId="0" fontId="32" fillId="5" borderId="26"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2" fillId="0" borderId="25" xfId="0" applyNumberFormat="1" applyFont="1" applyFill="1" applyBorder="1" applyAlignment="1">
      <alignment horizontal="center" vertical="center"/>
    </xf>
    <xf numFmtId="0" fontId="22" fillId="0" borderId="26"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6" fillId="0" borderId="27"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5" xfId="0" applyNumberFormat="1"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5" xfId="0" applyNumberFormat="1" applyFont="1" applyFill="1" applyBorder="1" applyAlignment="1">
      <alignment horizontal="center" vertical="center"/>
    </xf>
    <xf numFmtId="0" fontId="27" fillId="0" borderId="26" xfId="0" applyNumberFormat="1" applyFont="1" applyFill="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NumberFormat="1" applyFont="1" applyFill="1" applyBorder="1" applyAlignment="1">
      <alignment horizontal="center" vertical="center"/>
    </xf>
    <xf numFmtId="0" fontId="10" fillId="0" borderId="1" xfId="0" applyFont="1" applyFill="1" applyBorder="1" applyAlignment="1">
      <alignment vertical="center"/>
    </xf>
    <xf numFmtId="0" fontId="6" fillId="7" borderId="27" xfId="0" quotePrefix="1" applyNumberFormat="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NumberFormat="1" applyFont="1" applyFill="1" applyBorder="1" applyAlignment="1">
      <alignment horizontal="center" vertical="center"/>
    </xf>
    <xf numFmtId="0" fontId="12" fillId="2" borderId="1" xfId="0" applyFont="1" applyFill="1" applyBorder="1" applyAlignment="1">
      <alignment vertical="center"/>
    </xf>
    <xf numFmtId="0" fontId="6" fillId="2" borderId="25" xfId="0" applyNumberFormat="1"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13" fillId="11" borderId="1" xfId="0" applyFont="1" applyFill="1" applyBorder="1" applyAlignment="1">
      <alignment vertical="center"/>
    </xf>
    <xf numFmtId="0" fontId="6" fillId="11" borderId="25" xfId="0" applyNumberFormat="1"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NumberFormat="1"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NumberFormat="1" applyFont="1" applyFill="1" applyBorder="1" applyAlignment="1">
      <alignment horizontal="center" vertical="center"/>
    </xf>
    <xf numFmtId="0" fontId="12" fillId="6" borderId="6" xfId="0" applyFont="1" applyFill="1" applyBorder="1" applyAlignment="1">
      <alignment vertical="center"/>
    </xf>
    <xf numFmtId="0" fontId="6" fillId="6" borderId="28" xfId="0" applyNumberFormat="1"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NumberFormat="1" applyFont="1" applyBorder="1" applyAlignment="1">
      <alignment horizontal="left" vertical="center"/>
    </xf>
    <xf numFmtId="0" fontId="3" fillId="0" borderId="0" xfId="0" applyFont="1" applyBorder="1" applyAlignment="1">
      <alignment horizontal="left" vertical="center"/>
    </xf>
    <xf numFmtId="0" fontId="39" fillId="3" borderId="62" xfId="0" applyFont="1" applyFill="1" applyBorder="1" applyAlignment="1">
      <alignment horizontal="right" vertical="center"/>
    </xf>
    <xf numFmtId="0" fontId="39"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8"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5" fillId="2" borderId="95"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Border="1" applyAlignment="1">
      <alignment horizontal="left" vertical="center"/>
    </xf>
    <xf numFmtId="0" fontId="7" fillId="3" borderId="13" xfId="0" applyFont="1" applyFill="1" applyBorder="1" applyAlignment="1">
      <alignment horizontal="right" vertical="center"/>
    </xf>
    <xf numFmtId="0" fontId="25" fillId="0" borderId="14" xfId="0" applyNumberFormat="1"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0" fontId="9" fillId="3" borderId="5" xfId="0" applyFont="1" applyFill="1" applyBorder="1" applyAlignment="1">
      <alignment horizontal="right" vertical="center"/>
    </xf>
    <xf numFmtId="0" fontId="8" fillId="0" borderId="3" xfId="0" quotePrefix="1" applyFont="1" applyFill="1" applyBorder="1" applyAlignment="1">
      <alignment horizontal="center" vertical="center"/>
    </xf>
    <xf numFmtId="49" fontId="25" fillId="0" borderId="3" xfId="0" applyNumberFormat="1" applyFont="1" applyBorder="1" applyAlignment="1">
      <alignment horizontal="center" vertical="center"/>
    </xf>
    <xf numFmtId="0" fontId="53"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6" fillId="0" borderId="3" xfId="0" quotePrefix="1" applyFont="1" applyFill="1" applyBorder="1" applyAlignment="1">
      <alignment horizontal="center"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36" fillId="0" borderId="70" xfId="0" applyFont="1" applyBorder="1" applyAlignment="1">
      <alignment horizontal="center" vertical="center" shrinkToFit="1"/>
    </xf>
    <xf numFmtId="0" fontId="6" fillId="0" borderId="69" xfId="0" applyFont="1" applyBorder="1" applyAlignment="1">
      <alignment horizontal="center" vertical="center" wrapText="1"/>
    </xf>
    <xf numFmtId="0" fontId="6" fillId="0" borderId="56" xfId="0" applyNumberFormat="1" applyFont="1" applyFill="1" applyBorder="1" applyAlignment="1">
      <alignment horizontal="center" vertical="center" shrinkToFit="1"/>
    </xf>
    <xf numFmtId="0" fontId="8" fillId="0" borderId="14" xfId="0" applyFont="1" applyFill="1" applyBorder="1" applyAlignment="1">
      <alignment horizontal="center" vertical="center"/>
    </xf>
    <xf numFmtId="0" fontId="1" fillId="0" borderId="103" xfId="0" applyFont="1" applyBorder="1" applyAlignment="1">
      <alignment horizontal="centerContinuous" vertical="center"/>
    </xf>
    <xf numFmtId="0" fontId="5" fillId="2" borderId="9" xfId="0" applyFont="1" applyFill="1" applyBorder="1" applyAlignment="1">
      <alignment horizontal="right" vertical="center"/>
    </xf>
    <xf numFmtId="0" fontId="62" fillId="2" borderId="59" xfId="0" applyFont="1" applyFill="1" applyBorder="1" applyAlignment="1">
      <alignment horizontal="right" vertical="center"/>
    </xf>
    <xf numFmtId="0" fontId="6" fillId="0" borderId="11" xfId="0" applyFont="1" applyFill="1" applyBorder="1" applyAlignment="1">
      <alignment horizontal="center" vertical="center"/>
    </xf>
    <xf numFmtId="0" fontId="5" fillId="2" borderId="104"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NumberFormat="1" applyFont="1" applyFill="1" applyBorder="1" applyAlignment="1">
      <alignment horizontal="center" vertical="center"/>
    </xf>
    <xf numFmtId="0" fontId="6" fillId="11" borderId="27" xfId="0" applyNumberFormat="1" applyFont="1" applyFill="1" applyBorder="1" applyAlignment="1">
      <alignment horizontal="center" vertical="center"/>
    </xf>
    <xf numFmtId="1" fontId="6" fillId="0" borderId="23" xfId="0" applyNumberFormat="1" applyFont="1" applyBorder="1" applyAlignment="1">
      <alignment horizontal="centerContinuous" vertical="center"/>
    </xf>
    <xf numFmtId="0" fontId="63"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1" fontId="6" fillId="0" borderId="105" xfId="0" applyNumberFormat="1" applyFont="1" applyFill="1" applyBorder="1" applyAlignment="1">
      <alignment horizontal="center" vertical="center" wrapText="1"/>
    </xf>
    <xf numFmtId="1" fontId="6" fillId="0" borderId="106"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10" borderId="0" xfId="0" applyNumberFormat="1" applyFont="1" applyFill="1" applyBorder="1" applyAlignment="1">
      <alignment horizontal="center" vertical="center"/>
    </xf>
    <xf numFmtId="49" fontId="6" fillId="7" borderId="0" xfId="0" applyNumberFormat="1" applyFont="1" applyFill="1" applyBorder="1" applyAlignment="1">
      <alignment horizontal="center" vertical="center"/>
    </xf>
    <xf numFmtId="0" fontId="32" fillId="5" borderId="0" xfId="0" applyNumberFormat="1" applyFont="1" applyFill="1" applyBorder="1" applyAlignment="1">
      <alignment horizontal="center" vertical="center"/>
    </xf>
    <xf numFmtId="49" fontId="6" fillId="6"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49" fontId="6" fillId="6" borderId="7" xfId="0" applyNumberFormat="1" applyFont="1" applyFill="1" applyBorder="1" applyAlignment="1">
      <alignment horizontal="center" vertical="center"/>
    </xf>
    <xf numFmtId="0" fontId="55" fillId="12" borderId="107" xfId="0" applyNumberFormat="1" applyFont="1" applyFill="1" applyBorder="1" applyAlignment="1">
      <alignment horizontal="center" vertical="center"/>
    </xf>
    <xf numFmtId="0" fontId="55" fillId="12" borderId="25" xfId="0" applyNumberFormat="1" applyFont="1" applyFill="1" applyBorder="1" applyAlignment="1">
      <alignment horizontal="center" vertical="center"/>
    </xf>
    <xf numFmtId="49" fontId="55" fillId="12" borderId="25" xfId="0" applyNumberFormat="1" applyFont="1" applyFill="1" applyBorder="1" applyAlignment="1">
      <alignment horizontal="center" vertical="center"/>
    </xf>
    <xf numFmtId="49" fontId="55" fillId="12" borderId="28" xfId="0" applyNumberFormat="1" applyFont="1" applyFill="1" applyBorder="1" applyAlignment="1">
      <alignment horizontal="center" vertical="center"/>
    </xf>
    <xf numFmtId="0" fontId="1" fillId="0" borderId="93" xfId="0" applyFont="1" applyBorder="1" applyAlignment="1">
      <alignment horizontal="center" vertical="center"/>
    </xf>
    <xf numFmtId="0" fontId="1" fillId="0" borderId="93" xfId="0" applyFont="1" applyFill="1" applyBorder="1" applyAlignment="1">
      <alignment horizontal="center" vertical="center"/>
    </xf>
    <xf numFmtId="164" fontId="1" fillId="0" borderId="44" xfId="0" applyNumberFormat="1"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108" xfId="0" applyFont="1" applyFill="1" applyBorder="1" applyAlignment="1">
      <alignment horizontal="center" vertical="center"/>
    </xf>
    <xf numFmtId="0" fontId="4" fillId="0" borderId="51"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76"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52" xfId="0" applyNumberFormat="1" applyFont="1" applyFill="1" applyBorder="1" applyAlignment="1">
      <alignment horizontal="centerContinuous" vertical="center"/>
    </xf>
    <xf numFmtId="164" fontId="4" fillId="0" borderId="109" xfId="0" applyNumberFormat="1" applyFont="1" applyFill="1" applyBorder="1" applyAlignment="1">
      <alignment horizontal="centerContinuous" vertical="center"/>
    </xf>
    <xf numFmtId="0" fontId="4" fillId="0" borderId="110" xfId="0" quotePrefix="1" applyFont="1" applyFill="1" applyBorder="1" applyAlignment="1">
      <alignment horizontal="centerContinuous" vertical="center"/>
    </xf>
    <xf numFmtId="164" fontId="4" fillId="0" borderId="49" xfId="0" applyNumberFormat="1" applyFont="1" applyBorder="1" applyAlignment="1">
      <alignment horizontal="centerContinuous" vertical="center"/>
    </xf>
    <xf numFmtId="164" fontId="4" fillId="0" borderId="113" xfId="0" applyNumberFormat="1" applyFont="1" applyBorder="1" applyAlignment="1">
      <alignment horizontal="centerContinuous" vertical="center"/>
    </xf>
    <xf numFmtId="0" fontId="4" fillId="0" borderId="114" xfId="0" applyFont="1" applyBorder="1" applyAlignment="1">
      <alignment horizontal="centerContinuous" vertical="center"/>
    </xf>
    <xf numFmtId="0" fontId="36" fillId="0" borderId="115" xfId="0" applyFont="1" applyFill="1" applyBorder="1" applyAlignment="1">
      <alignment horizontal="center" vertical="center" shrinkToFit="1"/>
    </xf>
    <xf numFmtId="0" fontId="6" fillId="0" borderId="116" xfId="0" applyFont="1" applyFill="1" applyBorder="1" applyAlignment="1">
      <alignment horizontal="center" vertical="center" wrapText="1"/>
    </xf>
    <xf numFmtId="9" fontId="6" fillId="0" borderId="116" xfId="2" applyFont="1" applyFill="1" applyBorder="1" applyAlignment="1">
      <alignment horizontal="center" vertical="center" shrinkToFit="1"/>
    </xf>
    <xf numFmtId="0" fontId="6" fillId="0" borderId="117" xfId="0" applyNumberFormat="1" applyFont="1" applyFill="1" applyBorder="1" applyAlignment="1">
      <alignment horizontal="center" vertical="center" shrinkToFit="1"/>
    </xf>
    <xf numFmtId="0" fontId="6" fillId="0" borderId="117" xfId="2" applyNumberFormat="1" applyFont="1" applyFill="1" applyBorder="1" applyAlignment="1">
      <alignment horizontal="center" vertical="center" shrinkToFit="1"/>
    </xf>
    <xf numFmtId="0" fontId="6" fillId="0" borderId="116" xfId="2" applyNumberFormat="1" applyFont="1" applyFill="1" applyBorder="1" applyAlignment="1">
      <alignment horizontal="center" vertical="center" shrinkToFit="1"/>
    </xf>
    <xf numFmtId="0" fontId="6" fillId="0" borderId="118" xfId="0" applyNumberFormat="1" applyFont="1" applyFill="1" applyBorder="1" applyAlignment="1">
      <alignment horizontal="center" vertical="center" wrapText="1"/>
    </xf>
    <xf numFmtId="9" fontId="6" fillId="0" borderId="69" xfId="2"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6" fillId="0" borderId="56" xfId="0" applyNumberFormat="1" applyFont="1" applyFill="1" applyBorder="1" applyAlignment="1">
      <alignment horizontal="center" vertical="center" wrapText="1"/>
    </xf>
    <xf numFmtId="0" fontId="1" fillId="0" borderId="88" xfId="0" applyFont="1" applyFill="1" applyBorder="1" applyAlignment="1">
      <alignment horizontal="centerContinuous" vertical="center"/>
    </xf>
    <xf numFmtId="0" fontId="1" fillId="0" borderId="99" xfId="0" quotePrefix="1" applyNumberFormat="1" applyFont="1" applyFill="1" applyBorder="1" applyAlignment="1">
      <alignment horizontal="centerContinuous" vertical="center" wrapText="1"/>
    </xf>
    <xf numFmtId="0" fontId="1" fillId="0" borderId="89" xfId="0" applyFont="1" applyFill="1" applyBorder="1" applyAlignment="1">
      <alignment horizontal="centerContinuous" vertical="center"/>
    </xf>
    <xf numFmtId="49" fontId="1" fillId="0" borderId="100" xfId="2" applyNumberFormat="1" applyFont="1" applyFill="1" applyBorder="1" applyAlignment="1">
      <alignment horizontal="centerContinuous" vertical="center"/>
    </xf>
    <xf numFmtId="0" fontId="42" fillId="13" borderId="75" xfId="0" applyFont="1" applyFill="1" applyBorder="1" applyAlignment="1">
      <alignment horizontal="center" vertical="center" wrapText="1"/>
    </xf>
    <xf numFmtId="0" fontId="42" fillId="13" borderId="48" xfId="0" applyFont="1" applyFill="1" applyBorder="1" applyAlignment="1">
      <alignment horizontal="center" vertical="center" wrapText="1"/>
    </xf>
    <xf numFmtId="0" fontId="3" fillId="0" borderId="98" xfId="0" applyFont="1" applyBorder="1" applyAlignment="1">
      <alignment horizontal="right" vertical="center"/>
    </xf>
    <xf numFmtId="0" fontId="64" fillId="0" borderId="98" xfId="0" applyFont="1" applyBorder="1" applyAlignment="1">
      <alignment horizontal="right" vertical="center"/>
    </xf>
    <xf numFmtId="0" fontId="36" fillId="0" borderId="6" xfId="0" applyFont="1" applyFill="1" applyBorder="1" applyAlignment="1">
      <alignment horizontal="center" vertical="center" shrinkToFit="1"/>
    </xf>
    <xf numFmtId="0" fontId="6" fillId="0" borderId="28" xfId="0" applyFont="1" applyFill="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164" fontId="20" fillId="4" borderId="33" xfId="0" applyNumberFormat="1" applyFont="1" applyFill="1" applyBorder="1" applyAlignment="1">
      <alignment horizontal="center" vertical="center"/>
    </xf>
    <xf numFmtId="164" fontId="20" fillId="14" borderId="33" xfId="0" applyNumberFormat="1" applyFont="1" applyFill="1" applyBorder="1" applyAlignment="1">
      <alignment horizontal="center" vertical="center"/>
    </xf>
    <xf numFmtId="1" fontId="1" fillId="0" borderId="120"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Border="1" applyAlignment="1">
      <alignment vertical="center"/>
    </xf>
    <xf numFmtId="1" fontId="20" fillId="14" borderId="33" xfId="0" applyNumberFormat="1" applyFont="1" applyFill="1" applyBorder="1" applyAlignment="1">
      <alignment horizontal="center" vertical="center"/>
    </xf>
    <xf numFmtId="1" fontId="1" fillId="11" borderId="120" xfId="0" applyNumberFormat="1" applyFont="1" applyFill="1" applyBorder="1" applyAlignment="1">
      <alignment horizontal="center" vertical="center" shrinkToFit="1"/>
    </xf>
    <xf numFmtId="1" fontId="1" fillId="0" borderId="121" xfId="0" applyNumberFormat="1" applyFont="1" applyBorder="1" applyAlignment="1">
      <alignment horizontal="center" vertical="center" shrinkToFit="1"/>
    </xf>
    <xf numFmtId="1" fontId="4" fillId="0" borderId="0" xfId="0" applyNumberFormat="1" applyFont="1" applyBorder="1" applyAlignment="1">
      <alignment horizontal="center" vertical="center"/>
    </xf>
    <xf numFmtId="0" fontId="1" fillId="0" borderId="90" xfId="0" applyFont="1" applyFill="1" applyBorder="1" applyAlignment="1">
      <alignment horizontal="center" vertical="center"/>
    </xf>
    <xf numFmtId="0" fontId="65" fillId="15" borderId="90" xfId="0" applyFont="1" applyFill="1" applyBorder="1" applyAlignment="1">
      <alignment horizontal="center" vertical="center"/>
    </xf>
    <xf numFmtId="0" fontId="65" fillId="15" borderId="88" xfId="0" applyFont="1" applyFill="1" applyBorder="1" applyAlignment="1">
      <alignment horizontal="right" vertical="center"/>
    </xf>
    <xf numFmtId="49" fontId="65" fillId="15" borderId="99" xfId="0" applyNumberFormat="1" applyFont="1" applyFill="1" applyBorder="1" applyAlignment="1">
      <alignment horizontal="left" vertical="center"/>
    </xf>
    <xf numFmtId="49" fontId="65" fillId="15" borderId="84" xfId="0" applyNumberFormat="1" applyFont="1" applyFill="1" applyBorder="1" applyAlignment="1">
      <alignment horizontal="center" vertical="center"/>
    </xf>
    <xf numFmtId="0" fontId="65" fillId="15" borderId="84" xfId="0" applyFont="1" applyFill="1" applyBorder="1" applyAlignment="1">
      <alignment horizontal="center" vertical="center"/>
    </xf>
    <xf numFmtId="164" fontId="65" fillId="15" borderId="84" xfId="0" applyNumberFormat="1" applyFont="1" applyFill="1" applyBorder="1" applyAlignment="1">
      <alignment horizontal="center" vertical="center"/>
    </xf>
    <xf numFmtId="164" fontId="65" fillId="15" borderId="88" xfId="0" applyNumberFormat="1" applyFont="1" applyFill="1" applyBorder="1" applyAlignment="1">
      <alignment horizontal="center" vertical="center"/>
    </xf>
    <xf numFmtId="1" fontId="65" fillId="15" borderId="88" xfId="0" applyNumberFormat="1" applyFont="1" applyFill="1" applyBorder="1" applyAlignment="1">
      <alignment horizontal="center" vertical="center"/>
    </xf>
    <xf numFmtId="1" fontId="6" fillId="0" borderId="31"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1" fontId="42" fillId="12" borderId="75" xfId="0" applyNumberFormat="1" applyFont="1" applyFill="1" applyBorder="1" applyAlignment="1">
      <alignment horizontal="center" vertical="center" wrapText="1"/>
    </xf>
    <xf numFmtId="1" fontId="42" fillId="12" borderId="48" xfId="0" applyNumberFormat="1" applyFont="1" applyFill="1" applyBorder="1" applyAlignment="1">
      <alignment horizontal="center" vertical="center" wrapText="1"/>
    </xf>
    <xf numFmtId="1" fontId="42" fillId="11" borderId="48" xfId="0" applyNumberFormat="1" applyFont="1" applyFill="1" applyBorder="1" applyAlignment="1">
      <alignment horizontal="center" vertical="center" wrapText="1"/>
    </xf>
    <xf numFmtId="1" fontId="42" fillId="11" borderId="50" xfId="0" applyNumberFormat="1" applyFont="1" applyFill="1" applyBorder="1" applyAlignment="1">
      <alignment horizontal="center" vertical="center" wrapText="1"/>
    </xf>
    <xf numFmtId="0" fontId="6" fillId="16" borderId="25" xfId="0" applyNumberFormat="1" applyFont="1" applyFill="1" applyBorder="1" applyAlignment="1">
      <alignment horizontal="center" vertical="center"/>
    </xf>
    <xf numFmtId="49" fontId="27" fillId="16" borderId="25" xfId="0" applyNumberFormat="1" applyFont="1" applyFill="1" applyBorder="1" applyAlignment="1">
      <alignment horizontal="center" vertical="center"/>
    </xf>
    <xf numFmtId="0" fontId="27" fillId="16" borderId="26" xfId="0" applyNumberFormat="1" applyFont="1" applyFill="1" applyBorder="1" applyAlignment="1">
      <alignment horizontal="center" vertical="center"/>
    </xf>
    <xf numFmtId="49" fontId="6" fillId="16" borderId="26" xfId="0" applyNumberFormat="1" applyFont="1" applyFill="1" applyBorder="1" applyAlignment="1">
      <alignment horizontal="center" vertical="center"/>
    </xf>
    <xf numFmtId="0" fontId="6" fillId="16" borderId="27"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1" fillId="0" borderId="45" xfId="0" quotePrefix="1" applyFont="1" applyFill="1" applyBorder="1" applyAlignment="1">
      <alignment horizontal="left" vertical="center"/>
    </xf>
    <xf numFmtId="0" fontId="6" fillId="15" borderId="3" xfId="0" quotePrefix="1" applyFont="1" applyFill="1" applyBorder="1" applyAlignment="1">
      <alignment horizontal="center" vertical="center"/>
    </xf>
    <xf numFmtId="0" fontId="6" fillId="15" borderId="23" xfId="0" quotePrefix="1"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NumberFormat="1" applyFont="1" applyBorder="1" applyAlignment="1">
      <alignment horizontal="center" vertical="center" wrapText="1"/>
    </xf>
    <xf numFmtId="0" fontId="6" fillId="0" borderId="121" xfId="0" applyFont="1" applyFill="1" applyBorder="1" applyAlignment="1">
      <alignment horizontal="centerContinuous" vertical="center"/>
    </xf>
    <xf numFmtId="0" fontId="4" fillId="0" borderId="0" xfId="0" applyFont="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48" fillId="0" borderId="34" xfId="0" applyFont="1" applyFill="1" applyBorder="1" applyAlignment="1">
      <alignment horizontal="center" vertical="center" shrinkToFit="1"/>
    </xf>
    <xf numFmtId="0" fontId="49" fillId="0" borderId="34" xfId="0" applyFont="1" applyFill="1" applyBorder="1" applyAlignment="1">
      <alignment horizontal="center" vertical="center" shrinkToFit="1"/>
    </xf>
    <xf numFmtId="0" fontId="10" fillId="10" borderId="1" xfId="0" applyFont="1" applyFill="1" applyBorder="1" applyAlignment="1">
      <alignment vertical="center"/>
    </xf>
    <xf numFmtId="0" fontId="6" fillId="10" borderId="25" xfId="0" applyNumberFormat="1"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NumberFormat="1" applyFont="1" applyFill="1" applyBorder="1" applyAlignment="1">
      <alignment horizontal="center" vertical="center"/>
    </xf>
    <xf numFmtId="0" fontId="6" fillId="10" borderId="27"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0" fillId="14" borderId="123" xfId="0" applyFont="1" applyFill="1" applyBorder="1" applyAlignment="1">
      <alignment horizontal="center" vertical="center"/>
    </xf>
    <xf numFmtId="0" fontId="1" fillId="0" borderId="124" xfId="0" applyFont="1" applyFill="1" applyBorder="1" applyAlignment="1">
      <alignment horizontal="centerContinuous" vertical="center" shrinkToFit="1"/>
    </xf>
    <xf numFmtId="0" fontId="20" fillId="0" borderId="109" xfId="0" applyFont="1" applyFill="1" applyBorder="1" applyAlignment="1">
      <alignment horizontal="centerContinuous" vertical="center"/>
    </xf>
    <xf numFmtId="0" fontId="20" fillId="0" borderId="125" xfId="0" applyFont="1" applyFill="1" applyBorder="1" applyAlignment="1">
      <alignment horizontal="centerContinuous" vertical="center"/>
    </xf>
    <xf numFmtId="0" fontId="1" fillId="0" borderId="52" xfId="0" applyFont="1" applyFill="1" applyBorder="1" applyAlignment="1">
      <alignment horizontal="center" vertical="center"/>
    </xf>
    <xf numFmtId="0" fontId="1" fillId="0" borderId="110" xfId="0" applyFont="1" applyFill="1" applyBorder="1" applyAlignment="1">
      <alignment horizontal="centerContinuous" vertical="center"/>
    </xf>
    <xf numFmtId="1" fontId="1" fillId="0" borderId="120" xfId="0" applyNumberFormat="1" applyFont="1" applyFill="1" applyBorder="1" applyAlignment="1">
      <alignment horizontal="center" vertical="center"/>
    </xf>
    <xf numFmtId="0" fontId="1" fillId="0" borderId="39" xfId="0" applyFont="1" applyFill="1" applyBorder="1" applyAlignment="1">
      <alignment horizontal="centerContinuous" vertical="center" shrinkToFit="1"/>
    </xf>
    <xf numFmtId="0" fontId="20" fillId="0" borderId="111" xfId="0" applyFont="1" applyFill="1" applyBorder="1" applyAlignment="1">
      <alignment horizontal="centerContinuous" vertical="center"/>
    </xf>
    <xf numFmtId="0" fontId="20" fillId="0" borderId="74" xfId="0" applyFont="1" applyFill="1" applyBorder="1" applyAlignment="1">
      <alignment horizontal="centerContinuous" vertical="center"/>
    </xf>
    <xf numFmtId="0" fontId="1" fillId="0" borderId="41" xfId="0" applyFont="1" applyFill="1" applyBorder="1" applyAlignment="1">
      <alignment horizontal="center" vertical="center"/>
    </xf>
    <xf numFmtId="0" fontId="1" fillId="0" borderId="112" xfId="0" applyFont="1" applyFill="1" applyBorder="1" applyAlignment="1">
      <alignment horizontal="centerContinuous" vertical="center"/>
    </xf>
    <xf numFmtId="1" fontId="1" fillId="0" borderId="122" xfId="0" applyNumberFormat="1" applyFont="1" applyBorder="1" applyAlignment="1">
      <alignment horizontal="center" vertical="center"/>
    </xf>
    <xf numFmtId="0" fontId="1" fillId="0" borderId="47" xfId="0" applyFont="1" applyFill="1" applyBorder="1" applyAlignment="1">
      <alignment horizontal="centerContinuous" vertical="center" shrinkToFit="1"/>
    </xf>
    <xf numFmtId="0" fontId="1" fillId="0" borderId="113" xfId="0" applyFont="1" applyFill="1" applyBorder="1" applyAlignment="1">
      <alignment horizontal="centerContinuous" vertical="center"/>
    </xf>
    <xf numFmtId="0" fontId="1" fillId="0" borderId="75" xfId="0" applyFont="1" applyFill="1" applyBorder="1" applyAlignment="1">
      <alignment horizontal="centerContinuous" vertical="center"/>
    </xf>
    <xf numFmtId="49" fontId="1" fillId="0" borderId="49"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1" fillId="0" borderId="114" xfId="0" applyFont="1" applyFill="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1" fontId="1" fillId="0" borderId="122" xfId="0" applyNumberFormat="1" applyFont="1" applyBorder="1" applyAlignment="1">
      <alignment horizontal="center" vertical="center" shrinkToFit="1"/>
    </xf>
    <xf numFmtId="0" fontId="1" fillId="0" borderId="0" xfId="0" applyFont="1" applyBorder="1" applyAlignment="1">
      <alignment horizontal="center" vertical="center"/>
    </xf>
    <xf numFmtId="0" fontId="43" fillId="0" borderId="33" xfId="0" applyFont="1" applyBorder="1" applyAlignment="1">
      <alignment horizontal="centerContinuous" vertical="center" wrapText="1"/>
    </xf>
    <xf numFmtId="1" fontId="6" fillId="0" borderId="11" xfId="0" applyNumberFormat="1" applyFont="1" applyFill="1" applyBorder="1" applyAlignment="1">
      <alignment horizontal="center" vertical="center"/>
    </xf>
    <xf numFmtId="0" fontId="6" fillId="0" borderId="121" xfId="0" quotePrefix="1" applyFont="1" applyFill="1" applyBorder="1" applyAlignment="1">
      <alignment horizontal="centerContinuous" vertical="center"/>
    </xf>
    <xf numFmtId="0" fontId="6" fillId="0" borderId="60" xfId="0" quotePrefix="1" applyFont="1" applyFill="1" applyBorder="1" applyAlignment="1">
      <alignment horizontal="centerContinuous" vertical="center"/>
    </xf>
    <xf numFmtId="0" fontId="66" fillId="0" borderId="33" xfId="0" applyFont="1" applyBorder="1" applyAlignment="1">
      <alignment horizontal="centerContinuous" vertical="center" wrapText="1"/>
    </xf>
    <xf numFmtId="0" fontId="6" fillId="0" borderId="27" xfId="0" applyNumberFormat="1" applyFont="1" applyFill="1" applyBorder="1" applyAlignment="1">
      <alignment horizontal="center" vertical="center" shrinkToFit="1"/>
    </xf>
    <xf numFmtId="0" fontId="6" fillId="0" borderId="29" xfId="0" applyFont="1" applyFill="1" applyBorder="1" applyAlignment="1">
      <alignment horizontal="center" vertical="center" wrapText="1"/>
    </xf>
    <xf numFmtId="0" fontId="49" fillId="0" borderId="60" xfId="0" quotePrefix="1" applyFont="1" applyFill="1" applyBorder="1" applyAlignment="1">
      <alignment horizontal="centerContinuous" vertical="center" shrinkToFit="1"/>
    </xf>
    <xf numFmtId="1" fontId="6" fillId="17" borderId="55" xfId="0" applyNumberFormat="1" applyFont="1" applyFill="1" applyBorder="1" applyAlignment="1">
      <alignment horizontal="centerContinuous" vertical="center"/>
    </xf>
    <xf numFmtId="0" fontId="1" fillId="17" borderId="119" xfId="0" applyFont="1" applyFill="1" applyBorder="1" applyAlignment="1">
      <alignment horizontal="centerContinuous" vertical="center"/>
    </xf>
    <xf numFmtId="9" fontId="1" fillId="0" borderId="51" xfId="0" applyNumberFormat="1" applyFont="1" applyFill="1" applyBorder="1" applyAlignment="1">
      <alignment horizontal="center" vertical="center"/>
    </xf>
    <xf numFmtId="164" fontId="1" fillId="0" borderId="51" xfId="0" applyNumberFormat="1" applyFont="1" applyFill="1" applyBorder="1" applyAlignment="1">
      <alignment horizontal="center" vertical="center"/>
    </xf>
    <xf numFmtId="1" fontId="65" fillId="15" borderId="89" xfId="0" applyNumberFormat="1" applyFont="1" applyFill="1" applyBorder="1" applyAlignment="1">
      <alignment horizontal="center" vertical="center"/>
    </xf>
    <xf numFmtId="0" fontId="65" fillId="15" borderId="94" xfId="0" quotePrefix="1" applyFont="1" applyFill="1" applyBorder="1" applyAlignment="1">
      <alignment horizontal="center" vertical="center"/>
    </xf>
    <xf numFmtId="0" fontId="65" fillId="15" borderId="92" xfId="0" applyFont="1" applyFill="1" applyBorder="1" applyAlignment="1">
      <alignment horizontal="center" vertical="center"/>
    </xf>
    <xf numFmtId="0" fontId="65" fillId="15" borderId="89" xfId="0" applyFont="1" applyFill="1" applyBorder="1" applyAlignment="1">
      <alignment horizontal="right" vertical="center"/>
    </xf>
    <xf numFmtId="49" fontId="65" fillId="15" borderId="100" xfId="0" applyNumberFormat="1" applyFont="1" applyFill="1" applyBorder="1" applyAlignment="1">
      <alignment horizontal="left" vertical="center"/>
    </xf>
    <xf numFmtId="1" fontId="65" fillId="15" borderId="93" xfId="0" applyNumberFormat="1" applyFont="1" applyFill="1" applyBorder="1" applyAlignment="1">
      <alignment horizontal="center" vertical="center"/>
    </xf>
    <xf numFmtId="0" fontId="65" fillId="15" borderId="93" xfId="0" applyFont="1" applyFill="1" applyBorder="1" applyAlignment="1">
      <alignment horizontal="center" vertical="center"/>
    </xf>
    <xf numFmtId="49" fontId="65" fillId="15" borderId="93" xfId="0" applyNumberFormat="1" applyFont="1" applyFill="1" applyBorder="1" applyAlignment="1">
      <alignment horizontal="center" vertical="center"/>
    </xf>
    <xf numFmtId="164" fontId="65" fillId="15" borderId="93" xfId="0" applyNumberFormat="1" applyFont="1" applyFill="1" applyBorder="1" applyAlignment="1">
      <alignment horizontal="center" vertical="center"/>
    </xf>
  </cellXfs>
  <cellStyles count="7">
    <cellStyle name="Excel Built-in Normal" xfId="5"/>
    <cellStyle name="Hyperlink" xfId="1" builtinId="8"/>
    <cellStyle name="Normal" xfId="0" builtinId="0"/>
    <cellStyle name="Normal 2" xfId="4"/>
    <cellStyle name="Normal 2 2" xfId="6"/>
    <cellStyle name="Percent" xfId="2" builtinId="5"/>
    <cellStyle name="Percent 2" xfId="3"/>
  </cellStyles>
  <dxfs count="14">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theme="1"/>
      </font>
      <fill>
        <patternFill>
          <bgColor theme="0" tint="-0.14996795556505021"/>
        </patternFill>
      </fill>
    </dxf>
    <dxf>
      <font>
        <b/>
        <i val="0"/>
        <color theme="1"/>
      </font>
      <fill>
        <patternFill>
          <bgColor rgb="FF66FF33"/>
        </patternFill>
      </fill>
    </dxf>
    <dxf>
      <font>
        <b val="0"/>
        <i/>
        <color theme="1"/>
      </font>
      <fill>
        <patternFill>
          <bgColor theme="0" tint="-0.14996795556505021"/>
        </patternFill>
      </fill>
    </dxf>
    <dxf>
      <font>
        <b/>
        <i val="0"/>
        <color theme="1"/>
      </font>
      <fill>
        <patternFill>
          <bgColor rgb="FF66FF33"/>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66FF"/>
      <color rgb="FF0000FF"/>
      <color rgb="FF00FFFF"/>
      <color rgb="FF66FF33"/>
      <color rgb="FFCCFFCC"/>
      <color rgb="FF006600"/>
      <color rgb="FF00FF00"/>
      <color rgb="FFFF9900"/>
      <color rgb="FF3333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41275</xdr:colOff>
      <xdr:row>1</xdr:row>
      <xdr:rowOff>57149</xdr:rowOff>
    </xdr:from>
    <xdr:to>
      <xdr:col>6</xdr:col>
      <xdr:colOff>1539875</xdr:colOff>
      <xdr:row>12</xdr:row>
      <xdr:rowOff>171450</xdr:rowOff>
    </xdr:to>
    <xdr:pic>
      <xdr:nvPicPr>
        <xdr:cNvPr id="3" name="Picture 2" descr="C:\A\Jue\Arena\ragnaroe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950" y="428624"/>
          <a:ext cx="3060700" cy="2466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167850</xdr:colOff>
      <xdr:row>8</xdr:row>
      <xdr:rowOff>7620</xdr:rowOff>
    </xdr:from>
    <xdr:to>
      <xdr:col>10</xdr:col>
      <xdr:colOff>168988</xdr:colOff>
      <xdr:row>25</xdr:row>
      <xdr:rowOff>8089</xdr:rowOff>
    </xdr:to>
    <xdr:pic>
      <xdr:nvPicPr>
        <xdr:cNvPr id="3" name="Picture 2" descr="C:\A\Jue\Arena\ragnaroek 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50" y="2026920"/>
          <a:ext cx="4016878" cy="3856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171450</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
  <sheetViews>
    <sheetView showGridLines="0" tabSelected="1" zoomScaleNormal="100" workbookViewId="0"/>
  </sheetViews>
  <sheetFormatPr defaultColWidth="13" defaultRowHeight="15.6" x14ac:dyDescent="0.3"/>
  <cols>
    <col min="1" max="1" width="19.09765625" style="70" bestFit="1" customWidth="1"/>
    <col min="2" max="2" width="9.296875" style="244" customWidth="1"/>
    <col min="3" max="3" width="4.796875" style="244" customWidth="1"/>
    <col min="4" max="4" width="13.69921875" style="70" bestFit="1" customWidth="1"/>
    <col min="5" max="5" width="11.19921875" style="244" bestFit="1" customWidth="1"/>
    <col min="6" max="6" width="20.5" style="70" customWidth="1"/>
    <col min="7" max="7" width="20.5" style="244" customWidth="1"/>
    <col min="8" max="16384" width="13" style="37"/>
  </cols>
  <sheetData>
    <row r="1" spans="1:7" ht="29.4" thickTop="1" thickBot="1" x14ac:dyDescent="0.35">
      <c r="A1" s="247" t="s">
        <v>177</v>
      </c>
      <c r="B1" s="248" t="s">
        <v>265</v>
      </c>
      <c r="C1" s="249"/>
      <c r="D1" s="250"/>
      <c r="E1" s="251"/>
      <c r="F1" s="250"/>
      <c r="G1" s="252" t="s">
        <v>243</v>
      </c>
    </row>
    <row r="2" spans="1:7" ht="17.399999999999999" thickTop="1" x14ac:dyDescent="0.3">
      <c r="A2" s="253" t="s">
        <v>0</v>
      </c>
      <c r="B2" s="254" t="s">
        <v>264</v>
      </c>
      <c r="C2" s="254"/>
      <c r="D2" s="255" t="s">
        <v>223</v>
      </c>
      <c r="E2" s="256" t="s">
        <v>263</v>
      </c>
      <c r="F2" s="255"/>
      <c r="G2" s="257"/>
    </row>
    <row r="3" spans="1:7" ht="16.8" x14ac:dyDescent="0.3">
      <c r="A3" s="253" t="s">
        <v>62</v>
      </c>
      <c r="B3" s="254" t="s">
        <v>169</v>
      </c>
      <c r="C3" s="254"/>
      <c r="D3" s="255" t="s">
        <v>63</v>
      </c>
      <c r="E3" s="256">
        <v>6</v>
      </c>
      <c r="F3" s="255"/>
      <c r="G3" s="257"/>
    </row>
    <row r="4" spans="1:7" ht="16.8" x14ac:dyDescent="0.3">
      <c r="A4" s="253" t="s">
        <v>62</v>
      </c>
      <c r="B4" s="254" t="s">
        <v>177</v>
      </c>
      <c r="C4" s="254"/>
      <c r="D4" s="255" t="s">
        <v>63</v>
      </c>
      <c r="E4" s="256">
        <v>4</v>
      </c>
      <c r="F4" s="255"/>
      <c r="G4" s="257"/>
    </row>
    <row r="5" spans="1:7" ht="17.399999999999999" thickBot="1" x14ac:dyDescent="0.35">
      <c r="A5" s="253" t="s">
        <v>64</v>
      </c>
      <c r="B5" s="254" t="s">
        <v>247</v>
      </c>
      <c r="C5" s="254"/>
      <c r="D5" s="255" t="s">
        <v>1</v>
      </c>
      <c r="E5" s="256" t="s">
        <v>222</v>
      </c>
      <c r="F5" s="255"/>
      <c r="G5" s="257"/>
    </row>
    <row r="6" spans="1:7" ht="17.399999999999999" thickTop="1" x14ac:dyDescent="0.3">
      <c r="A6" s="258" t="s">
        <v>93</v>
      </c>
      <c r="B6" s="437">
        <f>3+2+1</f>
        <v>6</v>
      </c>
      <c r="C6" s="438"/>
      <c r="D6" s="286" t="s">
        <v>146</v>
      </c>
      <c r="E6" s="259" t="s">
        <v>132</v>
      </c>
      <c r="F6" s="255"/>
      <c r="G6" s="257"/>
    </row>
    <row r="7" spans="1:7" ht="17.399999999999999" thickBot="1" x14ac:dyDescent="0.35">
      <c r="A7" s="283" t="s">
        <v>119</v>
      </c>
      <c r="B7" s="292">
        <f>C9+4</f>
        <v>7</v>
      </c>
      <c r="C7" s="282"/>
      <c r="D7" s="284" t="s">
        <v>145</v>
      </c>
      <c r="E7" s="285" t="s">
        <v>132</v>
      </c>
      <c r="F7" s="260"/>
      <c r="G7" s="257"/>
    </row>
    <row r="8" spans="1:7" ht="17.399999999999999" thickTop="1" x14ac:dyDescent="0.3">
      <c r="A8" s="261" t="s">
        <v>2</v>
      </c>
      <c r="B8" s="281">
        <v>9</v>
      </c>
      <c r="C8" s="262">
        <f t="shared" ref="C8:C13" si="0">IF(B8&gt;9.9,CONCATENATE("+",ROUNDDOWN((B8-10)/2,0)),ROUNDUP((B8-10)/2,0))</f>
        <v>-1</v>
      </c>
      <c r="D8" s="263" t="s">
        <v>73</v>
      </c>
      <c r="E8" s="294" t="s">
        <v>154</v>
      </c>
      <c r="F8" s="260"/>
      <c r="G8" s="257"/>
    </row>
    <row r="9" spans="1:7" ht="16.8" x14ac:dyDescent="0.3">
      <c r="A9" s="264" t="s">
        <v>3</v>
      </c>
      <c r="B9" s="387">
        <f>14+2</f>
        <v>16</v>
      </c>
      <c r="C9" s="265" t="str">
        <f t="shared" si="0"/>
        <v>+3</v>
      </c>
      <c r="D9" s="266" t="s">
        <v>74</v>
      </c>
      <c r="E9" s="267">
        <f>SUM(Martial!G3:G16)+SUM(Equipment!C3:C21)</f>
        <v>16</v>
      </c>
      <c r="F9" s="260"/>
      <c r="G9" s="257"/>
    </row>
    <row r="10" spans="1:7" ht="16.8" x14ac:dyDescent="0.3">
      <c r="A10" s="268" t="s">
        <v>11</v>
      </c>
      <c r="B10" s="269">
        <v>11</v>
      </c>
      <c r="C10" s="270" t="str">
        <f t="shared" si="0"/>
        <v>+0</v>
      </c>
      <c r="D10" s="266" t="s">
        <v>13</v>
      </c>
      <c r="E10" s="373">
        <f>ROUNDUP(((E3*4)*0.75)+((E4*4)*0.75)+((E3+E4)*C10),0)</f>
        <v>30</v>
      </c>
      <c r="F10" s="260"/>
      <c r="G10" s="257"/>
    </row>
    <row r="11" spans="1:7" ht="16.8" x14ac:dyDescent="0.3">
      <c r="A11" s="271" t="s">
        <v>12</v>
      </c>
      <c r="B11" s="269">
        <v>13</v>
      </c>
      <c r="C11" s="265" t="str">
        <f t="shared" si="0"/>
        <v>+1</v>
      </c>
      <c r="D11" s="272" t="s">
        <v>90</v>
      </c>
      <c r="E11" s="372">
        <f>10+C9-1</f>
        <v>12</v>
      </c>
      <c r="F11" s="253"/>
      <c r="G11" s="257"/>
    </row>
    <row r="12" spans="1:7" ht="16.8" x14ac:dyDescent="0.3">
      <c r="A12" s="273" t="s">
        <v>14</v>
      </c>
      <c r="B12" s="274">
        <v>11</v>
      </c>
      <c r="C12" s="265" t="str">
        <f t="shared" si="0"/>
        <v>+0</v>
      </c>
      <c r="D12" s="272" t="s">
        <v>135</v>
      </c>
      <c r="E12" s="287">
        <f>E13-C9</f>
        <v>13</v>
      </c>
      <c r="F12" s="260"/>
      <c r="G12" s="257"/>
    </row>
    <row r="13" spans="1:7" ht="17.399999999999999" thickBot="1" x14ac:dyDescent="0.35">
      <c r="A13" s="275" t="s">
        <v>10</v>
      </c>
      <c r="B13" s="388">
        <f>18+2+2+2</f>
        <v>24</v>
      </c>
      <c r="C13" s="276" t="str">
        <f t="shared" si="0"/>
        <v>+7</v>
      </c>
      <c r="D13" s="277" t="s">
        <v>61</v>
      </c>
      <c r="E13" s="430">
        <f>E11+SUM(Martial!B11:B12)-1</f>
        <v>16</v>
      </c>
      <c r="F13" s="389"/>
      <c r="G13" s="390"/>
    </row>
    <row r="14" spans="1:7" ht="16.2" thickTop="1" x14ac:dyDescent="0.3"/>
  </sheetData>
  <phoneticPr fontId="0" type="noConversion"/>
  <conditionalFormatting sqref="E9">
    <cfRule type="cellIs" dxfId="13" priority="4" stopIfTrue="1" operator="greaterThan">
      <formula>66</formula>
    </cfRule>
    <cfRule type="cellIs" dxfId="12" priority="5" stopIfTrue="1" operator="between">
      <formula>33</formula>
      <formula>66</formula>
    </cfRule>
  </conditionalFormatting>
  <hyperlinks>
    <hyperlink ref="G1" r:id="rId1" display="Played by Joe Hawkstone"/>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zoomScaleNormal="100" workbookViewId="0"/>
  </sheetViews>
  <sheetFormatPr defaultColWidth="13" defaultRowHeight="15.6" x14ac:dyDescent="0.3"/>
  <cols>
    <col min="1" max="1" width="26.8984375" style="70" bestFit="1" customWidth="1"/>
    <col min="2" max="2" width="5.8984375" style="70" bestFit="1" customWidth="1"/>
    <col min="3" max="3" width="7.59765625" style="244" hidden="1" customWidth="1"/>
    <col min="4" max="4" width="5.8984375" style="244" hidden="1" customWidth="1"/>
    <col min="5" max="5" width="9.8984375" style="244" bestFit="1" customWidth="1"/>
    <col min="6" max="6" width="7" style="244" customWidth="1"/>
    <col min="7" max="7" width="6" style="245" bestFit="1" customWidth="1"/>
    <col min="8" max="8" width="5.19921875" style="245" bestFit="1" customWidth="1"/>
    <col min="9" max="9" width="6.8984375" style="245" bestFit="1" customWidth="1"/>
    <col min="10" max="10" width="31.3984375" style="70" customWidth="1"/>
    <col min="11" max="16384" width="13" style="37"/>
  </cols>
  <sheetData>
    <row r="1" spans="1:10" ht="23.4" thickBot="1" x14ac:dyDescent="0.35">
      <c r="A1" s="152" t="s">
        <v>130</v>
      </c>
      <c r="B1" s="153"/>
      <c r="C1" s="153"/>
      <c r="D1" s="153"/>
      <c r="E1" s="153"/>
      <c r="F1" s="153"/>
      <c r="G1" s="154"/>
      <c r="H1" s="154"/>
      <c r="I1" s="154"/>
      <c r="J1" s="153"/>
    </row>
    <row r="2" spans="1:10" s="15" customFormat="1" ht="34.200000000000003" thickBot="1" x14ac:dyDescent="0.35">
      <c r="A2" s="9" t="s">
        <v>129</v>
      </c>
      <c r="B2" s="10" t="s">
        <v>27</v>
      </c>
      <c r="C2" s="10" t="s">
        <v>34</v>
      </c>
      <c r="D2" s="10" t="s">
        <v>26</v>
      </c>
      <c r="E2" s="11" t="s">
        <v>59</v>
      </c>
      <c r="F2" s="11" t="s">
        <v>35</v>
      </c>
      <c r="G2" s="12" t="s">
        <v>65</v>
      </c>
      <c r="H2" s="13" t="s">
        <v>128</v>
      </c>
      <c r="I2" s="12" t="s">
        <v>83</v>
      </c>
      <c r="J2" s="14" t="s">
        <v>133</v>
      </c>
    </row>
    <row r="3" spans="1:10" s="15" customFormat="1" ht="16.8" x14ac:dyDescent="0.3">
      <c r="A3" s="155" t="s">
        <v>68</v>
      </c>
      <c r="B3" s="156">
        <f>2+1</f>
        <v>3</v>
      </c>
      <c r="C3" s="156" t="s">
        <v>29</v>
      </c>
      <c r="D3" s="156" t="str">
        <f>IF(C3="Str",'Personal File'!$C$8,IF(C3="Dex",'Personal File'!$C$9,IF(C3="Con",'Personal File'!$C$10,IF(C3="Int",'Personal File'!$C$11,IF(C3="Wis",'Personal File'!$C$12,IF(C3="Cha",'Personal File'!$C$13))))))</f>
        <v>+0</v>
      </c>
      <c r="E3" s="157" t="str">
        <f>CONCATENATE(C3," (",D3,")")</f>
        <v>Con (+0)</v>
      </c>
      <c r="F3" s="24">
        <v>0</v>
      </c>
      <c r="G3" s="295">
        <f t="shared" ref="G3:G41" si="0">B3+D3+F3</f>
        <v>3</v>
      </c>
      <c r="H3" s="306">
        <f ca="1">RANDBETWEEN(1,20)</f>
        <v>17</v>
      </c>
      <c r="I3" s="297">
        <f t="shared" ref="I3:I41" ca="1" si="1">SUM(G3:H3)</f>
        <v>20</v>
      </c>
      <c r="J3" s="158"/>
    </row>
    <row r="4" spans="1:10" s="15" customFormat="1" ht="16.8" x14ac:dyDescent="0.3">
      <c r="A4" s="159" t="s">
        <v>69</v>
      </c>
      <c r="B4" s="156">
        <f>2+1</f>
        <v>3</v>
      </c>
      <c r="C4" s="156" t="s">
        <v>32</v>
      </c>
      <c r="D4" s="156" t="str">
        <f>IF(C4="Str",'Personal File'!$C$8,IF(C4="Dex",'Personal File'!$C$9,IF(C4="Con",'Personal File'!$C$10,IF(C4="Int",'Personal File'!$C$11,IF(C4="Wis",'Personal File'!$C$12,IF(C4="Cha",'Personal File'!$C$13))))))</f>
        <v>+3</v>
      </c>
      <c r="E4" s="160" t="str">
        <f t="shared" ref="E4:E5" si="2">CONCATENATE(C4," (",D4,")")</f>
        <v>Dex (+3)</v>
      </c>
      <c r="F4" s="24">
        <v>0</v>
      </c>
      <c r="G4" s="295">
        <f t="shared" si="0"/>
        <v>6</v>
      </c>
      <c r="H4" s="307">
        <f t="shared" ref="H4:H5" ca="1" si="3">RANDBETWEEN(1,20)</f>
        <v>19</v>
      </c>
      <c r="I4" s="297">
        <f t="shared" ca="1" si="1"/>
        <v>25</v>
      </c>
      <c r="J4" s="158"/>
    </row>
    <row r="5" spans="1:10" s="15" customFormat="1" ht="16.8" x14ac:dyDescent="0.3">
      <c r="A5" s="161" t="s">
        <v>70</v>
      </c>
      <c r="B5" s="162">
        <f>5+4</f>
        <v>9</v>
      </c>
      <c r="C5" s="162" t="s">
        <v>31</v>
      </c>
      <c r="D5" s="162" t="str">
        <f>IF(C5="Str",'Personal File'!$C$8,IF(C5="Dex",'Personal File'!$C$9,IF(C5="Con",'Personal File'!$C$10,IF(C5="Int",'Personal File'!$C$11,IF(C5="Wis",'Personal File'!$C$12,IF(C5="Cha",'Personal File'!$C$13))))))</f>
        <v>+0</v>
      </c>
      <c r="E5" s="163" t="str">
        <f t="shared" si="2"/>
        <v>Wis (+0)</v>
      </c>
      <c r="F5" s="7">
        <v>2</v>
      </c>
      <c r="G5" s="296">
        <f t="shared" si="0"/>
        <v>11</v>
      </c>
      <c r="H5" s="164">
        <f t="shared" ca="1" si="3"/>
        <v>14</v>
      </c>
      <c r="I5" s="298">
        <f t="shared" ca="1" si="1"/>
        <v>25</v>
      </c>
      <c r="J5" s="165"/>
    </row>
    <row r="6" spans="1:10" s="172" customFormat="1" ht="17.399999999999999" x14ac:dyDescent="0.3">
      <c r="A6" s="166" t="s">
        <v>36</v>
      </c>
      <c r="B6" s="167">
        <v>0</v>
      </c>
      <c r="C6" s="168" t="s">
        <v>30</v>
      </c>
      <c r="D6" s="169" t="str">
        <f>IF(C6="Str",'Personal File'!$C$8,IF(C6="Dex",'Personal File'!$C$9,IF(C6="Con",'Personal File'!$C$10,IF(C6="Int",'Personal File'!$C$11,IF(C6="Wis",'Personal File'!$C$12,IF(C6="Cha",'Personal File'!$C$13))))))</f>
        <v>+1</v>
      </c>
      <c r="E6" s="169" t="str">
        <f t="shared" ref="E6:E41" si="4">CONCATENATE(C6," (",D6,")")</f>
        <v>Int (+1)</v>
      </c>
      <c r="F6" s="170" t="s">
        <v>60</v>
      </c>
      <c r="G6" s="171">
        <f t="shared" si="0"/>
        <v>1</v>
      </c>
      <c r="H6" s="308">
        <f ca="1">RANDBETWEEN(1,20)</f>
        <v>12</v>
      </c>
      <c r="I6" s="299">
        <f t="shared" ca="1" si="1"/>
        <v>13</v>
      </c>
      <c r="J6" s="158"/>
    </row>
    <row r="7" spans="1:10" s="176" customFormat="1" ht="16.8" x14ac:dyDescent="0.3">
      <c r="A7" s="173" t="s">
        <v>37</v>
      </c>
      <c r="B7" s="167">
        <v>0</v>
      </c>
      <c r="C7" s="174" t="s">
        <v>32</v>
      </c>
      <c r="D7" s="175" t="str">
        <f>IF(C7="Str",'Personal File'!$C$8,IF(C7="Dex",'Personal File'!$C$9,IF(C7="Con",'Personal File'!$C$10,IF(C7="Int",'Personal File'!$C$11,IF(C7="Wis",'Personal File'!$C$12,IF(C7="Cha",'Personal File'!$C$13))))))</f>
        <v>+3</v>
      </c>
      <c r="E7" s="175" t="str">
        <f t="shared" si="4"/>
        <v>Dex (+3)</v>
      </c>
      <c r="F7" s="170" t="s">
        <v>60</v>
      </c>
      <c r="G7" s="171">
        <f t="shared" si="0"/>
        <v>3</v>
      </c>
      <c r="H7" s="308">
        <f ca="1">RANDBETWEEN(1,20)</f>
        <v>18</v>
      </c>
      <c r="I7" s="299">
        <f t="shared" ca="1" si="1"/>
        <v>21</v>
      </c>
      <c r="J7" s="158"/>
    </row>
    <row r="8" spans="1:10" s="179" customFormat="1" ht="16.8" x14ac:dyDescent="0.3">
      <c r="A8" s="198" t="s">
        <v>38</v>
      </c>
      <c r="B8" s="167">
        <v>0</v>
      </c>
      <c r="C8" s="199" t="s">
        <v>28</v>
      </c>
      <c r="D8" s="200" t="str">
        <f>IF(C8="Str",'Personal File'!$C$8,IF(C8="Dex",'Personal File'!$C$9,IF(C8="Con",'Personal File'!$C$10,IF(C8="Int",'Personal File'!$C$11,IF(C8="Wis",'Personal File'!$C$12,IF(C8="Cha",'Personal File'!$C$13))))))</f>
        <v>+7</v>
      </c>
      <c r="E8" s="201" t="str">
        <f t="shared" si="4"/>
        <v>Cha (+7)</v>
      </c>
      <c r="F8" s="171" t="s">
        <v>60</v>
      </c>
      <c r="G8" s="171">
        <f t="shared" si="0"/>
        <v>7</v>
      </c>
      <c r="H8" s="308">
        <f t="shared" ref="H8:H41" ca="1" si="5">RANDBETWEEN(1,20)</f>
        <v>14</v>
      </c>
      <c r="I8" s="299">
        <f t="shared" ca="1" si="1"/>
        <v>21</v>
      </c>
      <c r="J8" s="158"/>
    </row>
    <row r="9" spans="1:10" s="183" customFormat="1" ht="16.8" x14ac:dyDescent="0.3">
      <c r="A9" s="180" t="s">
        <v>39</v>
      </c>
      <c r="B9" s="167">
        <v>0</v>
      </c>
      <c r="C9" s="181" t="s">
        <v>33</v>
      </c>
      <c r="D9" s="182">
        <f>IF(C9="Str",'Personal File'!$C$8,IF(C9="Dex",'Personal File'!$C$9,IF(C9="Con",'Personal File'!$C$10,IF(C9="Int",'Personal File'!$C$11,IF(C9="Wis",'Personal File'!$C$12,IF(C9="Cha",'Personal File'!$C$13))))))</f>
        <v>-1</v>
      </c>
      <c r="E9" s="182" t="str">
        <f t="shared" si="4"/>
        <v>Str (-1)</v>
      </c>
      <c r="F9" s="170" t="s">
        <v>60</v>
      </c>
      <c r="G9" s="171">
        <f t="shared" si="0"/>
        <v>-1</v>
      </c>
      <c r="H9" s="308">
        <f t="shared" ca="1" si="5"/>
        <v>13</v>
      </c>
      <c r="I9" s="299">
        <f t="shared" ca="1" si="1"/>
        <v>12</v>
      </c>
      <c r="J9" s="158"/>
    </row>
    <row r="10" spans="1:10" s="183" customFormat="1" ht="16.8" x14ac:dyDescent="0.3">
      <c r="A10" s="184" t="s">
        <v>15</v>
      </c>
      <c r="B10" s="185">
        <v>9</v>
      </c>
      <c r="C10" s="186" t="s">
        <v>29</v>
      </c>
      <c r="D10" s="187" t="str">
        <f>IF(C10="Str",'Personal File'!$C$8,IF(C10="Dex",'Personal File'!$C$9,IF(C10="Con",'Personal File'!$C$10,IF(C10="Int",'Personal File'!$C$11,IF(C10="Wis",'Personal File'!$C$12,IF(C10="Cha",'Personal File'!$C$13))))))</f>
        <v>+0</v>
      </c>
      <c r="E10" s="187" t="str">
        <f t="shared" si="4"/>
        <v>Con (+0)</v>
      </c>
      <c r="F10" s="178" t="s">
        <v>60</v>
      </c>
      <c r="G10" s="188">
        <f t="shared" si="0"/>
        <v>9</v>
      </c>
      <c r="H10" s="308">
        <f t="shared" ca="1" si="5"/>
        <v>5</v>
      </c>
      <c r="I10" s="301">
        <f t="shared" ca="1" si="1"/>
        <v>14</v>
      </c>
      <c r="J10" s="189"/>
    </row>
    <row r="11" spans="1:10" s="172" customFormat="1" ht="16.8" x14ac:dyDescent="0.3">
      <c r="A11" s="400" t="s">
        <v>178</v>
      </c>
      <c r="B11" s="401">
        <v>5</v>
      </c>
      <c r="C11" s="402" t="s">
        <v>30</v>
      </c>
      <c r="D11" s="403" t="str">
        <f>IF(C11="Str",'Personal File'!$C$8,IF(C11="Dex",'Personal File'!$C$9,IF(C11="Con",'Personal File'!$C$10,IF(C11="Int",'Personal File'!$C$11,IF(C11="Wis",'Personal File'!$C$12,IF(C11="Cha",'Personal File'!$C$13))))))</f>
        <v>+1</v>
      </c>
      <c r="E11" s="403" t="str">
        <f t="shared" si="4"/>
        <v>Int (+1)</v>
      </c>
      <c r="F11" s="178" t="s">
        <v>60</v>
      </c>
      <c r="G11" s="178">
        <f t="shared" si="0"/>
        <v>6</v>
      </c>
      <c r="H11" s="308">
        <f t="shared" ca="1" si="5"/>
        <v>2</v>
      </c>
      <c r="I11" s="300">
        <f t="shared" ca="1" si="1"/>
        <v>8</v>
      </c>
      <c r="J11" s="404"/>
    </row>
    <row r="12" spans="1:10" s="197" customFormat="1" ht="16.8" x14ac:dyDescent="0.3">
      <c r="A12" s="190" t="s">
        <v>40</v>
      </c>
      <c r="B12" s="191">
        <v>0</v>
      </c>
      <c r="C12" s="192" t="s">
        <v>30</v>
      </c>
      <c r="D12" s="193" t="str">
        <f>IF(C12="Str",'Personal File'!$C$8,IF(C12="Dex",'Personal File'!$C$9,IF(C12="Con",'Personal File'!$C$10,IF(C12="Int",'Personal File'!$C$11,IF(C12="Wis",'Personal File'!$C$12,IF(C12="Cha",'Personal File'!$C$13))))))</f>
        <v>+1</v>
      </c>
      <c r="E12" s="193" t="str">
        <f t="shared" si="4"/>
        <v>Int (+1)</v>
      </c>
      <c r="F12" s="194" t="s">
        <v>60</v>
      </c>
      <c r="G12" s="195">
        <f t="shared" si="0"/>
        <v>1</v>
      </c>
      <c r="H12" s="308">
        <f t="shared" ca="1" si="5"/>
        <v>17</v>
      </c>
      <c r="I12" s="302">
        <f t="shared" ca="1" si="1"/>
        <v>18</v>
      </c>
      <c r="J12" s="196"/>
    </row>
    <row r="13" spans="1:10" s="176" customFormat="1" ht="16.8" x14ac:dyDescent="0.3">
      <c r="A13" s="198" t="s">
        <v>41</v>
      </c>
      <c r="B13" s="167">
        <v>0</v>
      </c>
      <c r="C13" s="199" t="s">
        <v>28</v>
      </c>
      <c r="D13" s="200" t="str">
        <f>IF(C13="Str",'Personal File'!$C$8,IF(C13="Dex",'Personal File'!$C$9,IF(C13="Con",'Personal File'!$C$10,IF(C13="Int",'Personal File'!$C$11,IF(C13="Wis",'Personal File'!$C$12,IF(C13="Cha",'Personal File'!$C$13))))))</f>
        <v>+7</v>
      </c>
      <c r="E13" s="201" t="str">
        <f t="shared" si="4"/>
        <v>Cha (+7)</v>
      </c>
      <c r="F13" s="171" t="s">
        <v>60</v>
      </c>
      <c r="G13" s="171">
        <f t="shared" si="0"/>
        <v>7</v>
      </c>
      <c r="H13" s="308">
        <f t="shared" ca="1" si="5"/>
        <v>3</v>
      </c>
      <c r="I13" s="299">
        <f t="shared" ca="1" si="1"/>
        <v>10</v>
      </c>
      <c r="J13" s="202"/>
    </row>
    <row r="14" spans="1:10" s="176" customFormat="1" ht="16.8" x14ac:dyDescent="0.3">
      <c r="A14" s="190" t="s">
        <v>42</v>
      </c>
      <c r="B14" s="191">
        <v>0</v>
      </c>
      <c r="C14" s="192" t="s">
        <v>30</v>
      </c>
      <c r="D14" s="193" t="str">
        <f>IF(C14="Str",'Personal File'!$C$8,IF(C14="Dex",'Personal File'!$C$9,IF(C14="Con",'Personal File'!$C$10,IF(C14="Int",'Personal File'!$C$11,IF(C14="Wis",'Personal File'!$C$12,IF(C14="Cha",'Personal File'!$C$13))))))</f>
        <v>+1</v>
      </c>
      <c r="E14" s="193" t="str">
        <f t="shared" si="4"/>
        <v>Int (+1)</v>
      </c>
      <c r="F14" s="194" t="s">
        <v>60</v>
      </c>
      <c r="G14" s="195">
        <f t="shared" si="0"/>
        <v>1</v>
      </c>
      <c r="H14" s="308">
        <f t="shared" ca="1" si="5"/>
        <v>19</v>
      </c>
      <c r="I14" s="302">
        <f t="shared" ca="1" si="1"/>
        <v>20</v>
      </c>
      <c r="J14" s="196"/>
    </row>
    <row r="15" spans="1:10" s="176" customFormat="1" ht="16.8" x14ac:dyDescent="0.3">
      <c r="A15" s="198" t="s">
        <v>43</v>
      </c>
      <c r="B15" s="167">
        <v>0</v>
      </c>
      <c r="C15" s="199" t="s">
        <v>28</v>
      </c>
      <c r="D15" s="200" t="str">
        <f>IF(C15="Str",'Personal File'!$C$8,IF(C15="Dex",'Personal File'!$C$9,IF(C15="Con",'Personal File'!$C$10,IF(C15="Int",'Personal File'!$C$11,IF(C15="Wis",'Personal File'!$C$12,IF(C15="Cha",'Personal File'!$C$13))))))</f>
        <v>+7</v>
      </c>
      <c r="E15" s="201" t="str">
        <f t="shared" si="4"/>
        <v>Cha (+7)</v>
      </c>
      <c r="F15" s="170">
        <v>2</v>
      </c>
      <c r="G15" s="171">
        <f t="shared" si="0"/>
        <v>9</v>
      </c>
      <c r="H15" s="308">
        <f t="shared" ca="1" si="5"/>
        <v>1</v>
      </c>
      <c r="I15" s="299">
        <f t="shared" ca="1" si="1"/>
        <v>10</v>
      </c>
      <c r="J15" s="202"/>
    </row>
    <row r="16" spans="1:10" s="176" customFormat="1" ht="16.8" x14ac:dyDescent="0.3">
      <c r="A16" s="173" t="s">
        <v>44</v>
      </c>
      <c r="B16" s="167">
        <v>0</v>
      </c>
      <c r="C16" s="174" t="s">
        <v>32</v>
      </c>
      <c r="D16" s="175" t="str">
        <f>IF(C16="Str",'Personal File'!$C$8,IF(C16="Dex",'Personal File'!$C$9,IF(C16="Con",'Personal File'!$C$10,IF(C16="Int",'Personal File'!$C$11,IF(C16="Wis",'Personal File'!$C$12,IF(C16="Cha",'Personal File'!$C$13))))))</f>
        <v>+3</v>
      </c>
      <c r="E16" s="160" t="str">
        <f t="shared" si="4"/>
        <v>Dex (+3)</v>
      </c>
      <c r="F16" s="170" t="s">
        <v>60</v>
      </c>
      <c r="G16" s="171">
        <f t="shared" si="0"/>
        <v>3</v>
      </c>
      <c r="H16" s="308">
        <f t="shared" ca="1" si="5"/>
        <v>14</v>
      </c>
      <c r="I16" s="299">
        <f t="shared" ca="1" si="1"/>
        <v>17</v>
      </c>
      <c r="J16" s="158"/>
    </row>
    <row r="17" spans="1:10" s="176" customFormat="1" ht="16.8" x14ac:dyDescent="0.3">
      <c r="A17" s="203" t="s">
        <v>45</v>
      </c>
      <c r="B17" s="204">
        <v>0</v>
      </c>
      <c r="C17" s="205" t="s">
        <v>30</v>
      </c>
      <c r="D17" s="206" t="str">
        <f>IF(C17="Str",'Personal File'!$C$8,IF(C17="Dex",'Personal File'!$C$9,IF(C17="Con",'Personal File'!$C$10,IF(C17="Int",'Personal File'!$C$11,IF(C17="Wis",'Personal File'!$C$12,IF(C17="Cha",'Personal File'!$C$13))))))</f>
        <v>+1</v>
      </c>
      <c r="E17" s="206" t="str">
        <f t="shared" si="4"/>
        <v>Int (+1)</v>
      </c>
      <c r="F17" s="207" t="s">
        <v>60</v>
      </c>
      <c r="G17" s="207">
        <f t="shared" si="0"/>
        <v>1</v>
      </c>
      <c r="H17" s="308">
        <f t="shared" ca="1" si="5"/>
        <v>18</v>
      </c>
      <c r="I17" s="303">
        <f t="shared" ca="1" si="1"/>
        <v>19</v>
      </c>
      <c r="J17" s="208"/>
    </row>
    <row r="18" spans="1:10" s="176" customFormat="1" ht="16.8" x14ac:dyDescent="0.3">
      <c r="A18" s="198" t="s">
        <v>46</v>
      </c>
      <c r="B18" s="167">
        <v>0</v>
      </c>
      <c r="C18" s="199" t="s">
        <v>28</v>
      </c>
      <c r="D18" s="200" t="str">
        <f>IF(C18="Str",'Personal File'!$C$8,IF(C18="Dex",'Personal File'!$C$9,IF(C18="Con",'Personal File'!$C$10,IF(C18="Int",'Personal File'!$C$11,IF(C18="Wis",'Personal File'!$C$12,IF(C18="Cha",'Personal File'!$C$13))))))</f>
        <v>+7</v>
      </c>
      <c r="E18" s="201" t="str">
        <f t="shared" si="4"/>
        <v>Cha (+7)</v>
      </c>
      <c r="F18" s="171" t="s">
        <v>60</v>
      </c>
      <c r="G18" s="171">
        <f t="shared" si="0"/>
        <v>7</v>
      </c>
      <c r="H18" s="308">
        <f t="shared" ca="1" si="5"/>
        <v>13</v>
      </c>
      <c r="I18" s="299">
        <f t="shared" ca="1" si="1"/>
        <v>20</v>
      </c>
      <c r="J18" s="158"/>
    </row>
    <row r="19" spans="1:10" s="176" customFormat="1" ht="16.8" x14ac:dyDescent="0.3">
      <c r="A19" s="209" t="s">
        <v>16</v>
      </c>
      <c r="B19" s="191">
        <v>0</v>
      </c>
      <c r="C19" s="210" t="s">
        <v>28</v>
      </c>
      <c r="D19" s="211" t="str">
        <f>IF(C19="Str",'Personal File'!$C$8,IF(C19="Dex",'Personal File'!$C$9,IF(C19="Con",'Personal File'!$C$10,IF(C19="Int",'Personal File'!$C$11,IF(C19="Wis",'Personal File'!$C$12,IF(C19="Cha",'Personal File'!$C$13))))))</f>
        <v>+7</v>
      </c>
      <c r="E19" s="211" t="str">
        <f t="shared" si="4"/>
        <v>Cha (+7)</v>
      </c>
      <c r="F19" s="194" t="s">
        <v>60</v>
      </c>
      <c r="G19" s="195">
        <f t="shared" si="0"/>
        <v>7</v>
      </c>
      <c r="H19" s="308">
        <f t="shared" ca="1" si="5"/>
        <v>8</v>
      </c>
      <c r="I19" s="302">
        <f t="shared" ca="1" si="1"/>
        <v>15</v>
      </c>
      <c r="J19" s="196"/>
    </row>
    <row r="20" spans="1:10" s="176" customFormat="1" ht="16.8" x14ac:dyDescent="0.3">
      <c r="A20" s="212" t="s">
        <v>47</v>
      </c>
      <c r="B20" s="167">
        <v>0</v>
      </c>
      <c r="C20" s="213" t="s">
        <v>31</v>
      </c>
      <c r="D20" s="214" t="str">
        <f>IF(C20="Str",'Personal File'!$C$8,IF(C20="Dex",'Personal File'!$C$9,IF(C20="Con",'Personal File'!$C$10,IF(C20="Int",'Personal File'!$C$11,IF(C20="Wis",'Personal File'!$C$12,IF(C20="Cha",'Personal File'!$C$13))))))</f>
        <v>+0</v>
      </c>
      <c r="E20" s="214" t="str">
        <f t="shared" si="4"/>
        <v>Wis (+0)</v>
      </c>
      <c r="F20" s="171" t="s">
        <v>60</v>
      </c>
      <c r="G20" s="171">
        <f t="shared" si="0"/>
        <v>0</v>
      </c>
      <c r="H20" s="308">
        <f t="shared" ca="1" si="5"/>
        <v>12</v>
      </c>
      <c r="I20" s="299">
        <f t="shared" ca="1" si="1"/>
        <v>12</v>
      </c>
      <c r="J20" s="158"/>
    </row>
    <row r="21" spans="1:10" s="176" customFormat="1" ht="16.8" x14ac:dyDescent="0.3">
      <c r="A21" s="173" t="s">
        <v>48</v>
      </c>
      <c r="B21" s="167">
        <v>0</v>
      </c>
      <c r="C21" s="174" t="s">
        <v>32</v>
      </c>
      <c r="D21" s="175" t="str">
        <f>IF(C21="Str",'Personal File'!$C$8,IF(C21="Dex",'Personal File'!$C$9,IF(C21="Con",'Personal File'!$C$10,IF(C21="Int",'Personal File'!$C$11,IF(C21="Wis",'Personal File'!$C$12,IF(C21="Cha",'Personal File'!$C$13))))))</f>
        <v>+3</v>
      </c>
      <c r="E21" s="175" t="str">
        <f t="shared" si="4"/>
        <v>Dex (+3)</v>
      </c>
      <c r="F21" s="170" t="s">
        <v>60</v>
      </c>
      <c r="G21" s="171">
        <f t="shared" si="0"/>
        <v>3</v>
      </c>
      <c r="H21" s="308">
        <f t="shared" ca="1" si="5"/>
        <v>9</v>
      </c>
      <c r="I21" s="299">
        <f t="shared" ca="1" si="1"/>
        <v>12</v>
      </c>
      <c r="J21" s="202"/>
    </row>
    <row r="22" spans="1:10" s="176" customFormat="1" ht="16.8" x14ac:dyDescent="0.3">
      <c r="A22" s="198" t="s">
        <v>49</v>
      </c>
      <c r="B22" s="167">
        <v>0</v>
      </c>
      <c r="C22" s="199" t="s">
        <v>28</v>
      </c>
      <c r="D22" s="200" t="str">
        <f>IF(C22="Str",'Personal File'!$C$8,IF(C22="Dex",'Personal File'!$C$9,IF(C22="Con",'Personal File'!$C$10,IF(C22="Int",'Personal File'!$C$11,IF(C22="Wis",'Personal File'!$C$12,IF(C22="Cha",'Personal File'!$C$13))))))</f>
        <v>+7</v>
      </c>
      <c r="E22" s="200" t="str">
        <f t="shared" si="4"/>
        <v>Cha (+7)</v>
      </c>
      <c r="F22" s="171" t="s">
        <v>60</v>
      </c>
      <c r="G22" s="171">
        <f t="shared" si="0"/>
        <v>7</v>
      </c>
      <c r="H22" s="308">
        <f t="shared" ca="1" si="5"/>
        <v>11</v>
      </c>
      <c r="I22" s="299">
        <f t="shared" ca="1" si="1"/>
        <v>18</v>
      </c>
      <c r="J22" s="158"/>
    </row>
    <row r="23" spans="1:10" s="176" customFormat="1" ht="16.8" x14ac:dyDescent="0.3">
      <c r="A23" s="180" t="s">
        <v>50</v>
      </c>
      <c r="B23" s="167">
        <v>0</v>
      </c>
      <c r="C23" s="181" t="s">
        <v>33</v>
      </c>
      <c r="D23" s="182">
        <f>IF(C23="Str",'Personal File'!$C$8,IF(C23="Dex",'Personal File'!$C$9,IF(C23="Con",'Personal File'!$C$10,IF(C23="Int",'Personal File'!$C$11,IF(C23="Wis",'Personal File'!$C$12,IF(C23="Cha",'Personal File'!$C$13))))))</f>
        <v>-1</v>
      </c>
      <c r="E23" s="182" t="str">
        <f t="shared" si="4"/>
        <v>Str (-1)</v>
      </c>
      <c r="F23" s="170" t="s">
        <v>60</v>
      </c>
      <c r="G23" s="171">
        <f t="shared" si="0"/>
        <v>-1</v>
      </c>
      <c r="H23" s="308">
        <f t="shared" ca="1" si="5"/>
        <v>8</v>
      </c>
      <c r="I23" s="299">
        <f t="shared" ca="1" si="1"/>
        <v>7</v>
      </c>
      <c r="J23" s="158"/>
    </row>
    <row r="24" spans="1:10" s="176" customFormat="1" ht="16.8" x14ac:dyDescent="0.3">
      <c r="A24" s="215" t="s">
        <v>86</v>
      </c>
      <c r="B24" s="185">
        <v>10</v>
      </c>
      <c r="C24" s="216" t="s">
        <v>30</v>
      </c>
      <c r="D24" s="217" t="str">
        <f>IF(C24="Str",'Personal File'!$C$8,IF(C24="Dex",'Personal File'!$C$9,IF(C24="Con",'Personal File'!$C$10,IF(C24="Int",'Personal File'!$C$11,IF(C24="Wis",'Personal File'!$C$12,IF(C24="Cha",'Personal File'!$C$13))))))</f>
        <v>+1</v>
      </c>
      <c r="E24" s="217" t="str">
        <f t="shared" si="4"/>
        <v>Int (+1)</v>
      </c>
      <c r="F24" s="178" t="s">
        <v>60</v>
      </c>
      <c r="G24" s="188">
        <f t="shared" si="0"/>
        <v>11</v>
      </c>
      <c r="H24" s="308">
        <f t="shared" ca="1" si="5"/>
        <v>7</v>
      </c>
      <c r="I24" s="301">
        <f t="shared" ca="1" si="1"/>
        <v>18</v>
      </c>
      <c r="J24" s="189"/>
    </row>
    <row r="25" spans="1:10" s="176" customFormat="1" ht="16.8" x14ac:dyDescent="0.3">
      <c r="A25" s="288" t="s">
        <v>155</v>
      </c>
      <c r="B25" s="232">
        <v>0</v>
      </c>
      <c r="C25" s="289" t="s">
        <v>30</v>
      </c>
      <c r="D25" s="290" t="str">
        <f>IF(C25="Str",'Personal File'!$C$8,IF(C25="Dex",'Personal File'!$C$9,IF(C25="Con",'Personal File'!$C$10,IF(C25="Int",'Personal File'!$C$11,IF(C25="Wis",'Personal File'!$C$12,IF(C25="Cha",'Personal File'!$C$13))))))</f>
        <v>+1</v>
      </c>
      <c r="E25" s="290" t="str">
        <f t="shared" ref="E25" si="6">CONCATENATE(C25," (",D25,")")</f>
        <v>Int (+1)</v>
      </c>
      <c r="F25" s="194" t="s">
        <v>60</v>
      </c>
      <c r="G25" s="235">
        <f t="shared" si="0"/>
        <v>1</v>
      </c>
      <c r="H25" s="308">
        <f t="shared" ca="1" si="5"/>
        <v>19</v>
      </c>
      <c r="I25" s="304">
        <f t="shared" ca="1" si="1"/>
        <v>20</v>
      </c>
      <c r="J25" s="291"/>
    </row>
    <row r="26" spans="1:10" s="176" customFormat="1" ht="16.8" x14ac:dyDescent="0.3">
      <c r="A26" s="212" t="s">
        <v>51</v>
      </c>
      <c r="B26" s="167">
        <v>0</v>
      </c>
      <c r="C26" s="213" t="s">
        <v>31</v>
      </c>
      <c r="D26" s="214" t="str">
        <f>IF(C26="Str",'Personal File'!$C$8,IF(C26="Dex",'Personal File'!$C$9,IF(C26="Con",'Personal File'!$C$10,IF(C26="Int",'Personal File'!$C$11,IF(C26="Wis",'Personal File'!$C$12,IF(C26="Cha",'Personal File'!$C$13))))))</f>
        <v>+0</v>
      </c>
      <c r="E26" s="385" t="str">
        <f t="shared" si="4"/>
        <v>Wis (+0)</v>
      </c>
      <c r="F26" s="171" t="s">
        <v>91</v>
      </c>
      <c r="G26" s="171">
        <f t="shared" si="0"/>
        <v>2</v>
      </c>
      <c r="H26" s="308">
        <f t="shared" ca="1" si="5"/>
        <v>17</v>
      </c>
      <c r="I26" s="299">
        <f t="shared" ca="1" si="1"/>
        <v>19</v>
      </c>
      <c r="J26" s="158"/>
    </row>
    <row r="27" spans="1:10" s="176" customFormat="1" ht="16.8" x14ac:dyDescent="0.3">
      <c r="A27" s="173" t="s">
        <v>17</v>
      </c>
      <c r="B27" s="167">
        <v>0</v>
      </c>
      <c r="C27" s="174" t="s">
        <v>32</v>
      </c>
      <c r="D27" s="175" t="str">
        <f>IF(C27="Str",'Personal File'!$C$8,IF(C27="Dex",'Personal File'!$C$9,IF(C27="Con",'Personal File'!$C$10,IF(C27="Int",'Personal File'!$C$11,IF(C27="Wis",'Personal File'!$C$12,IF(C27="Cha",'Personal File'!$C$13))))))</f>
        <v>+3</v>
      </c>
      <c r="E27" s="175" t="str">
        <f t="shared" si="4"/>
        <v>Dex (+3)</v>
      </c>
      <c r="F27" s="170" t="s">
        <v>60</v>
      </c>
      <c r="G27" s="171">
        <f t="shared" si="0"/>
        <v>3</v>
      </c>
      <c r="H27" s="308">
        <f t="shared" ca="1" si="5"/>
        <v>17</v>
      </c>
      <c r="I27" s="299">
        <f t="shared" ca="1" si="1"/>
        <v>20</v>
      </c>
      <c r="J27" s="202"/>
    </row>
    <row r="28" spans="1:10" s="176" customFormat="1" ht="16.8" x14ac:dyDescent="0.3">
      <c r="A28" s="218" t="s">
        <v>52</v>
      </c>
      <c r="B28" s="191">
        <v>0</v>
      </c>
      <c r="C28" s="219" t="s">
        <v>32</v>
      </c>
      <c r="D28" s="220" t="str">
        <f>IF(C28="Str",'Personal File'!$C$8,IF(C28="Dex",'Personal File'!$C$9,IF(C28="Con",'Personal File'!$C$10,IF(C28="Int",'Personal File'!$C$11,IF(C28="Wis",'Personal File'!$C$12,IF(C28="Cha",'Personal File'!$C$13))))))</f>
        <v>+3</v>
      </c>
      <c r="E28" s="220" t="str">
        <f t="shared" si="4"/>
        <v>Dex (+3)</v>
      </c>
      <c r="F28" s="194" t="s">
        <v>60</v>
      </c>
      <c r="G28" s="195">
        <f t="shared" si="0"/>
        <v>3</v>
      </c>
      <c r="H28" s="308">
        <f t="shared" ca="1" si="5"/>
        <v>8</v>
      </c>
      <c r="I28" s="302">
        <f t="shared" ca="1" si="1"/>
        <v>11</v>
      </c>
      <c r="J28" s="196"/>
    </row>
    <row r="29" spans="1:10" ht="16.8" x14ac:dyDescent="0.3">
      <c r="A29" s="198" t="s">
        <v>156</v>
      </c>
      <c r="B29" s="167">
        <v>0</v>
      </c>
      <c r="C29" s="199" t="s">
        <v>28</v>
      </c>
      <c r="D29" s="200" t="str">
        <f>IF(C29="Str",'Personal File'!$C$8,IF(C29="Dex",'Personal File'!$C$9,IF(C29="Con",'Personal File'!$C$10,IF(C29="Int",'Personal File'!$C$11,IF(C29="Wis",'Personal File'!$C$12,IF(C29="Cha",'Personal File'!$C$13))))))</f>
        <v>+7</v>
      </c>
      <c r="E29" s="200" t="str">
        <f t="shared" si="4"/>
        <v>Cha (+7)</v>
      </c>
      <c r="F29" s="171" t="s">
        <v>60</v>
      </c>
      <c r="G29" s="171">
        <f t="shared" si="0"/>
        <v>7</v>
      </c>
      <c r="H29" s="308">
        <f t="shared" ca="1" si="5"/>
        <v>10</v>
      </c>
      <c r="I29" s="299">
        <f t="shared" ca="1" si="1"/>
        <v>17</v>
      </c>
      <c r="J29" s="158"/>
    </row>
    <row r="30" spans="1:10" ht="16.8" x14ac:dyDescent="0.3">
      <c r="A30" s="177" t="s">
        <v>179</v>
      </c>
      <c r="B30" s="380">
        <v>5</v>
      </c>
      <c r="C30" s="381" t="s">
        <v>31</v>
      </c>
      <c r="D30" s="382" t="str">
        <f>IF(C30="Str",'Personal File'!$C$8,IF(C30="Dex",'Personal File'!$C$9,IF(C30="Con",'Personal File'!$C$10,IF(C30="Int",'Personal File'!$C$11,IF(C30="Wis",'Personal File'!$C$12,IF(C30="Cha",'Personal File'!$C$13))))))</f>
        <v>+0</v>
      </c>
      <c r="E30" s="382" t="str">
        <f t="shared" si="4"/>
        <v>Wis (+0)</v>
      </c>
      <c r="F30" s="383" t="s">
        <v>60</v>
      </c>
      <c r="G30" s="178">
        <f t="shared" si="0"/>
        <v>5</v>
      </c>
      <c r="H30" s="308">
        <f t="shared" ca="1" si="5"/>
        <v>4</v>
      </c>
      <c r="I30" s="300">
        <f t="shared" ca="1" si="1"/>
        <v>9</v>
      </c>
      <c r="J30" s="384"/>
    </row>
    <row r="31" spans="1:10" ht="16.8" x14ac:dyDescent="0.3">
      <c r="A31" s="173" t="s">
        <v>18</v>
      </c>
      <c r="B31" s="167">
        <v>0</v>
      </c>
      <c r="C31" s="174" t="s">
        <v>32</v>
      </c>
      <c r="D31" s="175" t="str">
        <f>IF(C31="Str",'Personal File'!$C$8,IF(C31="Dex",'Personal File'!$C$9,IF(C31="Con",'Personal File'!$C$10,IF(C31="Int",'Personal File'!$C$11,IF(C31="Wis",'Personal File'!$C$12,IF(C31="Cha",'Personal File'!$C$13))))))</f>
        <v>+3</v>
      </c>
      <c r="E31" s="160" t="str">
        <f t="shared" si="4"/>
        <v>Dex (+3)</v>
      </c>
      <c r="F31" s="171" t="s">
        <v>60</v>
      </c>
      <c r="G31" s="171">
        <f t="shared" si="0"/>
        <v>3</v>
      </c>
      <c r="H31" s="308">
        <f t="shared" ca="1" si="5"/>
        <v>6</v>
      </c>
      <c r="I31" s="299">
        <f t="shared" ca="1" si="1"/>
        <v>9</v>
      </c>
      <c r="J31" s="158"/>
    </row>
    <row r="32" spans="1:10" ht="16.8" x14ac:dyDescent="0.3">
      <c r="A32" s="221" t="s">
        <v>19</v>
      </c>
      <c r="B32" s="167">
        <v>0</v>
      </c>
      <c r="C32" s="168" t="s">
        <v>30</v>
      </c>
      <c r="D32" s="169" t="str">
        <f>IF(C32="Str",'Personal File'!$C$8,IF(C32="Dex",'Personal File'!$C$9,IF(C32="Con",'Personal File'!$C$10,IF(C32="Int",'Personal File'!$C$11,IF(C32="Wis",'Personal File'!$C$12,IF(C32="Cha",'Personal File'!$C$13))))))</f>
        <v>+1</v>
      </c>
      <c r="E32" s="169" t="str">
        <f t="shared" si="4"/>
        <v>Int (+1)</v>
      </c>
      <c r="F32" s="171" t="s">
        <v>60</v>
      </c>
      <c r="G32" s="171">
        <f t="shared" si="0"/>
        <v>1</v>
      </c>
      <c r="H32" s="308">
        <f t="shared" ca="1" si="5"/>
        <v>14</v>
      </c>
      <c r="I32" s="299">
        <f t="shared" ca="1" si="1"/>
        <v>15</v>
      </c>
      <c r="J32" s="202"/>
    </row>
    <row r="33" spans="1:10" ht="16.8" x14ac:dyDescent="0.3">
      <c r="A33" s="212" t="s">
        <v>53</v>
      </c>
      <c r="B33" s="167">
        <v>0</v>
      </c>
      <c r="C33" s="213" t="s">
        <v>31</v>
      </c>
      <c r="D33" s="214" t="str">
        <f>IF(C33="Str",'Personal File'!$C$8,IF(C33="Dex",'Personal File'!$C$9,IF(C33="Con",'Personal File'!$C$10,IF(C33="Int",'Personal File'!$C$11,IF(C33="Wis",'Personal File'!$C$12,IF(C33="Cha",'Personal File'!$C$13))))))</f>
        <v>+0</v>
      </c>
      <c r="E33" s="214" t="str">
        <f t="shared" si="4"/>
        <v>Wis (+0)</v>
      </c>
      <c r="F33" s="171" t="s">
        <v>60</v>
      </c>
      <c r="G33" s="171">
        <f t="shared" si="0"/>
        <v>0</v>
      </c>
      <c r="H33" s="308">
        <f t="shared" ca="1" si="5"/>
        <v>13</v>
      </c>
      <c r="I33" s="299">
        <f t="shared" ca="1" si="1"/>
        <v>13</v>
      </c>
      <c r="J33" s="158"/>
    </row>
    <row r="34" spans="1:10" ht="16.8" x14ac:dyDescent="0.3">
      <c r="A34" s="218" t="s">
        <v>88</v>
      </c>
      <c r="B34" s="191">
        <v>0</v>
      </c>
      <c r="C34" s="219" t="s">
        <v>32</v>
      </c>
      <c r="D34" s="220" t="str">
        <f>IF(C34="Str",'Personal File'!$C$8,IF(C34="Dex",'Personal File'!$C$9,IF(C34="Con",'Personal File'!$C$10,IF(C34="Int",'Personal File'!$C$11,IF(C34="Wis",'Personal File'!$C$12,IF(C34="Cha",'Personal File'!$C$13))))))</f>
        <v>+3</v>
      </c>
      <c r="E34" s="220" t="str">
        <f t="shared" si="4"/>
        <v>Dex (+3)</v>
      </c>
      <c r="F34" s="194" t="s">
        <v>60</v>
      </c>
      <c r="G34" s="195">
        <f t="shared" si="0"/>
        <v>3</v>
      </c>
      <c r="H34" s="308">
        <f t="shared" ca="1" si="5"/>
        <v>17</v>
      </c>
      <c r="I34" s="302">
        <f t="shared" ca="1" si="1"/>
        <v>20</v>
      </c>
      <c r="J34" s="196"/>
    </row>
    <row r="35" spans="1:10" ht="16.8" x14ac:dyDescent="0.3">
      <c r="A35" s="215" t="s">
        <v>54</v>
      </c>
      <c r="B35" s="185">
        <v>10</v>
      </c>
      <c r="C35" s="216" t="s">
        <v>30</v>
      </c>
      <c r="D35" s="217" t="str">
        <f>IF(C35="Str",'Personal File'!$C$8,IF(C35="Dex",'Personal File'!$C$9,IF(C35="Con",'Personal File'!$C$10,IF(C35="Int",'Personal File'!$C$11,IF(C35="Wis",'Personal File'!$C$12,IF(C35="Cha",'Personal File'!$C$13))))))</f>
        <v>+1</v>
      </c>
      <c r="E35" s="217" t="str">
        <f t="shared" si="4"/>
        <v>Int (+1)</v>
      </c>
      <c r="F35" s="178" t="s">
        <v>60</v>
      </c>
      <c r="G35" s="188">
        <f t="shared" si="0"/>
        <v>11</v>
      </c>
      <c r="H35" s="308">
        <f t="shared" ca="1" si="5"/>
        <v>16</v>
      </c>
      <c r="I35" s="301">
        <f t="shared" ca="1" si="1"/>
        <v>27</v>
      </c>
      <c r="J35" s="222"/>
    </row>
    <row r="36" spans="1:10" ht="16.8" x14ac:dyDescent="0.3">
      <c r="A36" s="212" t="s">
        <v>55</v>
      </c>
      <c r="B36" s="167">
        <v>0</v>
      </c>
      <c r="C36" s="213" t="s">
        <v>31</v>
      </c>
      <c r="D36" s="214" t="str">
        <f>IF(C36="Str",'Personal File'!$C$8,IF(C36="Dex",'Personal File'!$C$9,IF(C36="Con",'Personal File'!$C$10,IF(C36="Int",'Personal File'!$C$11,IF(C36="Wis",'Personal File'!$C$12,IF(C36="Cha",'Personal File'!$C$13))))))</f>
        <v>+0</v>
      </c>
      <c r="E36" s="214" t="str">
        <f t="shared" si="4"/>
        <v>Wis (+0)</v>
      </c>
      <c r="F36" s="171" t="s">
        <v>91</v>
      </c>
      <c r="G36" s="171">
        <f t="shared" si="0"/>
        <v>2</v>
      </c>
      <c r="H36" s="308">
        <f t="shared" ca="1" si="5"/>
        <v>10</v>
      </c>
      <c r="I36" s="299">
        <f t="shared" ca="1" si="1"/>
        <v>12</v>
      </c>
      <c r="J36" s="158"/>
    </row>
    <row r="37" spans="1:10" ht="16.8" x14ac:dyDescent="0.3">
      <c r="A37" s="223" t="s">
        <v>89</v>
      </c>
      <c r="B37" s="204">
        <v>0</v>
      </c>
      <c r="C37" s="224" t="s">
        <v>31</v>
      </c>
      <c r="D37" s="225" t="str">
        <f>IF(C37="Str",'Personal File'!$C$8,IF(C37="Dex",'Personal File'!$C$9,IF(C37="Con",'Personal File'!$C$10,IF(C37="Int",'Personal File'!$C$11,IF(C37="Wis",'Personal File'!$C$12,IF(C37="Cha",'Personal File'!$C$13))))))</f>
        <v>+0</v>
      </c>
      <c r="E37" s="225" t="str">
        <f t="shared" si="4"/>
        <v>Wis (+0)</v>
      </c>
      <c r="F37" s="207" t="s">
        <v>60</v>
      </c>
      <c r="G37" s="207">
        <f t="shared" si="0"/>
        <v>0</v>
      </c>
      <c r="H37" s="308">
        <f t="shared" ca="1" si="5"/>
        <v>2</v>
      </c>
      <c r="I37" s="303">
        <f t="shared" ca="1" si="1"/>
        <v>2</v>
      </c>
      <c r="J37" s="208"/>
    </row>
    <row r="38" spans="1:10" ht="16.8" x14ac:dyDescent="0.3">
      <c r="A38" s="180" t="s">
        <v>20</v>
      </c>
      <c r="B38" s="167">
        <v>0</v>
      </c>
      <c r="C38" s="181" t="s">
        <v>33</v>
      </c>
      <c r="D38" s="182">
        <f>IF(C38="Str",'Personal File'!$C$8,IF(C38="Dex",'Personal File'!$C$9,IF(C38="Con",'Personal File'!$C$10,IF(C38="Int",'Personal File'!$C$11,IF(C38="Wis",'Personal File'!$C$12,IF(C38="Cha",'Personal File'!$C$13))))))</f>
        <v>-1</v>
      </c>
      <c r="E38" s="182" t="str">
        <f t="shared" si="4"/>
        <v>Str (-1)</v>
      </c>
      <c r="F38" s="171" t="s">
        <v>60</v>
      </c>
      <c r="G38" s="171">
        <f t="shared" si="0"/>
        <v>-1</v>
      </c>
      <c r="H38" s="308">
        <f t="shared" ca="1" si="5"/>
        <v>16</v>
      </c>
      <c r="I38" s="299">
        <f t="shared" ca="1" si="1"/>
        <v>15</v>
      </c>
      <c r="J38" s="158"/>
    </row>
    <row r="39" spans="1:10" ht="16.8" x14ac:dyDescent="0.3">
      <c r="A39" s="226" t="s">
        <v>56</v>
      </c>
      <c r="B39" s="227">
        <v>0</v>
      </c>
      <c r="C39" s="228" t="s">
        <v>32</v>
      </c>
      <c r="D39" s="229" t="str">
        <f>IF(C39="Str",'Personal File'!$C$8,IF(C39="Dex",'Personal File'!$C$9,IF(C39="Con",'Personal File'!$C$10,IF(C39="Int",'Personal File'!$C$11,IF(C39="Wis",'Personal File'!$C$12,IF(C39="Cha",'Personal File'!$C$13))))))</f>
        <v>+3</v>
      </c>
      <c r="E39" s="229" t="str">
        <f t="shared" si="4"/>
        <v>Dex (+3)</v>
      </c>
      <c r="F39" s="194" t="s">
        <v>60</v>
      </c>
      <c r="G39" s="195">
        <f t="shared" si="0"/>
        <v>3</v>
      </c>
      <c r="H39" s="308">
        <f t="shared" ca="1" si="5"/>
        <v>3</v>
      </c>
      <c r="I39" s="302">
        <f t="shared" ca="1" si="1"/>
        <v>6</v>
      </c>
      <c r="J39" s="230"/>
    </row>
    <row r="40" spans="1:10" ht="16.8" x14ac:dyDescent="0.3">
      <c r="A40" s="231" t="s">
        <v>57</v>
      </c>
      <c r="B40" s="232">
        <v>0</v>
      </c>
      <c r="C40" s="233" t="s">
        <v>28</v>
      </c>
      <c r="D40" s="234" t="str">
        <f>IF(C40="Str",'Personal File'!$C$8,IF(C40="Dex",'Personal File'!$C$9,IF(C40="Con",'Personal File'!$C$10,IF(C40="Int",'Personal File'!$C$11,IF(C40="Wis",'Personal File'!$C$12,IF(C40="Cha",'Personal File'!$C$13))))))</f>
        <v>+7</v>
      </c>
      <c r="E40" s="234" t="str">
        <f t="shared" si="4"/>
        <v>Cha (+7)</v>
      </c>
      <c r="F40" s="194" t="s">
        <v>60</v>
      </c>
      <c r="G40" s="195">
        <f t="shared" si="0"/>
        <v>7</v>
      </c>
      <c r="H40" s="308">
        <f t="shared" ca="1" si="5"/>
        <v>19</v>
      </c>
      <c r="I40" s="302">
        <f t="shared" ca="1" si="1"/>
        <v>26</v>
      </c>
      <c r="J40" s="236"/>
    </row>
    <row r="41" spans="1:10" ht="17.399999999999999" thickBot="1" x14ac:dyDescent="0.35">
      <c r="A41" s="237" t="s">
        <v>58</v>
      </c>
      <c r="B41" s="238">
        <v>0</v>
      </c>
      <c r="C41" s="239" t="s">
        <v>32</v>
      </c>
      <c r="D41" s="240" t="str">
        <f>IF(C41="Str",'Personal File'!$C$8,IF(C41="Dex",'Personal File'!$C$9,IF(C41="Con",'Personal File'!$C$10,IF(C41="Int",'Personal File'!$C$11,IF(C41="Wis",'Personal File'!$C$12,IF(C41="Cha",'Personal File'!$C$13))))))</f>
        <v>+3</v>
      </c>
      <c r="E41" s="240" t="str">
        <f t="shared" si="4"/>
        <v>Dex (+3)</v>
      </c>
      <c r="F41" s="241" t="s">
        <v>60</v>
      </c>
      <c r="G41" s="241">
        <f t="shared" si="0"/>
        <v>3</v>
      </c>
      <c r="H41" s="309">
        <f t="shared" ca="1" si="5"/>
        <v>8</v>
      </c>
      <c r="I41" s="305">
        <f t="shared" ca="1" si="1"/>
        <v>11</v>
      </c>
      <c r="J41" s="242"/>
    </row>
    <row r="42" spans="1:10" ht="16.2" thickTop="1" x14ac:dyDescent="0.3">
      <c r="B42" s="243">
        <f>SUM(B6:B41)+B26+B36+B38</f>
        <v>39</v>
      </c>
      <c r="E42" s="374">
        <f>SUM(E43:E52)</f>
        <v>39</v>
      </c>
    </row>
    <row r="43" spans="1:10" x14ac:dyDescent="0.3">
      <c r="B43" s="243"/>
      <c r="E43" s="374">
        <f>4*(2+'Personal File'!$C$11)</f>
        <v>12</v>
      </c>
      <c r="F43" s="246" t="s">
        <v>147</v>
      </c>
    </row>
    <row r="44" spans="1:10" x14ac:dyDescent="0.3">
      <c r="E44" s="375">
        <f>2+'Personal File'!$C$11</f>
        <v>3</v>
      </c>
      <c r="F44" s="246" t="s">
        <v>148</v>
      </c>
    </row>
    <row r="45" spans="1:10" x14ac:dyDescent="0.3">
      <c r="E45" s="375">
        <f>2+'Personal File'!$C$11</f>
        <v>3</v>
      </c>
      <c r="F45" s="246" t="s">
        <v>149</v>
      </c>
    </row>
    <row r="46" spans="1:10" x14ac:dyDescent="0.3">
      <c r="E46" s="375">
        <f>2+'Personal File'!$C$11</f>
        <v>3</v>
      </c>
      <c r="F46" s="246" t="s">
        <v>150</v>
      </c>
    </row>
    <row r="47" spans="1:10" x14ac:dyDescent="0.3">
      <c r="E47" s="375">
        <f>2+'Personal File'!$C$11</f>
        <v>3</v>
      </c>
      <c r="F47" s="246" t="s">
        <v>151</v>
      </c>
    </row>
    <row r="48" spans="1:10" x14ac:dyDescent="0.3">
      <c r="E48" s="375">
        <f>2+'Personal File'!$C$11</f>
        <v>3</v>
      </c>
      <c r="F48" s="246" t="s">
        <v>152</v>
      </c>
    </row>
    <row r="49" spans="5:6" x14ac:dyDescent="0.3">
      <c r="E49" s="375">
        <f>2+'Personal File'!$C$11</f>
        <v>3</v>
      </c>
      <c r="F49" s="246" t="s">
        <v>227</v>
      </c>
    </row>
    <row r="50" spans="5:6" x14ac:dyDescent="0.3">
      <c r="E50" s="375">
        <f>2+'Personal File'!$C$11</f>
        <v>3</v>
      </c>
      <c r="F50" s="246" t="s">
        <v>228</v>
      </c>
    </row>
    <row r="51" spans="5:6" x14ac:dyDescent="0.3">
      <c r="E51" s="375">
        <f>2+'Personal File'!$C$11</f>
        <v>3</v>
      </c>
      <c r="F51" s="246" t="s">
        <v>248</v>
      </c>
    </row>
    <row r="52" spans="5:6" x14ac:dyDescent="0.3">
      <c r="E52" s="375">
        <f>2+'Personal File'!$C$11</f>
        <v>3</v>
      </c>
      <c r="F52" s="246" t="s">
        <v>249</v>
      </c>
    </row>
  </sheetData>
  <phoneticPr fontId="0" type="noConversion"/>
  <conditionalFormatting sqref="H3:H41">
    <cfRule type="cellIs" dxfId="11" priority="3" operator="equal">
      <formula>20</formula>
    </cfRule>
    <cfRule type="cellIs" dxfId="10" priority="4" operator="equal">
      <formula>1</formula>
    </cfRule>
  </conditionalFormatting>
  <conditionalFormatting sqref="H22">
    <cfRule type="cellIs" dxfId="9" priority="1" operator="equal">
      <formula>20</formula>
    </cfRule>
    <cfRule type="cellIs" dxfId="8" priority="2" operator="equal">
      <formula>1</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showGridLines="0" workbookViewId="0">
      <pane ySplit="2" topLeftCell="A3" activePane="bottomLeft" state="frozen"/>
      <selection pane="bottomLeft" activeCell="A3" sqref="A3"/>
    </sheetView>
  </sheetViews>
  <sheetFormatPr defaultColWidth="13" defaultRowHeight="15.6" x14ac:dyDescent="0.3"/>
  <cols>
    <col min="1" max="1" width="19.296875" style="135" bestFit="1" customWidth="1"/>
    <col min="2" max="2" width="13.69921875" style="135" bestFit="1" customWidth="1"/>
    <col min="3" max="3" width="13.59765625" style="151" bestFit="1" customWidth="1"/>
    <col min="4" max="4" width="11.296875" style="151" customWidth="1"/>
    <col min="5" max="5" width="7.296875" style="151" customWidth="1"/>
    <col min="6" max="7" width="13.19921875" style="151" bestFit="1" customWidth="1"/>
    <col min="8" max="8" width="21.3984375" style="135" bestFit="1" customWidth="1"/>
    <col min="9" max="9" width="5.5" style="72" bestFit="1" customWidth="1"/>
    <col min="10" max="16384" width="13" style="119"/>
  </cols>
  <sheetData>
    <row r="1" spans="1:9" ht="23.4" thickBot="1" x14ac:dyDescent="0.35">
      <c r="A1" s="137" t="s">
        <v>229</v>
      </c>
      <c r="B1" s="138"/>
      <c r="C1" s="138"/>
      <c r="D1" s="138"/>
      <c r="E1" s="138"/>
      <c r="F1" s="138"/>
      <c r="G1" s="138"/>
      <c r="H1" s="138"/>
    </row>
    <row r="2" spans="1:9" s="142" customFormat="1" ht="17.399999999999999" thickBot="1" x14ac:dyDescent="0.35">
      <c r="A2" s="139" t="s">
        <v>75</v>
      </c>
      <c r="B2" s="140" t="s">
        <v>101</v>
      </c>
      <c r="C2" s="140" t="s">
        <v>100</v>
      </c>
      <c r="D2" s="141" t="s">
        <v>99</v>
      </c>
      <c r="E2" s="141" t="s">
        <v>98</v>
      </c>
      <c r="F2" s="140" t="s">
        <v>67</v>
      </c>
      <c r="G2" s="140" t="s">
        <v>23</v>
      </c>
      <c r="H2" s="29" t="s">
        <v>142</v>
      </c>
      <c r="I2" s="30" t="s">
        <v>143</v>
      </c>
    </row>
    <row r="3" spans="1:9" ht="16.8" x14ac:dyDescent="0.3">
      <c r="A3" s="143" t="s">
        <v>134</v>
      </c>
      <c r="B3" s="1">
        <v>0</v>
      </c>
      <c r="C3" s="2" t="s">
        <v>157</v>
      </c>
      <c r="D3" s="3" t="s">
        <v>97</v>
      </c>
      <c r="E3" s="4" t="s">
        <v>96</v>
      </c>
      <c r="F3" s="4" t="s">
        <v>158</v>
      </c>
      <c r="G3" s="4" t="s">
        <v>136</v>
      </c>
      <c r="H3" s="4" t="s">
        <v>144</v>
      </c>
      <c r="I3" s="31">
        <v>219</v>
      </c>
    </row>
    <row r="4" spans="1:9" ht="16.8" x14ac:dyDescent="0.3">
      <c r="A4" s="143" t="s">
        <v>171</v>
      </c>
      <c r="B4" s="1">
        <v>0</v>
      </c>
      <c r="C4" s="27" t="s">
        <v>200</v>
      </c>
      <c r="D4" s="3" t="s">
        <v>97</v>
      </c>
      <c r="E4" s="28" t="s">
        <v>96</v>
      </c>
      <c r="F4" s="4" t="s">
        <v>201</v>
      </c>
      <c r="G4" s="4" t="s">
        <v>202</v>
      </c>
      <c r="H4" s="4" t="s">
        <v>144</v>
      </c>
      <c r="I4" s="31">
        <v>219</v>
      </c>
    </row>
    <row r="5" spans="1:9" ht="16.8" x14ac:dyDescent="0.3">
      <c r="A5" s="144" t="s">
        <v>180</v>
      </c>
      <c r="B5" s="24">
        <v>0</v>
      </c>
      <c r="C5" s="391" t="s">
        <v>203</v>
      </c>
      <c r="D5" s="392" t="s">
        <v>204</v>
      </c>
      <c r="E5" s="314" t="s">
        <v>96</v>
      </c>
      <c r="F5" s="314" t="s">
        <v>205</v>
      </c>
      <c r="G5" s="314" t="s">
        <v>202</v>
      </c>
      <c r="H5" s="314" t="s">
        <v>206</v>
      </c>
      <c r="I5" s="393">
        <v>130</v>
      </c>
    </row>
    <row r="6" spans="1:9" ht="16.8" x14ac:dyDescent="0.3">
      <c r="A6" s="143" t="s">
        <v>181</v>
      </c>
      <c r="B6" s="1">
        <v>0</v>
      </c>
      <c r="C6" s="391" t="s">
        <v>203</v>
      </c>
      <c r="D6" s="392" t="s">
        <v>207</v>
      </c>
      <c r="E6" s="314" t="s">
        <v>96</v>
      </c>
      <c r="F6" s="314" t="s">
        <v>205</v>
      </c>
      <c r="G6" s="314" t="s">
        <v>202</v>
      </c>
      <c r="H6" s="314" t="s">
        <v>206</v>
      </c>
      <c r="I6" s="393">
        <v>130</v>
      </c>
    </row>
    <row r="7" spans="1:9" ht="16.8" x14ac:dyDescent="0.3">
      <c r="A7" s="143" t="s">
        <v>182</v>
      </c>
      <c r="B7" s="1">
        <v>0</v>
      </c>
      <c r="C7" s="2" t="s">
        <v>203</v>
      </c>
      <c r="D7" s="3" t="s">
        <v>97</v>
      </c>
      <c r="E7" s="28" t="s">
        <v>96</v>
      </c>
      <c r="F7" s="4" t="s">
        <v>201</v>
      </c>
      <c r="G7" s="4" t="s">
        <v>15</v>
      </c>
      <c r="H7" s="4" t="s">
        <v>144</v>
      </c>
      <c r="I7" s="31">
        <v>249</v>
      </c>
    </row>
    <row r="8" spans="1:9" ht="16.8" x14ac:dyDescent="0.3">
      <c r="A8" s="143" t="s">
        <v>183</v>
      </c>
      <c r="B8" s="1">
        <v>0</v>
      </c>
      <c r="C8" s="2" t="s">
        <v>208</v>
      </c>
      <c r="D8" s="3" t="s">
        <v>97</v>
      </c>
      <c r="E8" s="28" t="s">
        <v>96</v>
      </c>
      <c r="F8" s="4" t="s">
        <v>201</v>
      </c>
      <c r="G8" s="4" t="s">
        <v>202</v>
      </c>
      <c r="H8" s="4" t="s">
        <v>144</v>
      </c>
      <c r="I8" s="31">
        <v>269</v>
      </c>
    </row>
    <row r="9" spans="1:9" ht="16.8" x14ac:dyDescent="0.3">
      <c r="A9" s="143" t="s">
        <v>184</v>
      </c>
      <c r="B9" s="1">
        <v>0</v>
      </c>
      <c r="C9" s="27" t="s">
        <v>157</v>
      </c>
      <c r="D9" s="3" t="s">
        <v>209</v>
      </c>
      <c r="E9" s="28" t="s">
        <v>96</v>
      </c>
      <c r="F9" s="4" t="s">
        <v>210</v>
      </c>
      <c r="G9" s="4" t="s">
        <v>211</v>
      </c>
      <c r="H9" s="4" t="s">
        <v>144</v>
      </c>
      <c r="I9" s="31">
        <v>269</v>
      </c>
    </row>
    <row r="10" spans="1:9" ht="16.8" x14ac:dyDescent="0.3">
      <c r="A10" s="143" t="s">
        <v>258</v>
      </c>
      <c r="B10" s="1">
        <v>0</v>
      </c>
      <c r="C10" s="27" t="s">
        <v>208</v>
      </c>
      <c r="D10" s="3" t="s">
        <v>97</v>
      </c>
      <c r="E10" s="28" t="s">
        <v>96</v>
      </c>
      <c r="F10" s="4" t="s">
        <v>201</v>
      </c>
      <c r="G10" s="4" t="s">
        <v>202</v>
      </c>
      <c r="H10" s="4" t="s">
        <v>144</v>
      </c>
      <c r="I10" s="31">
        <v>196</v>
      </c>
    </row>
    <row r="11" spans="1:9" ht="16.8" x14ac:dyDescent="0.3">
      <c r="A11" s="145" t="s">
        <v>185</v>
      </c>
      <c r="B11" s="7">
        <v>0</v>
      </c>
      <c r="C11" s="5" t="s">
        <v>212</v>
      </c>
      <c r="D11" s="6" t="s">
        <v>97</v>
      </c>
      <c r="E11" s="25" t="s">
        <v>96</v>
      </c>
      <c r="F11" s="26" t="s">
        <v>201</v>
      </c>
      <c r="G11" s="26" t="s">
        <v>202</v>
      </c>
      <c r="H11" s="32" t="s">
        <v>206</v>
      </c>
      <c r="I11" s="34">
        <v>195</v>
      </c>
    </row>
    <row r="12" spans="1:9" ht="16.8" x14ac:dyDescent="0.3">
      <c r="A12" s="144" t="s">
        <v>186</v>
      </c>
      <c r="B12" s="24">
        <v>1</v>
      </c>
      <c r="C12" s="27" t="s">
        <v>213</v>
      </c>
      <c r="D12" s="392" t="s">
        <v>209</v>
      </c>
      <c r="E12" s="28" t="s">
        <v>96</v>
      </c>
      <c r="F12" s="4" t="s">
        <v>201</v>
      </c>
      <c r="G12" s="314" t="s">
        <v>214</v>
      </c>
      <c r="H12" s="314" t="s">
        <v>215</v>
      </c>
      <c r="I12" s="31">
        <v>98</v>
      </c>
    </row>
    <row r="13" spans="1:9" ht="16.8" x14ac:dyDescent="0.3">
      <c r="A13" s="146" t="s">
        <v>187</v>
      </c>
      <c r="B13" s="147">
        <v>1</v>
      </c>
      <c r="C13" s="313" t="s">
        <v>208</v>
      </c>
      <c r="D13" s="3" t="s">
        <v>204</v>
      </c>
      <c r="E13" s="28" t="s">
        <v>216</v>
      </c>
      <c r="F13" s="4" t="s">
        <v>217</v>
      </c>
      <c r="G13" s="314" t="s">
        <v>202</v>
      </c>
      <c r="H13" s="314" t="s">
        <v>215</v>
      </c>
      <c r="I13" s="31">
        <v>110</v>
      </c>
    </row>
    <row r="14" spans="1:9" ht="16.8" x14ac:dyDescent="0.3">
      <c r="A14" s="146" t="s">
        <v>188</v>
      </c>
      <c r="B14" s="147">
        <v>1</v>
      </c>
      <c r="C14" s="27" t="s">
        <v>208</v>
      </c>
      <c r="D14" s="3" t="s">
        <v>97</v>
      </c>
      <c r="E14" s="4" t="s">
        <v>96</v>
      </c>
      <c r="F14" s="4" t="s">
        <v>201</v>
      </c>
      <c r="G14" s="314" t="s">
        <v>202</v>
      </c>
      <c r="H14" s="314" t="s">
        <v>215</v>
      </c>
      <c r="I14" s="31">
        <v>115</v>
      </c>
    </row>
    <row r="15" spans="1:9" ht="16.8" x14ac:dyDescent="0.3">
      <c r="A15" s="146" t="s">
        <v>189</v>
      </c>
      <c r="B15" s="147">
        <v>1</v>
      </c>
      <c r="C15" s="27" t="s">
        <v>208</v>
      </c>
      <c r="D15" s="3" t="s">
        <v>97</v>
      </c>
      <c r="E15" s="4" t="s">
        <v>96</v>
      </c>
      <c r="F15" s="4" t="s">
        <v>201</v>
      </c>
      <c r="G15" s="314" t="s">
        <v>202</v>
      </c>
      <c r="H15" s="314" t="s">
        <v>215</v>
      </c>
      <c r="I15" s="31">
        <v>116</v>
      </c>
    </row>
    <row r="16" spans="1:9" ht="16.8" x14ac:dyDescent="0.3">
      <c r="A16" s="278" t="s">
        <v>190</v>
      </c>
      <c r="B16" s="279">
        <v>1</v>
      </c>
      <c r="C16" s="148" t="s">
        <v>200</v>
      </c>
      <c r="D16" s="25" t="s">
        <v>218</v>
      </c>
      <c r="E16" s="149" t="s">
        <v>96</v>
      </c>
      <c r="F16" s="26" t="s">
        <v>210</v>
      </c>
      <c r="G16" s="26" t="s">
        <v>219</v>
      </c>
      <c r="H16" s="33" t="s">
        <v>144</v>
      </c>
      <c r="I16" s="280">
        <v>296</v>
      </c>
    </row>
    <row r="17" spans="1:9" ht="16.8" x14ac:dyDescent="0.3">
      <c r="A17" s="329" t="s">
        <v>191</v>
      </c>
      <c r="B17" s="330">
        <v>2</v>
      </c>
      <c r="C17" s="331" t="s">
        <v>212</v>
      </c>
      <c r="D17" s="3" t="s">
        <v>204</v>
      </c>
      <c r="E17" s="332" t="s">
        <v>96</v>
      </c>
      <c r="F17" s="333" t="s">
        <v>205</v>
      </c>
      <c r="G17" s="333" t="s">
        <v>202</v>
      </c>
      <c r="H17" s="334" t="s">
        <v>206</v>
      </c>
      <c r="I17" s="335">
        <v>50</v>
      </c>
    </row>
    <row r="18" spans="1:9" ht="16.8" x14ac:dyDescent="0.3">
      <c r="A18" s="144" t="s">
        <v>259</v>
      </c>
      <c r="B18" s="24">
        <v>2</v>
      </c>
      <c r="C18" s="27" t="s">
        <v>212</v>
      </c>
      <c r="D18" s="3" t="s">
        <v>97</v>
      </c>
      <c r="E18" s="28" t="s">
        <v>96</v>
      </c>
      <c r="F18" s="4" t="s">
        <v>201</v>
      </c>
      <c r="G18" s="4" t="s">
        <v>202</v>
      </c>
      <c r="H18" s="4" t="s">
        <v>260</v>
      </c>
      <c r="I18" s="31">
        <v>90</v>
      </c>
    </row>
    <row r="19" spans="1:9" ht="16.8" x14ac:dyDescent="0.3">
      <c r="A19" s="144" t="s">
        <v>192</v>
      </c>
      <c r="B19" s="24">
        <v>2</v>
      </c>
      <c r="C19" s="27" t="s">
        <v>208</v>
      </c>
      <c r="D19" s="3" t="s">
        <v>204</v>
      </c>
      <c r="E19" s="28" t="s">
        <v>96</v>
      </c>
      <c r="F19" s="4" t="s">
        <v>220</v>
      </c>
      <c r="G19" s="4" t="s">
        <v>202</v>
      </c>
      <c r="H19" s="4" t="s">
        <v>221</v>
      </c>
      <c r="I19" s="31">
        <v>112</v>
      </c>
    </row>
    <row r="20" spans="1:9" ht="16.8" x14ac:dyDescent="0.3">
      <c r="A20" s="145" t="s">
        <v>193</v>
      </c>
      <c r="B20" s="7">
        <v>2</v>
      </c>
      <c r="C20" s="336" t="s">
        <v>208</v>
      </c>
      <c r="D20" s="6" t="s">
        <v>204</v>
      </c>
      <c r="E20" s="337" t="s">
        <v>96</v>
      </c>
      <c r="F20" s="338" t="s">
        <v>217</v>
      </c>
      <c r="G20" s="338" t="s">
        <v>211</v>
      </c>
      <c r="H20" s="33" t="s">
        <v>144</v>
      </c>
      <c r="I20" s="339">
        <v>301</v>
      </c>
    </row>
    <row r="21" spans="1:9" ht="16.8" x14ac:dyDescent="0.3">
      <c r="A21" s="144" t="s">
        <v>245</v>
      </c>
      <c r="B21" s="24">
        <v>3</v>
      </c>
      <c r="C21" s="27" t="s">
        <v>203</v>
      </c>
      <c r="D21" s="3" t="s">
        <v>246</v>
      </c>
      <c r="E21" s="28" t="s">
        <v>96</v>
      </c>
      <c r="F21" s="4" t="s">
        <v>210</v>
      </c>
      <c r="G21" s="4" t="s">
        <v>211</v>
      </c>
      <c r="H21" s="4" t="s">
        <v>206</v>
      </c>
      <c r="I21" s="31">
        <v>73</v>
      </c>
    </row>
    <row r="22" spans="1:9" ht="16.8" x14ac:dyDescent="0.3">
      <c r="A22" s="144" t="s">
        <v>257</v>
      </c>
      <c r="B22" s="24">
        <v>3</v>
      </c>
      <c r="C22" s="27" t="s">
        <v>212</v>
      </c>
      <c r="D22" s="3" t="s">
        <v>204</v>
      </c>
      <c r="E22" s="28" t="s">
        <v>96</v>
      </c>
      <c r="F22" s="4" t="s">
        <v>220</v>
      </c>
      <c r="G22" s="4" t="s">
        <v>202</v>
      </c>
      <c r="H22" s="4" t="s">
        <v>144</v>
      </c>
      <c r="I22" s="434">
        <v>231</v>
      </c>
    </row>
    <row r="23" spans="1:9" ht="16.8" x14ac:dyDescent="0.3">
      <c r="A23" s="145" t="s">
        <v>194</v>
      </c>
      <c r="B23" s="7">
        <v>3</v>
      </c>
      <c r="C23" s="336" t="s">
        <v>212</v>
      </c>
      <c r="D23" s="6" t="s">
        <v>204</v>
      </c>
      <c r="E23" s="337" t="s">
        <v>96</v>
      </c>
      <c r="F23" s="338" t="s">
        <v>244</v>
      </c>
      <c r="G23" s="338" t="s">
        <v>202</v>
      </c>
      <c r="H23" s="338" t="s">
        <v>206</v>
      </c>
      <c r="I23" s="339">
        <v>165</v>
      </c>
    </row>
    <row r="24" spans="1:9" ht="16.8" x14ac:dyDescent="0.3">
      <c r="A24" s="144" t="s">
        <v>195</v>
      </c>
      <c r="B24" s="24">
        <v>4</v>
      </c>
      <c r="C24" s="27" t="s">
        <v>208</v>
      </c>
      <c r="D24" s="3" t="s">
        <v>97</v>
      </c>
      <c r="E24" s="28" t="s">
        <v>96</v>
      </c>
      <c r="F24" s="4" t="s">
        <v>201</v>
      </c>
      <c r="G24" s="4" t="s">
        <v>202</v>
      </c>
      <c r="H24" s="4" t="s">
        <v>215</v>
      </c>
      <c r="I24" s="31">
        <v>115</v>
      </c>
    </row>
    <row r="25" spans="1:9" ht="16.8" x14ac:dyDescent="0.3">
      <c r="A25" s="145" t="s">
        <v>261</v>
      </c>
      <c r="B25" s="7">
        <v>4</v>
      </c>
      <c r="C25" s="336" t="s">
        <v>208</v>
      </c>
      <c r="D25" s="6" t="s">
        <v>204</v>
      </c>
      <c r="E25" s="337" t="s">
        <v>96</v>
      </c>
      <c r="F25" s="338" t="s">
        <v>158</v>
      </c>
      <c r="G25" s="338" t="s">
        <v>202</v>
      </c>
      <c r="H25" s="338" t="s">
        <v>215</v>
      </c>
      <c r="I25" s="339">
        <v>99</v>
      </c>
    </row>
    <row r="26" spans="1:9" ht="17.399999999999999" thickBot="1" x14ac:dyDescent="0.35">
      <c r="A26" s="348" t="s">
        <v>262</v>
      </c>
      <c r="B26" s="349">
        <v>5</v>
      </c>
      <c r="C26" s="350" t="s">
        <v>208</v>
      </c>
      <c r="D26" s="351" t="s">
        <v>97</v>
      </c>
      <c r="E26" s="435" t="s">
        <v>96</v>
      </c>
      <c r="F26" s="352" t="s">
        <v>217</v>
      </c>
      <c r="G26" s="352" t="s">
        <v>136</v>
      </c>
      <c r="H26" s="352" t="s">
        <v>144</v>
      </c>
      <c r="I26" s="353">
        <v>210</v>
      </c>
    </row>
    <row r="27" spans="1:9" ht="16.2" thickTop="1" x14ac:dyDescent="0.3">
      <c r="A27" s="15"/>
      <c r="B27" s="70" t="s">
        <v>137</v>
      </c>
      <c r="C27" s="405" t="s">
        <v>255</v>
      </c>
      <c r="D27" s="119"/>
      <c r="E27" s="119"/>
      <c r="F27" s="119"/>
      <c r="G27" s="119"/>
      <c r="H27" s="119"/>
    </row>
    <row r="28" spans="1:9" x14ac:dyDescent="0.3">
      <c r="A28" s="15"/>
      <c r="B28" s="70" t="s">
        <v>138</v>
      </c>
      <c r="C28" s="405" t="s">
        <v>256</v>
      </c>
      <c r="D28" s="119"/>
      <c r="E28" s="119"/>
      <c r="F28" s="119"/>
      <c r="G28" s="119"/>
      <c r="H28" s="119"/>
    </row>
    <row r="29" spans="1:9" x14ac:dyDescent="0.3">
      <c r="A29" s="119"/>
      <c r="B29" s="119"/>
      <c r="C29" s="119"/>
      <c r="D29" s="119"/>
      <c r="E29" s="119"/>
      <c r="F29" s="119"/>
      <c r="G29" s="119"/>
      <c r="H29" s="119"/>
    </row>
    <row r="30" spans="1:9" x14ac:dyDescent="0.3">
      <c r="A30" s="72"/>
      <c r="B30" s="150"/>
    </row>
  </sheetData>
  <sortState ref="A3:I15">
    <sortCondition ref="B3:B15"/>
    <sortCondition ref="A3:A15"/>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1"/>
  <sheetViews>
    <sheetView showGridLines="0" workbookViewId="0"/>
  </sheetViews>
  <sheetFormatPr defaultColWidth="13" defaultRowHeight="15.6" x14ac:dyDescent="0.3"/>
  <cols>
    <col min="1" max="1" width="14.59765625" style="70" bestFit="1" customWidth="1"/>
    <col min="2" max="2" width="4.19921875" style="135" bestFit="1" customWidth="1"/>
    <col min="3" max="3" width="3.8984375" style="135" bestFit="1" customWidth="1"/>
    <col min="4" max="4" width="4.5" style="135" customWidth="1"/>
    <col min="5" max="5" width="4.5" style="135" bestFit="1" customWidth="1"/>
    <col min="6" max="11" width="4.19921875" style="135" bestFit="1" customWidth="1"/>
    <col min="12" max="12" width="1.5" style="118" customWidth="1"/>
    <col min="13" max="13" width="22.5" style="118" bestFit="1" customWidth="1"/>
    <col min="14" max="14" width="1.5" style="118" customWidth="1"/>
    <col min="15" max="15" width="31.796875" style="118" bestFit="1" customWidth="1"/>
    <col min="16" max="16384" width="13" style="118"/>
  </cols>
  <sheetData>
    <row r="1" spans="1:15" s="37" customFormat="1" ht="24" thickTop="1" thickBot="1" x14ac:dyDescent="0.35">
      <c r="A1" s="72"/>
      <c r="B1" s="110" t="s">
        <v>118</v>
      </c>
      <c r="C1" s="111"/>
      <c r="D1" s="111"/>
      <c r="E1" s="111"/>
      <c r="F1" s="111"/>
      <c r="G1" s="111"/>
      <c r="H1" s="111"/>
      <c r="I1" s="111"/>
      <c r="J1" s="111"/>
      <c r="K1" s="112"/>
      <c r="M1" s="113" t="s">
        <v>95</v>
      </c>
      <c r="O1" s="113" t="s">
        <v>122</v>
      </c>
    </row>
    <row r="2" spans="1:15" s="119" customFormat="1" ht="17.399999999999999" thickBot="1" x14ac:dyDescent="0.35">
      <c r="A2" s="72"/>
      <c r="B2" s="114" t="s">
        <v>103</v>
      </c>
      <c r="C2" s="115" t="s">
        <v>104</v>
      </c>
      <c r="D2" s="115" t="s">
        <v>105</v>
      </c>
      <c r="E2" s="115" t="s">
        <v>106</v>
      </c>
      <c r="F2" s="116" t="s">
        <v>107</v>
      </c>
      <c r="G2" s="115" t="s">
        <v>108</v>
      </c>
      <c r="H2" s="115" t="s">
        <v>109</v>
      </c>
      <c r="I2" s="115" t="s">
        <v>110</v>
      </c>
      <c r="J2" s="116" t="s">
        <v>111</v>
      </c>
      <c r="K2" s="117" t="s">
        <v>112</v>
      </c>
      <c r="M2" s="398" t="s">
        <v>241</v>
      </c>
      <c r="O2" s="120" t="s">
        <v>123</v>
      </c>
    </row>
    <row r="3" spans="1:15" ht="17.399999999999999" thickTop="1" x14ac:dyDescent="0.3">
      <c r="A3" s="121" t="s">
        <v>115</v>
      </c>
      <c r="B3" s="396">
        <v>6</v>
      </c>
      <c r="C3" s="397">
        <v>6</v>
      </c>
      <c r="D3" s="397">
        <v>6</v>
      </c>
      <c r="E3" s="397">
        <v>6</v>
      </c>
      <c r="F3" s="397">
        <v>5</v>
      </c>
      <c r="G3" s="397">
        <v>3</v>
      </c>
      <c r="H3" s="122">
        <v>0</v>
      </c>
      <c r="I3" s="122">
        <v>0</v>
      </c>
      <c r="J3" s="122">
        <v>0</v>
      </c>
      <c r="K3" s="123">
        <v>0</v>
      </c>
      <c r="M3" s="399" t="s">
        <v>238</v>
      </c>
      <c r="O3" s="120" t="s">
        <v>125</v>
      </c>
    </row>
    <row r="4" spans="1:15" ht="16.8" x14ac:dyDescent="0.3">
      <c r="A4" s="128" t="s">
        <v>114</v>
      </c>
      <c r="B4" s="124">
        <v>0</v>
      </c>
      <c r="C4" s="125">
        <v>1</v>
      </c>
      <c r="D4" s="125">
        <v>1</v>
      </c>
      <c r="E4" s="125">
        <v>1</v>
      </c>
      <c r="F4" s="125">
        <v>1</v>
      </c>
      <c r="G4" s="125">
        <v>1</v>
      </c>
      <c r="H4" s="126">
        <v>0</v>
      </c>
      <c r="I4" s="126">
        <v>0</v>
      </c>
      <c r="J4" s="126">
        <v>0</v>
      </c>
      <c r="K4" s="127">
        <v>0</v>
      </c>
      <c r="M4" s="398" t="s">
        <v>240</v>
      </c>
      <c r="O4" s="120" t="s">
        <v>124</v>
      </c>
    </row>
    <row r="5" spans="1:15" ht="17.399999999999999" thickBot="1" x14ac:dyDescent="0.35">
      <c r="A5" s="129" t="s">
        <v>113</v>
      </c>
      <c r="B5" s="130">
        <f t="shared" ref="B5:K5" si="0">SUM(B3:B4)</f>
        <v>6</v>
      </c>
      <c r="C5" s="131">
        <f t="shared" si="0"/>
        <v>7</v>
      </c>
      <c r="D5" s="131">
        <f t="shared" si="0"/>
        <v>7</v>
      </c>
      <c r="E5" s="131">
        <f t="shared" ref="E5" si="1">SUM(E3:E4)</f>
        <v>7</v>
      </c>
      <c r="F5" s="131">
        <f t="shared" ref="F5:G5" si="2">SUM(F3:F4)</f>
        <v>6</v>
      </c>
      <c r="G5" s="131">
        <f t="shared" si="2"/>
        <v>4</v>
      </c>
      <c r="H5" s="132">
        <f t="shared" si="0"/>
        <v>0</v>
      </c>
      <c r="I5" s="132">
        <f t="shared" si="0"/>
        <v>0</v>
      </c>
      <c r="J5" s="132">
        <f t="shared" si="0"/>
        <v>0</v>
      </c>
      <c r="K5" s="133">
        <f t="shared" si="0"/>
        <v>0</v>
      </c>
      <c r="M5" s="399" t="s">
        <v>239</v>
      </c>
      <c r="O5" s="120" t="s">
        <v>127</v>
      </c>
    </row>
    <row r="6" spans="1:15" ht="18" thickTop="1" thickBot="1" x14ac:dyDescent="0.35">
      <c r="A6" s="346" t="s">
        <v>170</v>
      </c>
      <c r="B6" s="376">
        <f>10+LEFT(B2,1)+'Personal File'!$C$13</f>
        <v>17</v>
      </c>
      <c r="C6" s="377">
        <f>10+LEFT(C2,1)+'Personal File'!$C$13</f>
        <v>18</v>
      </c>
      <c r="D6" s="377">
        <f>10+LEFT(D2,1)+'Personal File'!$C$13</f>
        <v>19</v>
      </c>
      <c r="E6" s="377">
        <f>10+LEFT(E2,1)+'Personal File'!$C$13</f>
        <v>20</v>
      </c>
      <c r="F6" s="377">
        <f>10+LEFT(F2,1)+'Personal File'!$C$13</f>
        <v>21</v>
      </c>
      <c r="G6" s="377">
        <f>10+LEFT(G2,1)+'Personal File'!$C$13</f>
        <v>22</v>
      </c>
      <c r="H6" s="378">
        <f>10+LEFT(H2,1)+'Personal File'!$C$13</f>
        <v>23</v>
      </c>
      <c r="I6" s="378">
        <f>10+LEFT(I2,1)+'Personal File'!$C$13</f>
        <v>24</v>
      </c>
      <c r="J6" s="378">
        <f>10+LEFT(J2,1)+'Personal File'!$C$13</f>
        <v>25</v>
      </c>
      <c r="K6" s="379">
        <f>10+LEFT(K2,1)+'Personal File'!$C$13</f>
        <v>26</v>
      </c>
      <c r="M6" s="436" t="s">
        <v>267</v>
      </c>
      <c r="O6" s="136" t="s">
        <v>126</v>
      </c>
    </row>
    <row r="7" spans="1:15" ht="16.8" thickTop="1" thickBot="1" x14ac:dyDescent="0.35">
      <c r="A7" s="347" t="s">
        <v>117</v>
      </c>
      <c r="B7" s="344">
        <v>0</v>
      </c>
      <c r="C7" s="345">
        <v>0</v>
      </c>
      <c r="D7" s="345">
        <v>1</v>
      </c>
      <c r="E7" s="345">
        <v>5</v>
      </c>
      <c r="F7" s="345">
        <v>3</v>
      </c>
      <c r="G7" s="345">
        <v>4</v>
      </c>
      <c r="H7" s="132">
        <v>0</v>
      </c>
      <c r="I7" s="132">
        <v>0</v>
      </c>
      <c r="J7" s="132">
        <v>0</v>
      </c>
      <c r="K7" s="133">
        <v>0</v>
      </c>
      <c r="M7" s="119"/>
      <c r="O7" s="37"/>
    </row>
    <row r="8" spans="1:15" ht="24" thickTop="1" thickBot="1" x14ac:dyDescent="0.35">
      <c r="A8" s="15"/>
      <c r="C8" s="70" t="s">
        <v>225</v>
      </c>
      <c r="D8" s="395">
        <f>'Personal File'!E3+'Personal File'!E4</f>
        <v>10</v>
      </c>
      <c r="E8" s="118"/>
      <c r="F8" s="118"/>
      <c r="G8" s="118"/>
      <c r="H8" s="118"/>
      <c r="I8" s="118"/>
      <c r="J8" s="118"/>
      <c r="K8" s="118"/>
      <c r="M8" s="293" t="s">
        <v>76</v>
      </c>
      <c r="O8" s="113" t="s">
        <v>139</v>
      </c>
    </row>
    <row r="9" spans="1:15" ht="17.399999999999999" thickBot="1" x14ac:dyDescent="0.35">
      <c r="A9" s="37"/>
      <c r="B9" s="118"/>
      <c r="C9" s="118"/>
      <c r="D9" s="118"/>
      <c r="E9" s="118"/>
      <c r="F9" s="118"/>
      <c r="G9" s="118"/>
      <c r="H9" s="118"/>
      <c r="I9" s="118"/>
      <c r="J9" s="118"/>
      <c r="K9" s="118"/>
      <c r="M9" s="134" t="s">
        <v>266</v>
      </c>
      <c r="O9" s="120" t="s">
        <v>116</v>
      </c>
    </row>
    <row r="10" spans="1:15" ht="18" thickTop="1" thickBot="1" x14ac:dyDescent="0.35">
      <c r="I10" s="118"/>
      <c r="J10" s="118"/>
      <c r="K10" s="118"/>
      <c r="O10" s="120" t="s">
        <v>235</v>
      </c>
    </row>
    <row r="11" spans="1:15" ht="22.2" thickTop="1" thickBot="1" x14ac:dyDescent="0.35">
      <c r="M11" s="433" t="s">
        <v>224</v>
      </c>
      <c r="O11" s="120" t="s">
        <v>230</v>
      </c>
    </row>
    <row r="12" spans="1:15" ht="16.8" x14ac:dyDescent="0.3">
      <c r="L12" s="135"/>
      <c r="M12" s="431" t="s">
        <v>250</v>
      </c>
      <c r="O12" s="120" t="s">
        <v>253</v>
      </c>
    </row>
    <row r="13" spans="1:15" ht="16.8" x14ac:dyDescent="0.3">
      <c r="K13" s="428"/>
      <c r="M13" s="394" t="s">
        <v>251</v>
      </c>
      <c r="O13" s="120" t="s">
        <v>254</v>
      </c>
    </row>
    <row r="14" spans="1:15" ht="17.399999999999999" thickBot="1" x14ac:dyDescent="0.35">
      <c r="M14" s="432" t="s">
        <v>252</v>
      </c>
      <c r="O14" s="136" t="s">
        <v>226</v>
      </c>
    </row>
    <row r="15" spans="1:15" ht="16.8" thickTop="1" thickBot="1" x14ac:dyDescent="0.35"/>
    <row r="16" spans="1:15" ht="24" thickTop="1" thickBot="1" x14ac:dyDescent="0.35">
      <c r="O16" s="429" t="s">
        <v>236</v>
      </c>
    </row>
    <row r="17" spans="15:15" ht="17.399999999999999" thickBot="1" x14ac:dyDescent="0.35">
      <c r="O17" s="134" t="s">
        <v>237</v>
      </c>
    </row>
    <row r="18" spans="15:15" ht="16.8" thickTop="1" thickBot="1" x14ac:dyDescent="0.35"/>
    <row r="19" spans="15:15" ht="24" thickTop="1" thickBot="1" x14ac:dyDescent="0.35">
      <c r="O19" s="23" t="s">
        <v>92</v>
      </c>
    </row>
    <row r="20" spans="15:15" ht="17.399999999999999" thickBot="1" x14ac:dyDescent="0.35">
      <c r="O20" s="134" t="s">
        <v>153</v>
      </c>
    </row>
    <row r="21" spans="15:15" ht="16.2" thickTop="1" x14ac:dyDescent="0.3"/>
  </sheetData>
  <sortState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showGridLines="0" workbookViewId="0"/>
  </sheetViews>
  <sheetFormatPr defaultColWidth="13" defaultRowHeight="15.6" x14ac:dyDescent="0.3"/>
  <cols>
    <col min="1" max="1" width="23.09765625" style="43" bestFit="1" customWidth="1"/>
    <col min="2" max="2" width="7.09765625" style="43" bestFit="1" customWidth="1"/>
    <col min="3" max="3" width="6.5" style="43" bestFit="1" customWidth="1"/>
    <col min="4" max="4" width="8.19921875" style="43" customWidth="1"/>
    <col min="5" max="5" width="8.3984375" style="43" customWidth="1"/>
    <col min="6" max="6" width="8.3984375" style="43" bestFit="1" customWidth="1"/>
    <col min="7" max="10" width="5.59765625" style="43" customWidth="1"/>
    <col min="11" max="11" width="26.59765625" style="43" customWidth="1"/>
    <col min="12" max="12" width="2.8984375" style="37" customWidth="1"/>
    <col min="13" max="13" width="5.69921875" style="37" bestFit="1" customWidth="1"/>
    <col min="14" max="16384" width="13" style="37"/>
  </cols>
  <sheetData>
    <row r="1" spans="1:13" ht="23.4" thickBot="1" x14ac:dyDescent="0.35">
      <c r="A1" s="35" t="s">
        <v>21</v>
      </c>
      <c r="B1" s="35"/>
      <c r="C1" s="35"/>
      <c r="D1" s="35"/>
      <c r="E1" s="35"/>
      <c r="F1" s="35"/>
      <c r="G1" s="35"/>
      <c r="H1" s="35"/>
      <c r="I1" s="35"/>
      <c r="J1" s="35"/>
      <c r="K1" s="35"/>
    </row>
    <row r="2" spans="1:13" ht="16.8" thickTop="1" thickBot="1" x14ac:dyDescent="0.35">
      <c r="A2" s="73" t="s">
        <v>5</v>
      </c>
      <c r="B2" s="74" t="s">
        <v>6</v>
      </c>
      <c r="C2" s="75" t="s">
        <v>140</v>
      </c>
      <c r="D2" s="76" t="s">
        <v>24</v>
      </c>
      <c r="E2" s="77" t="s">
        <v>66</v>
      </c>
      <c r="F2" s="76" t="s">
        <v>22</v>
      </c>
      <c r="G2" s="76" t="s">
        <v>25</v>
      </c>
      <c r="H2" s="78" t="s">
        <v>94</v>
      </c>
      <c r="I2" s="79" t="s">
        <v>128</v>
      </c>
      <c r="J2" s="78" t="s">
        <v>83</v>
      </c>
      <c r="K2" s="80" t="s">
        <v>4</v>
      </c>
      <c r="M2" s="355" t="s">
        <v>172</v>
      </c>
    </row>
    <row r="3" spans="1:13" x14ac:dyDescent="0.3">
      <c r="A3" s="363"/>
      <c r="B3" s="340"/>
      <c r="C3" s="341"/>
      <c r="D3" s="18"/>
      <c r="E3" s="18"/>
      <c r="F3" s="19"/>
      <c r="G3" s="20"/>
      <c r="H3" s="21" t="str">
        <f>CONCATENATE("+",RIGHT('Personal File'!$B$6)+('Personal File'!$C$8)+D3)</f>
        <v>+5</v>
      </c>
      <c r="I3" s="16">
        <f t="shared" ref="I3" ca="1" si="0">RANDBETWEEN(1,20)</f>
        <v>17</v>
      </c>
      <c r="J3" s="17">
        <f ca="1">I3+H3</f>
        <v>22</v>
      </c>
      <c r="K3" s="22"/>
      <c r="M3" s="356">
        <v>0</v>
      </c>
    </row>
    <row r="4" spans="1:13" ht="16.2" thickBot="1" x14ac:dyDescent="0.35">
      <c r="A4" s="81"/>
      <c r="B4" s="342"/>
      <c r="C4" s="343"/>
      <c r="D4" s="82"/>
      <c r="E4" s="310"/>
      <c r="F4" s="311"/>
      <c r="G4" s="83"/>
      <c r="H4" s="84" t="str">
        <f>CONCATENATE("+",RIGHT('Personal File'!$B$6)+('Personal File'!$C$8)+D4)</f>
        <v>+5</v>
      </c>
      <c r="I4" s="85">
        <f ca="1">RANDBETWEEN(1,20)</f>
        <v>1</v>
      </c>
      <c r="J4" s="86">
        <f ca="1">I4+H4</f>
        <v>6</v>
      </c>
      <c r="K4" s="87"/>
      <c r="M4" s="357"/>
    </row>
    <row r="5" spans="1:13" ht="6" customHeight="1" thickTop="1" thickBot="1" x14ac:dyDescent="0.35">
      <c r="M5" s="358"/>
    </row>
    <row r="6" spans="1:13" ht="16.8" thickTop="1" thickBot="1" x14ac:dyDescent="0.35">
      <c r="A6" s="73" t="s">
        <v>8</v>
      </c>
      <c r="B6" s="74" t="s">
        <v>6</v>
      </c>
      <c r="C6" s="88" t="s">
        <v>140</v>
      </c>
      <c r="D6" s="76" t="s">
        <v>24</v>
      </c>
      <c r="E6" s="77" t="s">
        <v>66</v>
      </c>
      <c r="F6" s="76" t="s">
        <v>9</v>
      </c>
      <c r="G6" s="76" t="s">
        <v>25</v>
      </c>
      <c r="H6" s="78" t="s">
        <v>94</v>
      </c>
      <c r="I6" s="79" t="s">
        <v>128</v>
      </c>
      <c r="J6" s="78" t="s">
        <v>83</v>
      </c>
      <c r="K6" s="80" t="s">
        <v>4</v>
      </c>
      <c r="M6" s="359" t="s">
        <v>172</v>
      </c>
    </row>
    <row r="7" spans="1:13" x14ac:dyDescent="0.3">
      <c r="A7" s="364" t="s">
        <v>120</v>
      </c>
      <c r="B7" s="365" t="s">
        <v>121</v>
      </c>
      <c r="C7" s="366"/>
      <c r="D7" s="367" t="s">
        <v>91</v>
      </c>
      <c r="E7" s="368" t="s">
        <v>131</v>
      </c>
      <c r="F7" s="367" t="s">
        <v>121</v>
      </c>
      <c r="G7" s="369">
        <v>0</v>
      </c>
      <c r="H7" s="370" t="str">
        <f>CONCATENATE("+",RIGHT('Personal File'!$B$6)+('Personal File'!$C$9)+D7)</f>
        <v>+11</v>
      </c>
      <c r="I7" s="16">
        <f t="shared" ref="I7" ca="1" si="1">RANDBETWEEN(1,20)</f>
        <v>11</v>
      </c>
      <c r="J7" s="371">
        <f ca="1">I7+H7</f>
        <v>22</v>
      </c>
      <c r="K7" s="89"/>
      <c r="M7" s="360"/>
    </row>
    <row r="8" spans="1:13" ht="16.2" thickBot="1" x14ac:dyDescent="0.35">
      <c r="A8" s="443" t="s">
        <v>269</v>
      </c>
      <c r="B8" s="444" t="s">
        <v>268</v>
      </c>
      <c r="C8" s="445" t="s">
        <v>268</v>
      </c>
      <c r="D8" s="446">
        <f>SUM('Personal File'!E3:E4)</f>
        <v>10</v>
      </c>
      <c r="E8" s="447" t="s">
        <v>268</v>
      </c>
      <c r="F8" s="448" t="s">
        <v>268</v>
      </c>
      <c r="G8" s="449" t="s">
        <v>268</v>
      </c>
      <c r="H8" s="441">
        <f>D8</f>
        <v>10</v>
      </c>
      <c r="I8" s="85">
        <f ca="1">RANDBETWEEN(1,20)</f>
        <v>9</v>
      </c>
      <c r="J8" s="441">
        <f ca="1">I8+H8</f>
        <v>19</v>
      </c>
      <c r="K8" s="442"/>
      <c r="M8" s="357"/>
    </row>
    <row r="9" spans="1:13" ht="6" customHeight="1" thickTop="1" thickBot="1" x14ac:dyDescent="0.35">
      <c r="D9" s="90"/>
      <c r="E9" s="90"/>
      <c r="G9" s="71"/>
      <c r="H9" s="71"/>
      <c r="I9" s="71"/>
      <c r="J9" s="71"/>
      <c r="M9" s="358"/>
    </row>
    <row r="10" spans="1:13" ht="16.8" thickTop="1" thickBot="1" x14ac:dyDescent="0.35">
      <c r="A10" s="73" t="s">
        <v>71</v>
      </c>
      <c r="B10" s="76" t="s">
        <v>141</v>
      </c>
      <c r="C10" s="76" t="s">
        <v>32</v>
      </c>
      <c r="D10" s="76" t="s">
        <v>83</v>
      </c>
      <c r="E10" s="76" t="s">
        <v>84</v>
      </c>
      <c r="F10" s="76" t="s">
        <v>85</v>
      </c>
      <c r="G10" s="76" t="s">
        <v>25</v>
      </c>
      <c r="H10" s="91" t="s">
        <v>4</v>
      </c>
      <c r="I10" s="92"/>
      <c r="J10" s="92"/>
      <c r="K10" s="93"/>
      <c r="M10" s="359" t="s">
        <v>172</v>
      </c>
    </row>
    <row r="11" spans="1:13" x14ac:dyDescent="0.3">
      <c r="A11" s="315" t="s">
        <v>245</v>
      </c>
      <c r="B11" s="316">
        <v>5</v>
      </c>
      <c r="C11" s="317" t="s">
        <v>268</v>
      </c>
      <c r="D11" s="317" t="s">
        <v>268</v>
      </c>
      <c r="E11" s="439" t="s">
        <v>268</v>
      </c>
      <c r="F11" s="317" t="s">
        <v>268</v>
      </c>
      <c r="G11" s="440" t="s">
        <v>268</v>
      </c>
      <c r="H11" s="323"/>
      <c r="I11" s="324"/>
      <c r="J11" s="324"/>
      <c r="K11" s="325"/>
      <c r="M11" s="356" t="s">
        <v>268</v>
      </c>
    </row>
    <row r="12" spans="1:13" ht="16.2" thickBot="1" x14ac:dyDescent="0.35">
      <c r="A12" s="319"/>
      <c r="B12" s="320"/>
      <c r="C12" s="321"/>
      <c r="D12" s="321"/>
      <c r="E12" s="321"/>
      <c r="F12" s="321"/>
      <c r="G12" s="322"/>
      <c r="H12" s="326"/>
      <c r="I12" s="327"/>
      <c r="J12" s="327"/>
      <c r="K12" s="328"/>
      <c r="M12" s="357"/>
    </row>
    <row r="13" spans="1:13" ht="6.75" customHeight="1" thickTop="1" thickBot="1" x14ac:dyDescent="0.35">
      <c r="M13" s="358"/>
    </row>
    <row r="14" spans="1:13" ht="16.8" thickTop="1" thickBot="1" x14ac:dyDescent="0.35">
      <c r="A14" s="94"/>
      <c r="B14" s="71"/>
      <c r="D14" s="95" t="s">
        <v>72</v>
      </c>
      <c r="E14" s="96"/>
      <c r="F14" s="91" t="s">
        <v>7</v>
      </c>
      <c r="G14" s="76" t="s">
        <v>25</v>
      </c>
      <c r="H14" s="97" t="s">
        <v>94</v>
      </c>
      <c r="I14" s="92"/>
      <c r="J14" s="92"/>
      <c r="K14" s="93"/>
      <c r="M14" s="359" t="s">
        <v>172</v>
      </c>
    </row>
    <row r="15" spans="1:13" x14ac:dyDescent="0.3">
      <c r="A15" s="94"/>
      <c r="B15" s="71"/>
      <c r="D15" s="98"/>
      <c r="E15" s="99"/>
      <c r="F15" s="100"/>
      <c r="G15" s="101"/>
      <c r="H15" s="8"/>
      <c r="I15" s="99"/>
      <c r="J15" s="99"/>
      <c r="K15" s="102"/>
      <c r="M15" s="356"/>
    </row>
    <row r="16" spans="1:13" ht="16.2" thickBot="1" x14ac:dyDescent="0.35">
      <c r="A16" s="37"/>
      <c r="B16" s="71"/>
      <c r="D16" s="103"/>
      <c r="E16" s="104"/>
      <c r="F16" s="105"/>
      <c r="G16" s="106"/>
      <c r="H16" s="107"/>
      <c r="I16" s="108"/>
      <c r="J16" s="108"/>
      <c r="K16" s="109"/>
      <c r="M16" s="357"/>
    </row>
    <row r="17" spans="1:13" ht="16.8" thickTop="1" thickBot="1" x14ac:dyDescent="0.35">
      <c r="A17" s="37"/>
      <c r="B17" s="37"/>
      <c r="C17" s="37"/>
      <c r="D17" s="37"/>
      <c r="E17" s="37"/>
      <c r="F17" s="37"/>
      <c r="G17" s="37"/>
      <c r="H17" s="37"/>
      <c r="I17" s="37"/>
      <c r="J17" s="37"/>
      <c r="K17" s="37"/>
    </row>
    <row r="18" spans="1:13" ht="16.8" thickTop="1" thickBot="1" x14ac:dyDescent="0.35">
      <c r="D18" s="95" t="s">
        <v>231</v>
      </c>
      <c r="E18" s="92"/>
      <c r="F18" s="92"/>
      <c r="G18" s="92"/>
      <c r="H18" s="406" t="s">
        <v>7</v>
      </c>
      <c r="I18" s="406" t="s">
        <v>101</v>
      </c>
      <c r="J18" s="406" t="s">
        <v>232</v>
      </c>
      <c r="K18" s="93" t="s">
        <v>81</v>
      </c>
      <c r="L18" s="72"/>
      <c r="M18" s="359" t="s">
        <v>172</v>
      </c>
    </row>
    <row r="19" spans="1:13" x14ac:dyDescent="0.3">
      <c r="D19" s="407" t="s">
        <v>234</v>
      </c>
      <c r="E19" s="408"/>
      <c r="F19" s="408"/>
      <c r="G19" s="409"/>
      <c r="H19" s="410">
        <v>1</v>
      </c>
      <c r="I19" s="317">
        <v>1</v>
      </c>
      <c r="J19" s="317">
        <v>1</v>
      </c>
      <c r="K19" s="411" t="s">
        <v>233</v>
      </c>
      <c r="L19" s="72"/>
      <c r="M19" s="412">
        <v>750</v>
      </c>
    </row>
    <row r="20" spans="1:13" x14ac:dyDescent="0.3">
      <c r="D20" s="413"/>
      <c r="E20" s="414"/>
      <c r="F20" s="414"/>
      <c r="G20" s="415"/>
      <c r="H20" s="416"/>
      <c r="I20" s="318"/>
      <c r="J20" s="318"/>
      <c r="K20" s="417"/>
      <c r="L20" s="72"/>
      <c r="M20" s="418"/>
    </row>
    <row r="21" spans="1:13" ht="16.2" thickBot="1" x14ac:dyDescent="0.35">
      <c r="D21" s="419"/>
      <c r="E21" s="420"/>
      <c r="F21" s="420"/>
      <c r="G21" s="421"/>
      <c r="H21" s="422"/>
      <c r="I21" s="423"/>
      <c r="J21" s="423"/>
      <c r="K21" s="424"/>
      <c r="L21" s="72"/>
      <c r="M21" s="425"/>
    </row>
    <row r="22" spans="1:13" ht="16.2" thickTop="1" x14ac:dyDescent="0.3"/>
  </sheetData>
  <phoneticPr fontId="0" type="noConversion"/>
  <conditionalFormatting sqref="I3">
    <cfRule type="cellIs" dxfId="7" priority="15" operator="equal">
      <formula>20</formula>
    </cfRule>
    <cfRule type="cellIs" dxfId="6" priority="16" operator="equal">
      <formula>1</formula>
    </cfRule>
  </conditionalFormatting>
  <conditionalFormatting sqref="I4">
    <cfRule type="cellIs" dxfId="5" priority="13" operator="equal">
      <formula>20</formula>
    </cfRule>
    <cfRule type="cellIs" dxfId="4" priority="14" operator="equal">
      <formula>1</formula>
    </cfRule>
  </conditionalFormatting>
  <conditionalFormatting sqref="I7">
    <cfRule type="cellIs" dxfId="3" priority="11" operator="equal">
      <formula>20</formula>
    </cfRule>
    <cfRule type="cellIs" dxfId="2" priority="12" operator="equal">
      <formula>1</formula>
    </cfRule>
  </conditionalFormatting>
  <conditionalFormatting sqref="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ColWidth="13" defaultRowHeight="15.6" x14ac:dyDescent="0.3"/>
  <cols>
    <col min="1" max="1" width="27.19921875" style="43" bestFit="1" customWidth="1"/>
    <col min="2" max="2" width="4.8984375" style="43" bestFit="1" customWidth="1"/>
    <col min="3" max="3" width="5.59765625" style="71" bestFit="1" customWidth="1"/>
    <col min="4" max="5" width="26.59765625" style="37" customWidth="1"/>
    <col min="6" max="6" width="3.19921875" style="37" customWidth="1"/>
    <col min="7" max="7" width="7.3984375" style="37" bestFit="1" customWidth="1"/>
    <col min="8" max="16384" width="13" style="37"/>
  </cols>
  <sheetData>
    <row r="1" spans="1:7" ht="23.4" thickBot="1" x14ac:dyDescent="0.35">
      <c r="A1" s="35" t="s">
        <v>77</v>
      </c>
      <c r="B1" s="35"/>
      <c r="C1" s="36"/>
      <c r="D1" s="35"/>
      <c r="E1" s="35"/>
    </row>
    <row r="2" spans="1:7" s="43" customFormat="1" ht="16.8" thickTop="1" thickBot="1" x14ac:dyDescent="0.35">
      <c r="A2" s="38" t="s">
        <v>78</v>
      </c>
      <c r="B2" s="39" t="s">
        <v>7</v>
      </c>
      <c r="C2" s="40" t="s">
        <v>79</v>
      </c>
      <c r="D2" s="41" t="s">
        <v>80</v>
      </c>
      <c r="E2" s="42" t="s">
        <v>81</v>
      </c>
      <c r="G2" s="354" t="s">
        <v>172</v>
      </c>
    </row>
    <row r="3" spans="1:7" x14ac:dyDescent="0.3">
      <c r="A3" s="44" t="s">
        <v>167</v>
      </c>
      <c r="B3" s="58">
        <v>1</v>
      </c>
      <c r="C3" s="312" t="s">
        <v>168</v>
      </c>
      <c r="D3" s="47"/>
      <c r="E3" s="48"/>
      <c r="G3" s="356">
        <v>0</v>
      </c>
    </row>
    <row r="4" spans="1:7" x14ac:dyDescent="0.3">
      <c r="A4" s="57" t="s">
        <v>102</v>
      </c>
      <c r="B4" s="58">
        <v>1</v>
      </c>
      <c r="C4" s="46">
        <v>2</v>
      </c>
      <c r="D4" s="47"/>
      <c r="E4" s="48"/>
      <c r="G4" s="361">
        <v>0</v>
      </c>
    </row>
    <row r="5" spans="1:7" x14ac:dyDescent="0.3">
      <c r="A5" s="44" t="s">
        <v>173</v>
      </c>
      <c r="B5" s="45">
        <v>1</v>
      </c>
      <c r="C5" s="46">
        <v>1</v>
      </c>
      <c r="D5" s="386" t="s">
        <v>199</v>
      </c>
      <c r="E5" s="48"/>
      <c r="G5" s="426">
        <v>4000</v>
      </c>
    </row>
    <row r="6" spans="1:7" x14ac:dyDescent="0.3">
      <c r="A6" s="44" t="s">
        <v>198</v>
      </c>
      <c r="B6" s="45">
        <v>2</v>
      </c>
      <c r="C6" s="46">
        <v>0</v>
      </c>
      <c r="D6" s="386" t="s">
        <v>199</v>
      </c>
      <c r="E6" s="48"/>
      <c r="G6" s="427">
        <f>8000*B6</f>
        <v>16000</v>
      </c>
    </row>
    <row r="7" spans="1:7" x14ac:dyDescent="0.3">
      <c r="A7" s="44" t="s">
        <v>196</v>
      </c>
      <c r="B7" s="45">
        <v>1</v>
      </c>
      <c r="C7" s="46">
        <v>0</v>
      </c>
      <c r="D7" s="47"/>
      <c r="E7" s="48"/>
      <c r="G7" s="427">
        <v>2100</v>
      </c>
    </row>
    <row r="8" spans="1:7" x14ac:dyDescent="0.3">
      <c r="A8" s="44" t="s">
        <v>197</v>
      </c>
      <c r="B8" s="45">
        <v>1</v>
      </c>
      <c r="C8" s="46"/>
      <c r="D8" s="47"/>
      <c r="E8" s="48"/>
      <c r="G8" s="427">
        <v>4000</v>
      </c>
    </row>
    <row r="9" spans="1:7" ht="16.2" thickBot="1" x14ac:dyDescent="0.35">
      <c r="A9" s="49"/>
      <c r="B9" s="50"/>
      <c r="C9" s="51"/>
      <c r="D9" s="52"/>
      <c r="E9" s="53"/>
      <c r="G9" s="357"/>
    </row>
    <row r="10" spans="1:7" ht="24" thickTop="1" thickBot="1" x14ac:dyDescent="0.35">
      <c r="A10" s="35" t="s">
        <v>82</v>
      </c>
      <c r="B10" s="35"/>
      <c r="C10" s="54"/>
      <c r="D10" s="35"/>
      <c r="E10" s="55"/>
    </row>
    <row r="11" spans="1:7" ht="16.8" thickTop="1" thickBot="1" x14ac:dyDescent="0.35">
      <c r="A11" s="38" t="s">
        <v>78</v>
      </c>
      <c r="B11" s="38" t="s">
        <v>7</v>
      </c>
      <c r="C11" s="56" t="s">
        <v>79</v>
      </c>
      <c r="D11" s="41" t="s">
        <v>80</v>
      </c>
      <c r="E11" s="42" t="s">
        <v>81</v>
      </c>
      <c r="G11" s="354" t="s">
        <v>172</v>
      </c>
    </row>
    <row r="12" spans="1:7" x14ac:dyDescent="0.3">
      <c r="A12" s="57" t="s">
        <v>159</v>
      </c>
      <c r="B12" s="58">
        <v>1</v>
      </c>
      <c r="C12" s="59">
        <v>2</v>
      </c>
      <c r="D12" s="60"/>
      <c r="E12" s="61"/>
      <c r="G12" s="356">
        <v>0</v>
      </c>
    </row>
    <row r="13" spans="1:7" x14ac:dyDescent="0.3">
      <c r="A13" s="57" t="s">
        <v>160</v>
      </c>
      <c r="B13" s="58">
        <v>2</v>
      </c>
      <c r="C13" s="63">
        <v>0</v>
      </c>
      <c r="D13" s="60"/>
      <c r="E13" s="61"/>
      <c r="G13" s="361">
        <v>0</v>
      </c>
    </row>
    <row r="14" spans="1:7" x14ac:dyDescent="0.3">
      <c r="A14" s="57" t="s">
        <v>161</v>
      </c>
      <c r="B14" s="58">
        <v>2</v>
      </c>
      <c r="C14" s="63">
        <v>0</v>
      </c>
      <c r="D14" s="60"/>
      <c r="E14" s="61"/>
      <c r="G14" s="426">
        <v>0</v>
      </c>
    </row>
    <row r="15" spans="1:7" x14ac:dyDescent="0.3">
      <c r="A15" s="57" t="s">
        <v>162</v>
      </c>
      <c r="B15" s="58">
        <v>1</v>
      </c>
      <c r="C15" s="63">
        <v>1</v>
      </c>
      <c r="D15" s="60"/>
      <c r="E15" s="61"/>
      <c r="G15" s="426">
        <v>0</v>
      </c>
    </row>
    <row r="16" spans="1:7" x14ac:dyDescent="0.3">
      <c r="A16" s="57" t="s">
        <v>163</v>
      </c>
      <c r="B16" s="58">
        <v>1</v>
      </c>
      <c r="C16" s="63">
        <v>0</v>
      </c>
      <c r="D16" s="60"/>
      <c r="E16" s="61"/>
      <c r="G16" s="426">
        <v>0</v>
      </c>
    </row>
    <row r="17" spans="1:7" x14ac:dyDescent="0.3">
      <c r="A17" s="57" t="s">
        <v>164</v>
      </c>
      <c r="B17" s="58">
        <v>1</v>
      </c>
      <c r="C17" s="63">
        <v>0.5</v>
      </c>
      <c r="D17" s="60"/>
      <c r="E17" s="61"/>
      <c r="G17" s="426">
        <v>0</v>
      </c>
    </row>
    <row r="18" spans="1:7" x14ac:dyDescent="0.3">
      <c r="A18" s="57" t="s">
        <v>166</v>
      </c>
      <c r="B18" s="58">
        <v>1</v>
      </c>
      <c r="C18" s="63">
        <v>1</v>
      </c>
      <c r="D18" s="60"/>
      <c r="E18" s="61"/>
      <c r="G18" s="426">
        <v>0</v>
      </c>
    </row>
    <row r="19" spans="1:7" x14ac:dyDescent="0.3">
      <c r="A19" s="57" t="s">
        <v>165</v>
      </c>
      <c r="B19" s="58">
        <v>1</v>
      </c>
      <c r="C19" s="63">
        <v>0.5</v>
      </c>
      <c r="D19" s="60"/>
      <c r="E19" s="61"/>
      <c r="G19" s="426">
        <v>0</v>
      </c>
    </row>
    <row r="20" spans="1:7" x14ac:dyDescent="0.3">
      <c r="A20" s="62" t="s">
        <v>87</v>
      </c>
      <c r="B20" s="58">
        <v>1</v>
      </c>
      <c r="C20" s="63">
        <v>1</v>
      </c>
      <c r="D20" s="64"/>
      <c r="E20" s="61"/>
      <c r="G20" s="426">
        <v>0</v>
      </c>
    </row>
    <row r="21" spans="1:7" ht="16.2" thickBot="1" x14ac:dyDescent="0.35">
      <c r="A21" s="65" t="s">
        <v>242</v>
      </c>
      <c r="B21" s="66">
        <v>7</v>
      </c>
      <c r="C21" s="67">
        <f>B21</f>
        <v>7</v>
      </c>
      <c r="D21" s="68"/>
      <c r="E21" s="69"/>
      <c r="G21" s="357">
        <v>0</v>
      </c>
    </row>
    <row r="22" spans="1:7" ht="16.2" thickTop="1" x14ac:dyDescent="0.3"/>
    <row r="23" spans="1:7" x14ac:dyDescent="0.3">
      <c r="A23" s="37"/>
      <c r="B23" s="37"/>
      <c r="E23" s="70" t="s">
        <v>174</v>
      </c>
      <c r="G23" s="362">
        <f>SUM(G3:G21,Martial!M3:M21)</f>
        <v>26850</v>
      </c>
    </row>
    <row r="24" spans="1:7" s="43" customFormat="1" x14ac:dyDescent="0.3">
      <c r="C24" s="71"/>
      <c r="D24" s="37"/>
      <c r="E24" s="70" t="s">
        <v>175</v>
      </c>
      <c r="G24" s="362">
        <v>27000</v>
      </c>
    </row>
    <row r="25" spans="1:7" x14ac:dyDescent="0.3">
      <c r="E25" s="70" t="s">
        <v>176</v>
      </c>
      <c r="G25" s="362">
        <f>G24-G23</f>
        <v>150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2016-09-23T21:22:02Z</dcterms:modified>
</cp:coreProperties>
</file>