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516" yWindow="4728" windowWidth="6504" windowHeight="4752" tabRatio="638"/>
  </bookViews>
  <sheets>
    <sheet name="Personal File" sheetId="4" r:id="rId1"/>
    <sheet name="Skills" sheetId="15" r:id="rId2"/>
    <sheet name="Sune" sheetId="21" r:id="rId3"/>
    <sheet name="Spells" sheetId="20" r:id="rId4"/>
    <sheet name="Feats" sheetId="23" r:id="rId5"/>
    <sheet name="Martial" sheetId="6" r:id="rId6"/>
    <sheet name="Equipment" sheetId="19" r:id="rId7"/>
    <sheet name="Mount" sheetId="22" r:id="rId8"/>
  </sheets>
  <externalReferences>
    <externalReference r:id="rId9"/>
  </externalReferences>
  <definedNames>
    <definedName name="NoShade">'[1]Spell Sheet'!$FH$1</definedName>
    <definedName name="OLE_LINK1" localSheetId="4">Feats!$C$3</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7">Mount!$A$1:$H$12</definedName>
    <definedName name="_xlnm.Print_Area" localSheetId="0">'Personal File'!$A$1:$H$13</definedName>
    <definedName name="_xlnm.Print_Area" localSheetId="1">Skills!$A$1:$K$29</definedName>
    <definedName name="_xlnm.Print_Area" localSheetId="3">Spells!#REF!</definedName>
    <definedName name="_xlnm.Print_Area" localSheetId="2">Sune!$A$1:$I$14</definedName>
  </definedNames>
  <calcPr calcId="145621"/>
</workbook>
</file>

<file path=xl/calcChain.xml><?xml version="1.0" encoding="utf-8"?>
<calcChain xmlns="http://schemas.openxmlformats.org/spreadsheetml/2006/main">
  <c r="B10" i="4" l="1"/>
  <c r="B8" i="4" l="1"/>
  <c r="E11" i="4"/>
  <c r="B6" i="4"/>
  <c r="B9" i="4" l="1"/>
  <c r="B12" i="4" l="1"/>
  <c r="I7" i="20" l="1"/>
  <c r="J7" i="20"/>
  <c r="C14" i="20" l="1"/>
  <c r="C4" i="20"/>
  <c r="E56" i="15"/>
  <c r="G9" i="20" l="1"/>
  <c r="E6" i="4" l="1"/>
  <c r="G13" i="20" l="1"/>
  <c r="B13" i="4" l="1"/>
  <c r="H10" i="15" l="1"/>
  <c r="H13" i="15"/>
  <c r="H11" i="15"/>
  <c r="H9" i="15"/>
  <c r="H8" i="15"/>
  <c r="E55" i="15"/>
  <c r="M37" i="6" l="1"/>
  <c r="I21" i="6" l="1"/>
  <c r="I20" i="6"/>
  <c r="I19" i="6"/>
  <c r="I14" i="6"/>
  <c r="I10" i="6"/>
  <c r="I13" i="6"/>
  <c r="I9" i="6"/>
  <c r="I4" i="6"/>
  <c r="F41" i="15" l="1"/>
  <c r="F35" i="15"/>
  <c r="F28" i="15"/>
  <c r="F23" i="15"/>
  <c r="F21" i="15"/>
  <c r="F16" i="15"/>
  <c r="F7" i="15"/>
  <c r="B25" i="6"/>
  <c r="H20" i="15" l="1"/>
  <c r="I6" i="6" l="1"/>
  <c r="G31" i="6" l="1"/>
  <c r="I18" i="6" l="1"/>
  <c r="M35" i="6" l="1"/>
  <c r="F9" i="15" l="1"/>
  <c r="I3" i="6" l="1"/>
  <c r="I5" i="6"/>
  <c r="G6" i="19" l="1"/>
  <c r="H7" i="20" l="1"/>
  <c r="E54" i="15" l="1"/>
  <c r="G17" i="20" l="1"/>
  <c r="G15" i="20"/>
  <c r="I8" i="6" l="1"/>
  <c r="I7" i="6"/>
  <c r="I12" i="6" l="1"/>
  <c r="I11" i="6"/>
  <c r="B44" i="15" l="1"/>
  <c r="H25" i="15"/>
  <c r="G7" i="20" l="1"/>
  <c r="I15" i="6" l="1"/>
  <c r="G24" i="19" l="1"/>
  <c r="E9" i="4"/>
  <c r="C9" i="22"/>
  <c r="C8" i="22"/>
  <c r="C7" i="22"/>
  <c r="C6" i="22"/>
  <c r="C5" i="22"/>
  <c r="C4" i="22"/>
  <c r="E57" i="15" l="1"/>
  <c r="H31" i="15"/>
  <c r="H30" i="15"/>
  <c r="H29" i="15"/>
  <c r="H28" i="15"/>
  <c r="H27" i="15"/>
  <c r="H26" i="15"/>
  <c r="H24" i="15"/>
  <c r="H23" i="15"/>
  <c r="H22" i="15"/>
  <c r="H21" i="15"/>
  <c r="H19" i="15"/>
  <c r="H18" i="15"/>
  <c r="H17" i="15"/>
  <c r="H16" i="15"/>
  <c r="H15" i="15"/>
  <c r="H14" i="15"/>
  <c r="H12" i="15"/>
  <c r="H40" i="15"/>
  <c r="I22" i="6" l="1"/>
  <c r="H43" i="15" l="1"/>
  <c r="H42" i="15"/>
  <c r="H41" i="15"/>
  <c r="H39" i="15"/>
  <c r="H38" i="15"/>
  <c r="H37" i="15"/>
  <c r="H36" i="15"/>
  <c r="H35" i="15"/>
  <c r="H34" i="15"/>
  <c r="H33" i="15"/>
  <c r="H32" i="15"/>
  <c r="H5" i="15"/>
  <c r="H4" i="15"/>
  <c r="H3" i="15"/>
  <c r="H7" i="15"/>
  <c r="H6" i="15"/>
  <c r="C13" i="4" l="1"/>
  <c r="C12" i="4"/>
  <c r="C11" i="4"/>
  <c r="C10" i="4"/>
  <c r="E10" i="4" s="1"/>
  <c r="C9" i="4"/>
  <c r="C8" i="4"/>
  <c r="H14" i="6" l="1"/>
  <c r="H10" i="6"/>
  <c r="B7" i="4"/>
  <c r="H18" i="6"/>
  <c r="C3" i="23"/>
  <c r="C6" i="23"/>
  <c r="F5" i="15"/>
  <c r="C5" i="20"/>
  <c r="C8" i="20"/>
  <c r="C3" i="20"/>
  <c r="C7" i="20"/>
  <c r="C9" i="20"/>
  <c r="C6" i="20"/>
  <c r="C19" i="20"/>
  <c r="C18" i="20"/>
  <c r="C13" i="20"/>
  <c r="C17" i="20"/>
  <c r="C16" i="20"/>
  <c r="C15" i="20"/>
  <c r="F3" i="15"/>
  <c r="F4" i="15"/>
  <c r="G14" i="20"/>
  <c r="G16" i="20"/>
  <c r="G18" i="20"/>
  <c r="C5" i="6"/>
  <c r="C4" i="6"/>
  <c r="C3" i="6"/>
  <c r="C6" i="6"/>
  <c r="C14" i="6"/>
  <c r="C10" i="6"/>
  <c r="C9" i="6"/>
  <c r="C13" i="6"/>
  <c r="C8" i="6"/>
  <c r="C7" i="6"/>
  <c r="H6" i="6"/>
  <c r="J6" i="6" s="1"/>
  <c r="E13" i="4"/>
  <c r="E12" i="4" s="1"/>
  <c r="H22" i="6"/>
  <c r="J22" i="6" s="1"/>
  <c r="C12" i="6"/>
  <c r="H15" i="6"/>
  <c r="J15" i="6" s="1"/>
  <c r="H7" i="6"/>
  <c r="H3" i="6"/>
  <c r="H11" i="6"/>
  <c r="C11" i="6"/>
  <c r="E53" i="15"/>
  <c r="D25" i="15"/>
  <c r="E45" i="15"/>
  <c r="D6" i="15"/>
  <c r="G6" i="15" s="1"/>
  <c r="E51" i="15"/>
  <c r="E47" i="15"/>
  <c r="E50" i="15"/>
  <c r="E46" i="15"/>
  <c r="E52" i="15"/>
  <c r="D26" i="15"/>
  <c r="E49" i="15"/>
  <c r="E48" i="15"/>
  <c r="D4" i="15"/>
  <c r="D5" i="15"/>
  <c r="D3" i="15"/>
  <c r="D24" i="15"/>
  <c r="D37" i="15"/>
  <c r="D39" i="15"/>
  <c r="D36" i="15"/>
  <c r="B23" i="19"/>
  <c r="D31" i="15"/>
  <c r="D41" i="15"/>
  <c r="D38" i="15"/>
  <c r="D40" i="15"/>
  <c r="D33" i="15"/>
  <c r="D19"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J18" i="6" l="1"/>
  <c r="H19" i="6"/>
  <c r="J11" i="6"/>
  <c r="H12" i="6"/>
  <c r="J3" i="6"/>
  <c r="H4" i="6"/>
  <c r="J7" i="6"/>
  <c r="H8" i="6"/>
  <c r="G25" i="15"/>
  <c r="I25" i="15" s="1"/>
  <c r="E25" i="15"/>
  <c r="E6" i="15"/>
  <c r="G26" i="15"/>
  <c r="I26" i="15" s="1"/>
  <c r="E26" i="15"/>
  <c r="E44" i="15"/>
  <c r="I6" i="15"/>
  <c r="E22" i="15"/>
  <c r="G22" i="15"/>
  <c r="E8" i="15"/>
  <c r="G8" i="15"/>
  <c r="E18" i="15"/>
  <c r="G18" i="15"/>
  <c r="E23" i="15"/>
  <c r="G23" i="15"/>
  <c r="E32" i="15"/>
  <c r="G32" i="15"/>
  <c r="E14" i="15"/>
  <c r="G14" i="15"/>
  <c r="E19" i="15"/>
  <c r="G19" i="15"/>
  <c r="E41" i="15"/>
  <c r="G41" i="15"/>
  <c r="E39" i="15"/>
  <c r="G39" i="15"/>
  <c r="E24" i="15"/>
  <c r="G24" i="15"/>
  <c r="E11" i="15"/>
  <c r="G11" i="15"/>
  <c r="E12" i="15"/>
  <c r="G12" i="15"/>
  <c r="E9" i="15"/>
  <c r="G9" i="15"/>
  <c r="E20" i="15"/>
  <c r="G20" i="15"/>
  <c r="E34" i="15"/>
  <c r="G34" i="15"/>
  <c r="E33" i="15"/>
  <c r="G33" i="15"/>
  <c r="E31" i="15"/>
  <c r="G31" i="15"/>
  <c r="E4" i="15"/>
  <c r="G4" i="15"/>
  <c r="E7" i="15"/>
  <c r="G7" i="15"/>
  <c r="E30" i="15"/>
  <c r="G30" i="15"/>
  <c r="E13" i="15"/>
  <c r="G13" i="15"/>
  <c r="E15" i="15"/>
  <c r="G15" i="15"/>
  <c r="E27" i="15"/>
  <c r="G27" i="15"/>
  <c r="E35" i="15"/>
  <c r="G35" i="15"/>
  <c r="E10" i="15"/>
  <c r="G10" i="15"/>
  <c r="E16" i="15"/>
  <c r="G16" i="15"/>
  <c r="E21" i="15"/>
  <c r="G21" i="15"/>
  <c r="E28" i="15"/>
  <c r="G28" i="15"/>
  <c r="E43" i="15"/>
  <c r="G43" i="15"/>
  <c r="E29" i="15"/>
  <c r="G29" i="15"/>
  <c r="E40" i="15"/>
  <c r="G40" i="15"/>
  <c r="E37" i="15"/>
  <c r="G37" i="15"/>
  <c r="E17" i="15"/>
  <c r="G17" i="15"/>
  <c r="E42" i="15"/>
  <c r="G42" i="15"/>
  <c r="E38" i="15"/>
  <c r="G38" i="15"/>
  <c r="E36" i="15"/>
  <c r="G36" i="15"/>
  <c r="E3" i="15"/>
  <c r="G3" i="15"/>
  <c r="E5" i="15"/>
  <c r="G5" i="15"/>
  <c r="H20" i="6" l="1"/>
  <c r="J19" i="6"/>
  <c r="H13" i="6"/>
  <c r="J12" i="6"/>
  <c r="H9" i="6"/>
  <c r="J8" i="6"/>
  <c r="H5" i="6"/>
  <c r="J5" i="6" s="1"/>
  <c r="J4" i="6"/>
  <c r="I3" i="15"/>
  <c r="I28" i="15"/>
  <c r="I16" i="15"/>
  <c r="I15" i="15"/>
  <c r="I30" i="15"/>
  <c r="I38" i="15"/>
  <c r="I17" i="15"/>
  <c r="I40" i="15"/>
  <c r="I43" i="15"/>
  <c r="I21" i="15"/>
  <c r="I10" i="15"/>
  <c r="I27" i="15"/>
  <c r="I13" i="15"/>
  <c r="I7" i="15"/>
  <c r="I31" i="15"/>
  <c r="I34" i="15"/>
  <c r="I9" i="15"/>
  <c r="I11" i="15"/>
  <c r="I39" i="15"/>
  <c r="I19" i="15"/>
  <c r="I32" i="15"/>
  <c r="I36" i="15"/>
  <c r="I37" i="15"/>
  <c r="I29" i="15"/>
  <c r="I35" i="15"/>
  <c r="I4" i="15"/>
  <c r="I33" i="15"/>
  <c r="I20" i="15"/>
  <c r="I12" i="15"/>
  <c r="I24" i="15"/>
  <c r="I41" i="15"/>
  <c r="I14" i="15"/>
  <c r="I23" i="15"/>
  <c r="I5" i="15"/>
  <c r="I42" i="15"/>
  <c r="I8" i="15"/>
  <c r="I18" i="15"/>
  <c r="I22" i="15"/>
  <c r="H21" i="6" l="1"/>
  <c r="J21" i="6" s="1"/>
  <c r="J20" i="6"/>
  <c r="J9" i="6"/>
  <c r="J10" i="6"/>
  <c r="J13" i="6"/>
  <c r="J14" i="6"/>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bless +1   haste +1
shaken -2
inspired greatness +2
enlarge person -1
bane -1
thousand needles -4</t>
        </r>
      </text>
    </comment>
    <comment ref="E7" authorId="0">
      <text>
        <r>
          <rPr>
            <sz val="12"/>
            <color indexed="81"/>
            <rFont val="Times New Roman"/>
            <family val="1"/>
          </rPr>
          <t>Next level at 78,000 XPs</t>
        </r>
      </text>
    </comment>
    <comment ref="B8" authorId="0">
      <text>
        <r>
          <rPr>
            <i/>
            <sz val="12"/>
            <color indexed="81"/>
            <rFont val="Times New Roman"/>
            <family val="1"/>
          </rPr>
          <t>bull’s strength +4
righteous fury +4
enlarge person +2
incorporeal touch -2
elation +2</t>
        </r>
      </text>
    </comment>
    <comment ref="E8" authorId="0">
      <text>
        <r>
          <rPr>
            <sz val="12"/>
            <color indexed="81"/>
            <rFont val="Times New Roman"/>
            <family val="1"/>
          </rPr>
          <t>See PHB 162</t>
        </r>
      </text>
    </comment>
    <comment ref="B9" authorId="0">
      <text>
        <r>
          <rPr>
            <sz val="12"/>
            <color indexed="81"/>
            <rFont val="Times New Roman"/>
            <family val="1"/>
          </rPr>
          <t xml:space="preserve">Gloves of Dexterity +2
</t>
        </r>
        <r>
          <rPr>
            <i/>
            <sz val="12"/>
            <color indexed="81"/>
            <rFont val="Times New Roman"/>
            <family val="1"/>
          </rPr>
          <t>enlarge person -2
elation +2
ice knife -2</t>
        </r>
      </text>
    </comment>
    <comment ref="E10" authorId="0">
      <text>
        <r>
          <rPr>
            <sz val="12"/>
            <color indexed="81"/>
            <rFont val="Times New Roman"/>
            <family val="1"/>
          </rPr>
          <t>[(5 * 10 Paladin) * 75%] +
[(6 * 10 Pious Templar) * 75%] +
(11 * 2 Con) + 11 Improved Toughness</t>
        </r>
      </text>
    </comment>
    <comment ref="E11" authorId="0">
      <text>
        <r>
          <rPr>
            <i/>
            <sz val="12"/>
            <color indexed="81"/>
            <rFont val="Times New Roman"/>
            <family val="1"/>
          </rPr>
          <t>haste +1
protection from evil +2</t>
        </r>
      </text>
    </comment>
    <comment ref="B12" authorId="0">
      <text>
        <r>
          <rPr>
            <sz val="12"/>
            <color indexed="81"/>
            <rFont val="Times New Roman"/>
            <family val="1"/>
          </rPr>
          <t xml:space="preserve">Amulet of Wisdom +2
</t>
        </r>
        <r>
          <rPr>
            <i/>
            <sz val="12"/>
            <color indexed="81"/>
            <rFont val="Times New Roman"/>
            <family val="1"/>
          </rPr>
          <t>Wisdom drain -5</t>
        </r>
      </text>
    </comment>
    <comment ref="E12" authorId="0">
      <text>
        <r>
          <rPr>
            <sz val="12"/>
            <color indexed="81"/>
            <rFont val="Times New Roman"/>
            <family val="1"/>
          </rPr>
          <t>Protection from Evil +2</t>
        </r>
      </text>
    </comment>
    <comment ref="B13" authorId="0">
      <text>
        <r>
          <rPr>
            <sz val="12"/>
            <color indexed="81"/>
            <rFont val="Times New Roman"/>
            <family val="1"/>
          </rPr>
          <t>Cloak of Charisma +2</t>
        </r>
      </text>
    </comment>
    <comment ref="E13" authorId="0">
      <text>
        <r>
          <rPr>
            <sz val="12"/>
            <color indexed="81"/>
            <rFont val="Times New Roman"/>
            <family val="1"/>
          </rPr>
          <t>Protection from Evil +2</t>
        </r>
      </text>
    </comment>
  </commentList>
</comments>
</file>

<file path=xl/comments2.xml><?xml version="1.0" encoding="utf-8"?>
<comments xmlns="http://schemas.openxmlformats.org/spreadsheetml/2006/main">
  <authors>
    <author>Alexis Álvarez</author>
  </authors>
  <commentList>
    <comment ref="A3" authorId="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F3" authorId="0">
      <text>
        <r>
          <rPr>
            <i/>
            <sz val="12"/>
            <color indexed="81"/>
            <rFont val="Times New Roman"/>
            <family val="1"/>
          </rPr>
          <t>inspired greatness +1
vest of resistance +2</t>
        </r>
      </text>
    </comment>
    <comment ref="F4" authorId="0">
      <text>
        <r>
          <rPr>
            <i/>
            <sz val="12"/>
            <color indexed="81"/>
            <rFont val="Times New Roman"/>
            <family val="1"/>
          </rPr>
          <t>vest of resistance +2
nightshield +3
haste +1</t>
        </r>
      </text>
    </comment>
    <comment ref="A5" authorId="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F5" authorId="0">
      <text>
        <r>
          <rPr>
            <i/>
            <sz val="12"/>
            <color indexed="81"/>
            <rFont val="Times New Roman"/>
            <family val="1"/>
          </rPr>
          <t>vest of resistance +2</t>
        </r>
      </text>
    </comment>
    <comment ref="F7" authorId="0">
      <text>
        <r>
          <rPr>
            <sz val="12"/>
            <color indexed="81"/>
            <rFont val="Times New Roman"/>
            <family val="1"/>
          </rPr>
          <t>Full Plate +3</t>
        </r>
      </text>
    </comment>
    <comment ref="F9" authorId="0">
      <text>
        <r>
          <rPr>
            <sz val="12"/>
            <color indexed="81"/>
            <rFont val="Times New Roman"/>
            <family val="1"/>
          </rPr>
          <t>Full Plate +3</t>
        </r>
      </text>
    </comment>
    <comment ref="F16" authorId="0">
      <text>
        <r>
          <rPr>
            <sz val="12"/>
            <color indexed="81"/>
            <rFont val="Times New Roman"/>
            <family val="1"/>
          </rPr>
          <t>Full Plate +3</t>
        </r>
      </text>
    </comment>
    <comment ref="F20" authorId="0">
      <text>
        <r>
          <rPr>
            <sz val="12"/>
            <color indexed="81"/>
            <rFont val="Times New Roman"/>
            <family val="1"/>
          </rPr>
          <t>Healing Belt +2</t>
        </r>
      </text>
    </comment>
    <comment ref="F21" authorId="0">
      <text>
        <r>
          <rPr>
            <sz val="12"/>
            <color indexed="81"/>
            <rFont val="Times New Roman"/>
            <family val="1"/>
          </rPr>
          <t>Full Plate +3</t>
        </r>
      </text>
    </comment>
    <comment ref="F23" authorId="0">
      <text>
        <r>
          <rPr>
            <sz val="12"/>
            <color indexed="81"/>
            <rFont val="Times New Roman"/>
            <family val="1"/>
          </rPr>
          <t>Full Plate +3</t>
        </r>
      </text>
    </comment>
    <comment ref="F28" authorId="0">
      <text>
        <r>
          <rPr>
            <sz val="12"/>
            <color indexed="81"/>
            <rFont val="Times New Roman"/>
            <family val="1"/>
          </rPr>
          <t>Full Plate +3</t>
        </r>
      </text>
    </comment>
    <comment ref="F35" authorId="0">
      <text>
        <r>
          <rPr>
            <sz val="12"/>
            <color indexed="81"/>
            <rFont val="Times New Roman"/>
            <family val="1"/>
          </rPr>
          <t>Full Plate +3</t>
        </r>
      </text>
    </comment>
    <comment ref="F41" authorId="0">
      <text>
        <r>
          <rPr>
            <sz val="12"/>
            <color indexed="81"/>
            <rFont val="Times New Roman"/>
            <family val="1"/>
          </rPr>
          <t>Full Plate +3</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Pure Water</t>
        </r>
      </text>
    </comment>
    <comment ref="D11" authorId="0">
      <text>
        <r>
          <rPr>
            <sz val="12"/>
            <color indexed="81"/>
            <rFont val="Times New Roman"/>
            <family val="1"/>
          </rPr>
          <t>Earth from grave</t>
        </r>
      </text>
    </comment>
    <comment ref="D19" authorId="0">
      <text>
        <r>
          <rPr>
            <sz val="12"/>
            <color indexed="81"/>
            <rFont val="Times New Roman"/>
            <family val="1"/>
          </rPr>
          <t>Imbued weapon</t>
        </r>
      </text>
    </comment>
    <comment ref="D22" authorId="0">
      <text>
        <r>
          <rPr>
            <sz val="12"/>
            <color indexed="81"/>
            <rFont val="Times New Roman"/>
            <family val="1"/>
          </rPr>
          <t>Prism, lens, or monocle</t>
        </r>
      </text>
    </comment>
    <comment ref="D24" authorId="0">
      <text>
        <r>
          <rPr>
            <sz val="12"/>
            <color indexed="81"/>
            <rFont val="Times New Roman"/>
            <family val="1"/>
          </rPr>
          <t>Miniature cloak</t>
        </r>
      </text>
    </comment>
    <comment ref="H25" authorId="0">
      <text>
        <r>
          <rPr>
            <sz val="12"/>
            <color indexed="81"/>
            <rFont val="Times New Roman"/>
            <family val="1"/>
          </rPr>
          <t>See Righteous Fury in Miniatures Handbook</t>
        </r>
      </text>
    </comment>
    <comment ref="D33" authorId="0">
      <text>
        <r>
          <rPr>
            <sz val="12"/>
            <color indexed="81"/>
            <rFont val="Times New Roman"/>
            <family val="1"/>
          </rPr>
          <t>ruby dust &amp; blood</t>
        </r>
      </text>
    </comment>
    <comment ref="D35" authorId="0">
      <text>
        <r>
          <rPr>
            <sz val="12"/>
            <color indexed="81"/>
            <rFont val="Times New Roman"/>
            <family val="1"/>
          </rPr>
          <t>Bull-shit or bull-hair</t>
        </r>
      </text>
    </comment>
    <comment ref="D43" authorId="0">
      <text>
        <r>
          <rPr>
            <sz val="12"/>
            <color indexed="81"/>
            <rFont val="Times New Roman"/>
            <family val="1"/>
          </rPr>
          <t>Eagle feathers or droppings</t>
        </r>
      </text>
    </comment>
    <comment ref="D47" authorId="0">
      <text>
        <r>
          <rPr>
            <sz val="12"/>
            <color indexed="81"/>
            <rFont val="Times New Roman"/>
            <family val="1"/>
          </rPr>
          <t>Feathers or pinch of owl droppings</t>
        </r>
      </text>
    </comment>
    <comment ref="D51" authorId="0">
      <text>
        <r>
          <rPr>
            <sz val="12"/>
            <color indexed="81"/>
            <rFont val="Times New Roman"/>
            <family val="1"/>
          </rPr>
          <t>25 gp of sticks and bones</t>
        </r>
      </text>
    </comment>
    <comment ref="D64" authorId="0">
      <text>
        <r>
          <rPr>
            <sz val="12"/>
            <color indexed="81"/>
            <rFont val="Times New Roman"/>
            <family val="1"/>
          </rPr>
          <t>dragon’s claw or a giant’s fingernail.</t>
        </r>
      </text>
    </comment>
    <comment ref="D68" authorId="0">
      <text>
        <r>
          <rPr>
            <sz val="12"/>
            <color indexed="81"/>
            <rFont val="Times New Roman"/>
            <family val="1"/>
          </rPr>
          <t>Metal object with which to outline circle</t>
        </r>
      </text>
    </comment>
    <comment ref="D69" authorId="0">
      <text>
        <r>
          <rPr>
            <sz val="12"/>
            <color indexed="81"/>
            <rFont val="Times New Roman"/>
            <family val="1"/>
          </rPr>
          <t>Metal object with which to outline circle</t>
        </r>
      </text>
    </comment>
    <comment ref="D70" authorId="0">
      <text>
        <r>
          <rPr>
            <sz val="12"/>
            <color indexed="81"/>
            <rFont val="Times New Roman"/>
            <family val="1"/>
          </rPr>
          <t>Powdered lime and carbon</t>
        </r>
      </text>
    </comment>
  </commentList>
</comments>
</file>

<file path=xl/comments4.xml><?xml version="1.0" encoding="utf-8"?>
<comments xmlns="http://schemas.openxmlformats.org/spreadsheetml/2006/main">
  <authors>
    <author>Alexis Álvarez</author>
  </authors>
  <commentList>
    <comment ref="G16" authorId="0">
      <text>
        <r>
          <rPr>
            <sz val="12"/>
            <color indexed="81"/>
            <rFont val="Times New Roman"/>
            <family val="1"/>
          </rPr>
          <t>Know: Religion synergy +2</t>
        </r>
      </text>
    </comment>
  </commentList>
</comments>
</file>

<file path=xl/comments5.xml><?xml version="1.0" encoding="utf-8"?>
<comments xmlns="http://schemas.openxmlformats.org/spreadsheetml/2006/main">
  <authors>
    <author>Alexis Álvarez</author>
  </authors>
  <commentList>
    <comment ref="A2"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2" authorId="0">
      <text>
        <r>
          <rPr>
            <sz val="12"/>
            <color indexed="81"/>
            <rFont val="Times New Roman"/>
            <family val="1"/>
          </rPr>
          <t>The power of a paladin’s aura of good (see the detect good spell) is equal to her paladin level, just like the aura of a cleric of a good deity.
PHB 44</t>
        </r>
      </text>
    </comment>
    <comment ref="A3" authorId="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C3" authorId="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text>
        <r>
          <rPr>
            <sz val="12"/>
            <color indexed="81"/>
            <rFont val="Times New Roman"/>
            <family val="1"/>
          </rPr>
          <t>A paladin of freedom must be of chaotic good alignment and loses all class abilities if he ever willingly commits an evil act. Additionally, a paladin of freedom’s code requires that he respect individual liberty, help those in need (provided they do not use the help for lawful or evil ends), and punish those who threaten or curtail personal liberty.
Unearthed Arcana 53</t>
        </r>
      </text>
    </comment>
    <comment ref="A5" authorId="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C5" authorId="0">
      <text>
        <r>
          <rPr>
            <sz val="12"/>
            <color indexed="81"/>
            <rFont val="Times New Roman"/>
            <family val="1"/>
          </rPr>
          <t>At will, a paladin can use detect evil, as the spell.
PHB 44</t>
        </r>
      </text>
    </comment>
    <comment ref="A6" authorId="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Prerequisites:</t>
        </r>
        <r>
          <rPr>
            <sz val="12"/>
            <color indexed="81"/>
            <rFont val="Times New Roman"/>
            <family val="1"/>
          </rPr>
          <t xml:space="preserve">  Heal 8 ranks, ability to turn undead.
</t>
        </r>
        <r>
          <rPr>
            <b/>
            <sz val="12"/>
            <color indexed="81"/>
            <rFont val="Times New Roman"/>
            <family val="1"/>
          </rPr>
          <t>Benefit:</t>
        </r>
        <r>
          <rPr>
            <sz val="12"/>
            <color indexed="81"/>
            <rFont val="Times New Roman"/>
            <family val="1"/>
          </rPr>
          <t xml:space="preserve">  You can spend a turn attempt as a full-round action to grant fast healing 3 to all living creatures within a 60’ burst.  The fast healing lasts for a number of rounds equal to 1 + your Cha modifier (minimum 1 round).
Complete Divine 84</t>
        </r>
      </text>
    </comment>
    <comment ref="C6" authorId="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A7" authorId="0">
      <text>
        <r>
          <rPr>
            <sz val="12"/>
            <color indexed="81"/>
            <rFont val="Times New Roman"/>
            <family val="1"/>
          </rPr>
          <t xml:space="preserve">You know how to fight in melee without being able to see your foes.
</t>
        </r>
        <r>
          <rPr>
            <b/>
            <sz val="12"/>
            <color indexed="81"/>
            <rFont val="Times New Roman"/>
            <family val="1"/>
          </rPr>
          <t xml:space="preserve">Benefit:  </t>
        </r>
        <r>
          <rPr>
            <sz val="12"/>
            <color indexed="81"/>
            <rFont val="Times New Roman"/>
            <family val="1"/>
          </rPr>
          <t xml:space="preserve">In melee, every time you miss because of concealment, you can reroll your miss chance percentile roll one time to see if you actually hit (see Concealment, page 152).
An invisible attacker gets no advantages related to hitting you in melee.  That is, you don’t lose your Dexterity bonus to Armor Class, and the attacker doesn’t get the usual +2 bonus for being invisible (see Table 8–5:  Attack Roll Modifiers and Table 8–6: Armor Class Modifiers, page 151).  The invisible attacker’s bonuses do still apply for ranged attacks, however.
You take only half the usual penalty to speed for being unable to see.  Darkness and poor visibility in general reduces your speed to three-quarters normal, instead of one-half (see Table 9–4: Hampered Movement, page 163).
</t>
        </r>
        <r>
          <rPr>
            <b/>
            <sz val="12"/>
            <color indexed="81"/>
            <rFont val="Times New Roman"/>
            <family val="1"/>
          </rPr>
          <t xml:space="preserve">Normal:  </t>
        </r>
        <r>
          <rPr>
            <sz val="12"/>
            <color indexed="81"/>
            <rFont val="Times New Roman"/>
            <family val="1"/>
          </rPr>
          <t xml:space="preserve">Regular attack roll modifiers for invisible attackers trying to hit you (see Table 8–5: Attack Roll Modifiers, page 151) apply, and you lose your Dexterity bonus to AC.  The speed reduction for darkness and poor visibility (see Table 9–4: Hampered Movement, page 163) also applies.
</t>
        </r>
        <r>
          <rPr>
            <b/>
            <sz val="12"/>
            <color indexed="81"/>
            <rFont val="Times New Roman"/>
            <family val="1"/>
          </rPr>
          <t xml:space="preserve">Special:  </t>
        </r>
        <r>
          <rPr>
            <sz val="12"/>
            <color indexed="81"/>
            <rFont val="Times New Roman"/>
            <family val="1"/>
          </rPr>
          <t>The Blind-Fight feat is of no use against a character who is the subject of a blink spell (see page 206).
A fighter may select Blind-Fight as one of his fighter bonus feats (see page 38).
PHB 89</t>
        </r>
      </text>
    </comment>
    <comment ref="C7" authorId="0">
      <text>
        <r>
          <rPr>
            <sz val="12"/>
            <color indexed="81"/>
            <rFont val="Times New Roman"/>
            <family val="1"/>
          </rPr>
          <t>At 2nd level, a paladin gains a bonus equal to her Charisma bonus (if any) on all saving throws.
PHB 44</t>
        </r>
      </text>
    </comment>
    <comment ref="C8" authorId="0">
      <text>
        <r>
          <rPr>
            <sz val="12"/>
            <color indexed="81"/>
            <rFont val="Times New Roman"/>
            <family val="1"/>
          </rPr>
          <t>At 3rd level, a paladin gains immunity to all diseases, including supernatural and magical diseases (such as mummy rot and lycanthropy).
PHB 44</t>
        </r>
      </text>
    </comment>
    <comment ref="C9" authorId="0">
      <text>
        <r>
          <rPr>
            <sz val="12"/>
            <color indexed="81"/>
            <rFont val="Times New Roman"/>
            <family val="1"/>
          </rPr>
          <t>Beginning at 3rd level, a paladin of freedom is immune to compulsion effects. Each ally within 10 feet of him gains a +4 morale bonus on saving throws against compulsion effects.  This ability otherwise functions identically to the paladin’s aura of courage class feature (see below).
UA 53
Beginning at 3rd level, a paladin is immune to fear (magical or otherwise).  Each ally within 10 feet of her gains a +4 morale bonus on saving throws against fear effects.
This ability functions while the paladin is conscious, but not if she is unconscious or dead.
PHB 44</t>
        </r>
      </text>
    </comment>
    <comment ref="A10" authorId="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C10" authorId="0">
      <text>
        <r>
          <rPr>
            <sz val="12"/>
            <color indexed="81"/>
            <rFont val="Times New Roman"/>
            <family val="1"/>
          </rPr>
          <t xml:space="preserve">At 6th level, a paladin can produce a </t>
        </r>
        <r>
          <rPr>
            <i/>
            <sz val="12"/>
            <color indexed="81"/>
            <rFont val="Times New Roman"/>
            <family val="1"/>
          </rPr>
          <t xml:space="preserve">remove disease </t>
        </r>
        <r>
          <rPr>
            <sz val="12"/>
            <color indexed="81"/>
            <rFont val="Times New Roman"/>
            <family val="1"/>
          </rPr>
          <t>effect, as the spell, once per week.  She can use this ability one additional time per week for every three levels after 6th (twice per week at 9th, three times at 12th, and so forth).
PHB 44</t>
        </r>
      </text>
    </comment>
    <comment ref="A11" authorId="0">
      <text>
        <r>
          <rPr>
            <sz val="12"/>
            <color indexed="81"/>
            <rFont val="Times New Roman"/>
            <family val="1"/>
          </rPr>
          <t>Once per day, a pious templar of 2nd level or higher may make a single melee attack with a +4 attack bonus and a damage bonus equal to her pious templar level (if she hits).  The pious templar must declare the smite before making the attack.  Starting at 6th level, a pious templar can smite twice per day and at 10th level, three times per day.
If a pious templar has a smite evil or smite ability (for being a paladin or a cleric with the Destruction domain) already, she can use the ability one extra time per day (two extra times at 7th level). The attack bonus does not increase, but the damage bonus is based on the character’s combined level (pious templar level plus cleric or paladin level).
Complete Divine 51</t>
        </r>
      </text>
    </comment>
    <comment ref="C11" authorId="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A12"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Prerequisites:</t>
        </r>
        <r>
          <rPr>
            <sz val="12"/>
            <color indexed="81"/>
            <rFont val="Times New Roman"/>
            <family val="1"/>
          </rPr>
          <t xml:space="preserve">  Proficiency with selected weapon, Weapon Focus with selected weapon, fighter level 4th.
</t>
        </r>
        <r>
          <rPr>
            <b/>
            <sz val="12"/>
            <color indexed="81"/>
            <rFont val="Times New Roman"/>
            <family val="1"/>
          </rPr>
          <t>Benefit:</t>
        </r>
        <r>
          <rPr>
            <sz val="12"/>
            <color indexed="81"/>
            <rFont val="Times New Roman"/>
            <family val="1"/>
          </rPr>
          <t xml:space="preserve">  You gain a +2 bonus on all damage rolls you make using the selected weapon.
</t>
        </r>
        <r>
          <rPr>
            <b/>
            <sz val="12"/>
            <color indexed="81"/>
            <rFont val="Times New Roman"/>
            <family val="1"/>
          </rPr>
          <t>Special:</t>
        </r>
        <r>
          <rPr>
            <sz val="12"/>
            <color indexed="81"/>
            <rFont val="Times New Roman"/>
            <family val="1"/>
          </rPr>
          <t xml:space="preserve">  You can gain this feat multiple times.  Its effects do not stack.  Each time you take the feat, it applies to a new type of weapon.
A fighter may select Weapon Specialization as one of his fighter bonus feats (see page 38).
PHB 102</t>
        </r>
      </text>
    </comment>
    <comment ref="C12" authorId="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 ref="A13" authorId="0">
      <text>
        <r>
          <rPr>
            <sz val="12"/>
            <color indexed="81"/>
            <rFont val="Times New Roman"/>
            <family val="1"/>
          </rPr>
          <t>Starting at 3rd level, pious templars have the ability to shrug off some amount of injury from each blow or attack. A pious templar gains damage reduction 1/—.  At 7th level, this damage reduction rises to 2/—.
Complete Divine 51</t>
        </r>
      </text>
    </comment>
    <comment ref="A14" authorId="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Prerequisite:</t>
        </r>
        <r>
          <rPr>
            <sz val="12"/>
            <color indexed="81"/>
            <rFont val="Times New Roman"/>
            <family val="1"/>
          </rPr>
          <t xml:space="preserve">  Proficient with weapon, base attack bonus +8.
</t>
        </r>
        <r>
          <rPr>
            <b/>
            <sz val="12"/>
            <color indexed="81"/>
            <rFont val="Times New Roman"/>
            <family val="1"/>
          </rPr>
          <t>Benefit:</t>
        </r>
        <r>
          <rPr>
            <sz val="12"/>
            <color indexed="81"/>
            <rFont val="Times New Roman"/>
            <family val="1"/>
          </rPr>
          <t xml:space="preserve">  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Special:</t>
        </r>
        <r>
          <rPr>
            <sz val="12"/>
            <color indexed="81"/>
            <rFont val="Times New Roman"/>
            <family val="1"/>
          </rPr>
          <t xml:space="preserve">  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List>
</comments>
</file>

<file path=xl/comments6.xml><?xml version="1.0" encoding="utf-8"?>
<comments xmlns="http://schemas.openxmlformats.org/spreadsheetml/2006/main">
  <authors>
    <author>Alexis Álvarez</author>
  </authors>
  <commentList>
    <comment ref="B3" authorId="0">
      <text>
        <r>
          <rPr>
            <sz val="12"/>
            <color indexed="81"/>
            <rFont val="Times New Roman"/>
            <family val="1"/>
          </rPr>
          <t>Weapon Specialization +2 dmg</t>
        </r>
      </text>
    </comment>
    <comment ref="E3" authorId="0">
      <text>
        <r>
          <rPr>
            <sz val="12"/>
            <color indexed="81"/>
            <rFont val="Times New Roman"/>
            <family val="1"/>
          </rPr>
          <t>Improved Critical</t>
        </r>
      </text>
    </comment>
    <comment ref="B4" authorId="0">
      <text>
        <r>
          <rPr>
            <sz val="12"/>
            <color indexed="81"/>
            <rFont val="Times New Roman"/>
            <family val="1"/>
          </rPr>
          <t>Weapon Specialization +2 dmg</t>
        </r>
      </text>
    </comment>
    <comment ref="E4" authorId="0">
      <text>
        <r>
          <rPr>
            <sz val="12"/>
            <color indexed="81"/>
            <rFont val="Times New Roman"/>
            <family val="1"/>
          </rPr>
          <t>Improved Critical</t>
        </r>
      </text>
    </comment>
    <comment ref="B5" authorId="0">
      <text>
        <r>
          <rPr>
            <sz val="12"/>
            <color indexed="81"/>
            <rFont val="Times New Roman"/>
            <family val="1"/>
          </rPr>
          <t>Weapon Specialization +2 dmg</t>
        </r>
      </text>
    </comment>
    <comment ref="E5" authorId="0">
      <text>
        <r>
          <rPr>
            <sz val="12"/>
            <color indexed="81"/>
            <rFont val="Times New Roman"/>
            <family val="1"/>
          </rPr>
          <t>Improved Critical</t>
        </r>
      </text>
    </comment>
    <comment ref="B6" authorId="0">
      <text>
        <r>
          <rPr>
            <sz val="12"/>
            <color indexed="81"/>
            <rFont val="Times New Roman"/>
            <family val="1"/>
          </rPr>
          <t>Weapon Specialization +2 dmg</t>
        </r>
      </text>
    </comment>
    <comment ref="E6" authorId="0">
      <text>
        <r>
          <rPr>
            <sz val="12"/>
            <color indexed="81"/>
            <rFont val="Times New Roman"/>
            <family val="1"/>
          </rPr>
          <t>Improved Critical</t>
        </r>
      </text>
    </comment>
    <comment ref="D24" authorId="0">
      <text>
        <r>
          <rPr>
            <sz val="12"/>
            <color indexed="81"/>
            <rFont val="Times New Roman"/>
            <family val="1"/>
          </rPr>
          <t>Balance, Climb, Escape Artist, Hide, Jump, Move Silently, Sleight of Hand, Tumble.</t>
        </r>
      </text>
    </comment>
    <comment ref="A26" authorId="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 ref="A27" authorId="0">
      <text>
        <r>
          <rPr>
            <sz val="12"/>
            <color indexed="81"/>
            <rFont val="Times New Roman"/>
            <family val="1"/>
          </rPr>
          <t>Upon command, an animated shield floats within 2 feet of the wielder, protecting her as if she were using it herself but freeing up both her hands. Only one shield can protect a character at a time.  A character with an animated shield still takes any penalties associated with shield use, such as armor check penalty, arcane spell failure chance, and nonproficiency.
Strong transmutation; CL 12th; Craft Magic Arms and Armor, animate objects; Price +2 bonus.
DMG 218</t>
        </r>
      </text>
    </comment>
    <comment ref="A28"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7.xml><?xml version="1.0" encoding="utf-8"?>
<comments xmlns="http://schemas.openxmlformats.org/spreadsheetml/2006/main">
  <authors>
    <author>Alexis Álvarez</author>
  </authors>
  <commentList>
    <comment ref="A6" authorId="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7"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0" authorId="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1" authorId="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 ref="A15" authorId="0">
      <text>
        <r>
          <rPr>
            <sz val="12"/>
            <color indexed="81"/>
            <rFont val="Times New Roman"/>
            <family val="1"/>
          </rPr>
          <t>DMG 238</t>
        </r>
      </text>
    </comment>
  </commentList>
</comments>
</file>

<file path=xl/sharedStrings.xml><?xml version="1.0" encoding="utf-8"?>
<sst xmlns="http://schemas.openxmlformats.org/spreadsheetml/2006/main" count="1032" uniqueCount="404">
  <si>
    <t>Race:</t>
  </si>
  <si>
    <t>Sex:</t>
  </si>
  <si>
    <t>Strength:</t>
  </si>
  <si>
    <t>Dexterity:</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</si>
  <si>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</si>
  <si>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</si>
  <si>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</si>
  <si>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</si>
  <si>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</si>
  <si>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</si>
  <si>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</si>
  <si>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</si>
  <si>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</si>
  <si>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</si>
  <si>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</si>
  <si>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</si>
  <si>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</si>
  <si>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</si>
  <si>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</si>
  <si>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</si>
  <si>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</si>
  <si>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</si>
  <si>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</si>
  <si>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</si>
  <si>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</si>
  <si>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</si>
  <si>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</si>
  <si>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</si>
  <si>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</si>
  <si>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</si>
  <si>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</si>
  <si>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</si>
  <si>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</si>
  <si>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</si>
  <si>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</si>
  <si>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</si>
  <si>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</si>
  <si>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</si>
  <si>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</si>
  <si>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</si>
  <si>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</si>
  <si>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</si>
  <si>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</si>
  <si>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</si>
  <si>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</si>
  <si>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</si>
  <si>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</si>
  <si>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</si>
  <si>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</si>
  <si>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</si>
  <si>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</si>
  <si>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</si>
  <si>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</si>
  <si>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</si>
  <si>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</si>
  <si>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</si>
  <si>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</si>
  <si>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</si>
  <si>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</si>
  <si>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</si>
  <si>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</si>
  <si>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</si>
  <si>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</si>
  <si>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</si>
  <si>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</si>
  <si>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</si>
  <si>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</si>
  <si>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</si>
  <si>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</si>
  <si>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</si>
  <si>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</si>
  <si>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</si>
  <si>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</si>
  <si>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</si>
  <si>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</si>
  <si>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</si>
  <si>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</si>
  <si>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Spell</t>
  </si>
  <si>
    <t>Cast?</t>
  </si>
  <si>
    <t>Languages</t>
  </si>
  <si>
    <t>Equipment Worn</t>
  </si>
  <si>
    <t>Item</t>
  </si>
  <si>
    <t>Effects/</t>
  </si>
  <si>
    <t>Notes</t>
  </si>
  <si>
    <t>Equipment Carried</t>
  </si>
  <si>
    <t>Check</t>
  </si>
  <si>
    <t>Arcane</t>
  </si>
  <si>
    <t>Speed</t>
  </si>
  <si>
    <t>Human</t>
  </si>
  <si>
    <t>Craft:  (type)</t>
  </si>
  <si>
    <t>Speak Language</t>
  </si>
  <si>
    <t>Knowledge:  Religion</t>
  </si>
  <si>
    <t>Perform:  (type)</t>
  </si>
  <si>
    <t>Sleight of Hand</t>
  </si>
  <si>
    <t>Survival</t>
  </si>
  <si>
    <t>Touch AC:</t>
  </si>
  <si>
    <t>Attack Bonus:</t>
  </si>
  <si>
    <t>Prepared Spells</t>
  </si>
  <si>
    <t>Divine Health</t>
  </si>
  <si>
    <t>General Feats</t>
  </si>
  <si>
    <t>DC</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</si>
  <si>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</si>
  <si>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</si>
  <si>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</si>
  <si>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</si>
  <si>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</si>
  <si>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</si>
  <si>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</si>
  <si>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</si>
  <si>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</si>
  <si>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</si>
  <si>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</si>
  <si>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</si>
  <si>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</si>
  <si>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</si>
  <si>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</si>
  <si>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</si>
  <si>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</si>
  <si>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</si>
  <si>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</si>
  <si>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</si>
  <si>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</si>
  <si>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</si>
  <si>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</si>
  <si>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</si>
  <si>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</si>
  <si>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</si>
  <si>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</si>
  <si>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</si>
  <si>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</si>
  <si>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</si>
  <si>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</si>
  <si>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</si>
  <si>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</si>
  <si>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</si>
  <si>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</si>
  <si>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</si>
  <si>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</si>
  <si>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</si>
  <si>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</si>
  <si>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</si>
  <si>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</si>
  <si>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</si>
  <si>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</si>
  <si>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</si>
  <si>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</si>
  <si>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</si>
  <si>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</si>
  <si>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</si>
  <si>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</si>
  <si>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</si>
  <si>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</si>
  <si>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Female</t>
  </si>
  <si>
    <t>Special Mount</t>
  </si>
  <si>
    <t>Divine Sacrifice</t>
  </si>
  <si>
    <t>Saddlebags</t>
  </si>
  <si>
    <t>Military Saddle</t>
  </si>
  <si>
    <t>Belt Pouch</t>
  </si>
  <si>
    <t>Whetstone</t>
  </si>
  <si>
    <t>Roll</t>
  </si>
  <si>
    <t>All Armor and Shields (not tower)</t>
  </si>
  <si>
    <t>Simple and Martial Weapons</t>
  </si>
  <si>
    <t>five</t>
  </si>
  <si>
    <t>Divine Grace</t>
  </si>
  <si>
    <t>Mount Encumbrance:</t>
  </si>
  <si>
    <t>19-20/x2</t>
  </si>
  <si>
    <t>Bludgeon</t>
  </si>
  <si>
    <t>Faith</t>
  </si>
  <si>
    <t>Victoria Greystone</t>
  </si>
  <si>
    <t>Pious Templar</t>
  </si>
  <si>
    <t>FF AC:</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</si>
  <si>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</si>
  <si>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Pious Templar 1</t>
  </si>
  <si>
    <t>Pious Templar 2</t>
  </si>
  <si>
    <t>Pious Templar 3</t>
  </si>
  <si>
    <t>Knowledge:  Nobility</t>
  </si>
  <si>
    <t>Aura of Good 1/day</t>
  </si>
  <si>
    <t>Turn Undead</t>
  </si>
  <si>
    <t>Silver Holy Symbol</t>
  </si>
  <si>
    <t>Lance</t>
  </si>
  <si>
    <t>Cloak of Charisma +2</t>
  </si>
  <si>
    <t>Gloves of Dexterity +2</t>
  </si>
  <si>
    <t>Crystal of Adaptation, Least</t>
  </si>
  <si>
    <t>Scrolls and Potions</t>
  </si>
  <si>
    <t>CLev</t>
  </si>
  <si>
    <t>Value</t>
  </si>
  <si>
    <t>1</t>
  </si>
  <si>
    <t>On Mount</t>
  </si>
  <si>
    <t>Lance (see Weapons)</t>
  </si>
  <si>
    <t>on mount</t>
  </si>
  <si>
    <t>Deity:</t>
  </si>
  <si>
    <t>Male</t>
  </si>
  <si>
    <t>Initiative:</t>
  </si>
  <si>
    <t>Size:</t>
  </si>
  <si>
    <t>Medium</t>
  </si>
  <si>
    <t>Wlk/Brw/Clm:</t>
  </si>
  <si>
    <t>TAC/AC:</t>
  </si>
  <si>
    <t>BAB:</t>
  </si>
  <si>
    <t>Fort:</t>
  </si>
  <si>
    <t>Ref:</t>
  </si>
  <si>
    <t>Will:</t>
  </si>
  <si>
    <t>Mount</t>
  </si>
  <si>
    <t>+1</t>
  </si>
  <si>
    <t>Heavy Warhorse</t>
  </si>
  <si>
    <t>MW Silver Heavy Flail</t>
  </si>
  <si>
    <t>x2</t>
  </si>
  <si>
    <t>30’</t>
  </si>
  <si>
    <t>x3</t>
  </si>
  <si>
    <t>Piercing</t>
  </si>
  <si>
    <t>Common</t>
  </si>
  <si>
    <t>Human:  Power Attack</t>
  </si>
  <si>
    <t>Slashing</t>
  </si>
  <si>
    <t>Total Equity:</t>
  </si>
  <si>
    <t>bypasses lycanthropes’ DR</t>
  </si>
  <si>
    <t>20’</t>
  </si>
  <si>
    <t>Animated Heavy Darkwood Shield +1</t>
  </si>
  <si>
    <t>-</t>
  </si>
  <si>
    <t>1st</t>
  </si>
  <si>
    <t>2nd</t>
  </si>
  <si>
    <t>3rd</t>
  </si>
  <si>
    <t>4th</t>
  </si>
  <si>
    <t>Total Daily Spells</t>
  </si>
  <si>
    <t>Spells by Level</t>
  </si>
  <si>
    <t>Paladin Spells</t>
  </si>
  <si>
    <t>Pious Templar Spells</t>
  </si>
  <si>
    <t>Wisdom Bonus 1</t>
  </si>
  <si>
    <t>Wisdom Bonus 2</t>
  </si>
  <si>
    <t>Bless Weapon</t>
  </si>
  <si>
    <t>Transmutation</t>
  </si>
  <si>
    <t>Enchantment</t>
  </si>
  <si>
    <t>Paladin Features</t>
  </si>
  <si>
    <t>Pious Templar Features</t>
  </si>
  <si>
    <t>Mettle</t>
  </si>
  <si>
    <t>True Believer bonus +2 when invoked</t>
  </si>
  <si>
    <t>40’</t>
  </si>
  <si>
    <t>0’</t>
  </si>
  <si>
    <t>1st:  True Believer</t>
  </si>
  <si>
    <t>3rd:  Weapon Focus:  Greatsword</t>
  </si>
  <si>
    <t>Brant</t>
  </si>
  <si>
    <t>Rhino’s Rush</t>
  </si>
  <si>
    <t>Swift</t>
  </si>
  <si>
    <t>Bull’s Strength</t>
  </si>
  <si>
    <t>6th:  Improved Toughness</t>
  </si>
  <si>
    <t>Weapon Specialization:  Greatsword</t>
  </si>
  <si>
    <t>Grapple</t>
  </si>
  <si>
    <t>Skill/Save</t>
  </si>
  <si>
    <t>9th:  Sacred Healing</t>
  </si>
  <si>
    <t>Improved Critical:  Greatsword</t>
  </si>
  <si>
    <t>Knowledge:  Arcana</t>
  </si>
  <si>
    <t>Pious Templar 4</t>
  </si>
  <si>
    <t>Javelins, 3</t>
  </si>
  <si>
    <t>17-20/x2</t>
  </si>
  <si>
    <t>Turning Undead</t>
  </si>
  <si>
    <t>Max HD Turned</t>
  </si>
  <si>
    <t>Turns/Day</t>
  </si>
  <si>
    <t>1d20 Roll</t>
  </si>
  <si>
    <t>Turn Check</t>
  </si>
  <si>
    <t>2d6 Roll</t>
  </si>
  <si>
    <t>Turns Used</t>
  </si>
  <si>
    <t>CROSS-CLASS SKILL</t>
  </si>
  <si>
    <t>Pious Templar 5</t>
  </si>
  <si>
    <t>Vest of Resistance +2</t>
  </si>
  <si>
    <t xml:space="preserve">Protection from Evil </t>
  </si>
  <si>
    <r>
      <t xml:space="preserve">Potion of </t>
    </r>
    <r>
      <rPr>
        <i/>
        <sz val="12"/>
        <rFont val="Times New Roman"/>
        <family val="1"/>
      </rPr>
      <t>enlarge person</t>
    </r>
  </si>
  <si>
    <t>Restful Crystal</t>
  </si>
  <si>
    <r>
      <t xml:space="preserve">Wand of </t>
    </r>
    <r>
      <rPr>
        <i/>
        <sz val="12"/>
        <rFont val="Times New Roman"/>
        <family val="1"/>
      </rPr>
      <t>cure light wounds</t>
    </r>
  </si>
  <si>
    <t>50 charges</t>
  </si>
  <si>
    <t>110’</t>
  </si>
  <si>
    <t>Arrows</t>
  </si>
  <si>
    <t>Weapons and Armor</t>
  </si>
  <si>
    <t>Tomorrow’s Spells</t>
  </si>
  <si>
    <t>Righteous Fury</t>
  </si>
  <si>
    <t>Reference</t>
  </si>
  <si>
    <t>Page</t>
  </si>
  <si>
    <t>PHB</t>
  </si>
  <si>
    <t>Complete Divine</t>
  </si>
  <si>
    <t>Complete Champion</t>
  </si>
  <si>
    <t>Spell Compendium</t>
  </si>
  <si>
    <t>Amulet of Wisdom +2</t>
  </si>
  <si>
    <t>Lesser Metamagic Rod of Extend</t>
  </si>
  <si>
    <t>MW Composite Longbow, Str +3</t>
  </si>
  <si>
    <t>3rd Attack</t>
  </si>
  <si>
    <r>
      <t xml:space="preserve">4th Attack, </t>
    </r>
    <r>
      <rPr>
        <i/>
        <sz val="12"/>
        <rFont val="Times New Roman"/>
        <family val="1"/>
      </rPr>
      <t>haste</t>
    </r>
  </si>
  <si>
    <t>3</t>
  </si>
  <si>
    <r>
      <t xml:space="preserve">Potion of </t>
    </r>
    <r>
      <rPr>
        <i/>
        <sz val="12"/>
        <rFont val="Times New Roman"/>
        <family val="1"/>
      </rPr>
      <t>cure moderate wounds</t>
    </r>
  </si>
  <si>
    <t>Weapon Proficiency</t>
  </si>
  <si>
    <t>+2 to stay on saddle (Military Saddle)</t>
  </si>
  <si>
    <t>Seal of the Serpent King</t>
  </si>
  <si>
    <t>?</t>
  </si>
  <si>
    <t>Aura of Resolve</t>
  </si>
  <si>
    <t>Protection from Law</t>
  </si>
  <si>
    <t>Protection from Evil</t>
  </si>
  <si>
    <t>Magic Circle vs. Law</t>
  </si>
  <si>
    <t>Remove Curse</t>
  </si>
  <si>
    <t>Smite +1/day (see Smite Evil above)</t>
  </si>
  <si>
    <t>Remove Disease</t>
  </si>
  <si>
    <t>Pious Templar 6</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</si>
  <si>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</si>
  <si>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</si>
  <si>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</si>
  <si>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</si>
  <si>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</si>
  <si>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</si>
  <si>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</si>
  <si>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</si>
  <si>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</si>
  <si>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</si>
  <si>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</si>
  <si>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</si>
  <si>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</si>
  <si>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</si>
  <si>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</si>
  <si>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</si>
  <si>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</si>
  <si>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</si>
  <si>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</si>
  <si>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</si>
  <si>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</si>
  <si>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</si>
  <si>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</si>
  <si>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</si>
  <si>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</si>
  <si>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</si>
  <si>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</si>
  <si>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</si>
  <si>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</si>
  <si>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</si>
  <si>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</si>
  <si>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</si>
  <si>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</si>
  <si>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</si>
  <si>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</si>
  <si>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</si>
  <si>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</si>
  <si>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</si>
  <si>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</si>
  <si>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</si>
  <si>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 xml:space="preserve">Smite Heretic </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</si>
  <si>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</si>
  <si>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</si>
  <si>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</si>
  <si>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</si>
  <si>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</si>
  <si>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</si>
  <si>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</si>
  <si>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</si>
  <si>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</si>
  <si>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</si>
  <si>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</si>
  <si>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</si>
  <si>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</si>
  <si>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Traveler’s Outfit</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</si>
  <si>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</si>
  <si>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</si>
  <si>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</si>
  <si>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</si>
  <si>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</si>
  <si>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</si>
  <si>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</si>
  <si>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</si>
  <si>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</si>
  <si>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</si>
  <si>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</si>
  <si>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</si>
  <si>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</si>
  <si>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</si>
  <si>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Sune</t>
  </si>
  <si>
    <t>Chaotic Good</t>
  </si>
  <si>
    <t>Paladin of Freedom</t>
  </si>
  <si>
    <t>Code of Conduct:  Liberator</t>
  </si>
  <si>
    <t>Pearls of Power, 1st level</t>
  </si>
  <si>
    <t>Spells Granted by Sune</t>
  </si>
  <si>
    <t>Full Plate of the Dove +3</t>
  </si>
  <si>
    <t>Affixed to Full Plate</t>
  </si>
  <si>
    <t>XP:</t>
  </si>
  <si>
    <t>AC:</t>
  </si>
  <si>
    <t>Adamantine Illuminating Holy Greatsword +1</t>
  </si>
  <si>
    <t>Detect Evil</t>
  </si>
  <si>
    <r>
      <t xml:space="preserve">Wings (stats as </t>
    </r>
    <r>
      <rPr>
        <i/>
        <sz val="12"/>
        <rFont val="Times New Roman"/>
        <family val="1"/>
      </rPr>
      <t xml:space="preserve">fly </t>
    </r>
    <r>
      <rPr>
        <sz val="12"/>
        <rFont val="Times New Roman"/>
        <family val="1"/>
      </rPr>
      <t>spell, CL 8) 1/day</t>
    </r>
  </si>
  <si>
    <t>Speed:</t>
  </si>
  <si>
    <t>q</t>
  </si>
  <si>
    <t>þ</t>
  </si>
  <si>
    <t>Caster Level:</t>
  </si>
  <si>
    <t>Damage Reduction 2/—</t>
  </si>
  <si>
    <t>Paladin of Freedom 1</t>
  </si>
  <si>
    <t>Paladin of Freedom 2</t>
  </si>
  <si>
    <t>Paladin of Freedom 3</t>
  </si>
  <si>
    <t>Paladin of Freedom 4</t>
  </si>
  <si>
    <t>Paladin of Freedom 5</t>
  </si>
  <si>
    <t>Pious Templar 7</t>
  </si>
  <si>
    <t>+4 to Cha vs. Serpentine NPCs</t>
  </si>
  <si>
    <t>Turn Damage</t>
  </si>
  <si>
    <t>+2d6 to evil</t>
  </si>
  <si>
    <t>ignores 20 hardness</t>
  </si>
  <si>
    <r>
      <t xml:space="preserve">+1 </t>
    </r>
    <r>
      <rPr>
        <i/>
        <sz val="13"/>
        <rFont val="Times New Roman"/>
        <family val="1"/>
      </rPr>
      <t>haste</t>
    </r>
  </si>
  <si>
    <t>Healing Belt</t>
  </si>
  <si>
    <t>1d8[2d6]</t>
  </si>
  <si>
    <t>2d6[3d6]+2</t>
  </si>
  <si>
    <t>1d10[2d8]</t>
  </si>
  <si>
    <t>1d6[1d8]</t>
  </si>
  <si>
    <t>2nd Attack [damage while Large]</t>
  </si>
  <si>
    <t>12th:  Blind-Fight</t>
  </si>
  <si>
    <t>Bear’s Endurance</t>
  </si>
  <si>
    <t>NPC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</si>
</sst>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7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3"/>
      <name val="Wingdings"/>
      <charset val="2"/>
    </font>
    <font>
      <sz val="13"/>
      <color indexed="12"/>
      <name val="Times New Roman"/>
      <family val="1"/>
    </font>
    <font>
      <sz val="12"/>
      <color indexed="81"/>
      <name val="Times New Roman"/>
      <family val="1"/>
    </font>
    <font>
      <i/>
      <sz val="12"/>
      <color indexed="81"/>
      <name val="Times New Roman"/>
      <family val="1"/>
    </font>
    <font>
      <i/>
      <sz val="17"/>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
      <i/>
      <sz val="18"/>
      <color rgb="FF0000FF"/>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sz val="13"/>
      <color theme="0"/>
      <name val="Times New Roman"/>
      <family val="1"/>
    </font>
    <font>
      <i/>
      <sz val="22"/>
      <color rgb="FFFF0000"/>
      <name val="Times New Roman"/>
      <family val="1"/>
    </font>
    <font>
      <sz val="13"/>
      <color rgb="FFFFFF00"/>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10"/>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
      <patternFill patternType="solid">
        <fgColor rgb="FF9933FF"/>
        <bgColor indexed="64"/>
      </patternFill>
    </fill>
    <fill>
      <patternFill patternType="solid">
        <fgColor theme="0"/>
        <bgColor indexed="64"/>
      </patternFill>
    </fill>
  </fills>
  <borders count="14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xf numFmtId="0" fontId="5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84">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5" fillId="0" borderId="0" xfId="0" applyNumberFormat="1" applyFont="1" applyBorder="1" applyAlignment="1">
      <alignment horizontal="left"/>
    </xf>
    <xf numFmtId="0" fontId="46" fillId="11" borderId="41" xfId="0" applyNumberFormat="1" applyFont="1" applyFill="1" applyBorder="1" applyAlignment="1">
      <alignment horizontal="center" vertical="center" wrapText="1"/>
    </xf>
    <xf numFmtId="0" fontId="12" fillId="3" borderId="42" xfId="0" applyNumberFormat="1"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20" xfId="0" applyFont="1" applyFill="1" applyBorder="1" applyAlignment="1">
      <alignment horizontal="centerContinuous" vertical="center" wrapText="1"/>
    </xf>
    <xf numFmtId="0" fontId="12" fillId="3" borderId="21" xfId="0" applyFont="1" applyFill="1" applyBorder="1" applyAlignment="1">
      <alignment horizontal="center" vertical="center" wrapText="1"/>
    </xf>
    <xf numFmtId="0" fontId="12" fillId="3" borderId="21" xfId="0" applyNumberFormat="1" applyFont="1" applyFill="1" applyBorder="1" applyAlignment="1">
      <alignment horizontal="center" vertical="center" wrapText="1"/>
    </xf>
    <xf numFmtId="0" fontId="4" fillId="0" borderId="0" xfId="0" applyFont="1" applyBorder="1" applyAlignment="1">
      <alignment vertical="center" wrapText="1"/>
    </xf>
    <xf numFmtId="0" fontId="2" fillId="0" borderId="44"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1" fillId="13" borderId="14" xfId="0" applyFont="1" applyFill="1" applyBorder="1" applyAlignment="1">
      <alignment horizontal="center" vertical="center"/>
    </xf>
    <xf numFmtId="0" fontId="21" fillId="13" borderId="15" xfId="0" applyFont="1" applyFill="1" applyBorder="1" applyAlignment="1">
      <alignment horizontal="center" vertical="center"/>
    </xf>
    <xf numFmtId="49" fontId="21" fillId="13" borderId="15" xfId="0" applyNumberFormat="1" applyFont="1" applyFill="1" applyBorder="1" applyAlignment="1">
      <alignment horizontal="center" vertical="center"/>
    </xf>
    <xf numFmtId="0" fontId="21" fillId="13" borderId="19" xfId="0" applyFont="1" applyFill="1" applyBorder="1" applyAlignment="1">
      <alignment horizontal="center" vertical="center"/>
    </xf>
    <xf numFmtId="0" fontId="49" fillId="11" borderId="19" xfId="0" applyFont="1" applyFill="1" applyBorder="1" applyAlignment="1">
      <alignment horizontal="center" vertical="center"/>
    </xf>
    <xf numFmtId="0" fontId="21" fillId="13" borderId="16" xfId="0" applyFont="1" applyFill="1" applyBorder="1" applyAlignment="1">
      <alignment horizontal="center" vertical="center"/>
    </xf>
    <xf numFmtId="0" fontId="2" fillId="0" borderId="50" xfId="0" applyFont="1" applyFill="1" applyBorder="1" applyAlignment="1">
      <alignment horizontal="center" vertical="center"/>
    </xf>
    <xf numFmtId="49" fontId="2" fillId="0" borderId="50" xfId="2" applyNumberFormat="1" applyFont="1" applyFill="1" applyBorder="1" applyAlignment="1">
      <alignment horizontal="center" vertical="center"/>
    </xf>
    <xf numFmtId="0" fontId="2" fillId="0" borderId="50" xfId="0" applyFont="1" applyBorder="1" applyAlignment="1">
      <alignment horizontal="center" vertical="center"/>
    </xf>
    <xf numFmtId="164" fontId="2" fillId="0" borderId="50" xfId="0" applyNumberFormat="1" applyFont="1" applyFill="1" applyBorder="1" applyAlignment="1">
      <alignment horizontal="center" vertical="center"/>
    </xf>
    <xf numFmtId="164" fontId="5" fillId="0" borderId="50" xfId="0" applyNumberFormat="1" applyFont="1" applyFill="1" applyBorder="1" applyAlignment="1">
      <alignment horizontal="center" vertical="center"/>
    </xf>
    <xf numFmtId="0" fontId="2" fillId="0" borderId="52" xfId="0" applyFont="1" applyFill="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164" fontId="5" fillId="0" borderId="55" xfId="0" applyNumberFormat="1"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3" borderId="19" xfId="0" applyFont="1" applyFill="1" applyBorder="1" applyAlignment="1">
      <alignment horizontal="centerContinuous" vertical="center"/>
    </xf>
    <xf numFmtId="0" fontId="21" fillId="13" borderId="60" xfId="0" applyFont="1" applyFill="1" applyBorder="1" applyAlignment="1">
      <alignment horizontal="centerContinuous" vertical="center"/>
    </xf>
    <xf numFmtId="0" fontId="21" fillId="13" borderId="61" xfId="0" applyFont="1" applyFill="1" applyBorder="1" applyAlignment="1">
      <alignment horizontal="centerContinuous" vertical="center"/>
    </xf>
    <xf numFmtId="164" fontId="5" fillId="0" borderId="63" xfId="0" applyNumberFormat="1" applyFont="1" applyFill="1" applyBorder="1" applyAlignment="1">
      <alignment horizontal="centerContinuous" vertical="center"/>
    </xf>
    <xf numFmtId="9" fontId="5" fillId="0" borderId="55" xfId="0" applyNumberFormat="1" applyFont="1" applyBorder="1" applyAlignment="1">
      <alignment horizontal="center" vertical="center"/>
    </xf>
    <xf numFmtId="164" fontId="5" fillId="0" borderId="9" xfId="0" applyNumberFormat="1" applyFont="1" applyBorder="1" applyAlignment="1">
      <alignment horizontal="centerContinuous" vertical="center"/>
    </xf>
    <xf numFmtId="0" fontId="5" fillId="0" borderId="10" xfId="0" applyFont="1" applyBorder="1" applyAlignment="1">
      <alignment horizontal="centerContinuous" vertical="center"/>
    </xf>
    <xf numFmtId="0" fontId="18" fillId="0" borderId="0" xfId="0" applyFont="1" applyBorder="1" applyAlignment="1">
      <alignment horizontal="right" vertical="center"/>
    </xf>
    <xf numFmtId="0" fontId="21" fillId="13" borderId="17" xfId="0" applyFont="1" applyFill="1" applyBorder="1" applyAlignment="1">
      <alignment horizontal="centerContinuous" vertical="center"/>
    </xf>
    <xf numFmtId="0" fontId="21" fillId="13" borderId="18" xfId="0" applyFont="1" applyFill="1" applyBorder="1" applyAlignment="1">
      <alignment horizontal="centerContinuous" vertical="center"/>
    </xf>
    <xf numFmtId="0" fontId="21" fillId="13" borderId="61" xfId="0" applyFont="1" applyFill="1" applyBorder="1" applyAlignment="1">
      <alignment horizontal="center" vertical="center"/>
    </xf>
    <xf numFmtId="0" fontId="5" fillId="0" borderId="63" xfId="0" applyFont="1" applyFill="1" applyBorder="1" applyAlignment="1">
      <alignment horizontal="centerContinuous" vertical="center"/>
    </xf>
    <xf numFmtId="0" fontId="5" fillId="0" borderId="77" xfId="0" applyFont="1" applyFill="1" applyBorder="1" applyAlignment="1">
      <alignment horizontal="centerContinuous" vertical="center"/>
    </xf>
    <xf numFmtId="0" fontId="5" fillId="0" borderId="76" xfId="0" applyFont="1" applyFill="1" applyBorder="1" applyAlignment="1">
      <alignment horizontal="center" vertical="center"/>
    </xf>
    <xf numFmtId="49" fontId="2" fillId="0" borderId="77" xfId="0" applyNumberFormat="1" applyFont="1" applyFill="1" applyBorder="1" applyAlignment="1">
      <alignment horizontal="center" vertical="center"/>
    </xf>
    <xf numFmtId="0" fontId="5" fillId="0" borderId="64" xfId="0" applyFont="1" applyFill="1" applyBorder="1" applyAlignment="1">
      <alignment horizontal="center" vertical="center"/>
    </xf>
    <xf numFmtId="0" fontId="5" fillId="0" borderId="49" xfId="0" applyFont="1" applyFill="1" applyBorder="1" applyAlignment="1">
      <alignment horizontal="centerContinuous" vertical="center"/>
    </xf>
    <xf numFmtId="0" fontId="5" fillId="0" borderId="80" xfId="0" applyFont="1" applyFill="1" applyBorder="1" applyAlignment="1">
      <alignment horizontal="centerContinuous" vertical="center"/>
    </xf>
    <xf numFmtId="0" fontId="5" fillId="0" borderId="78" xfId="0" applyFont="1" applyFill="1" applyBorder="1" applyAlignment="1">
      <alignment horizontal="centerContinuous" vertical="center"/>
    </xf>
    <xf numFmtId="164" fontId="5" fillId="0" borderId="79"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164" fontId="5" fillId="0" borderId="81" xfId="0" applyNumberFormat="1" applyFont="1" applyBorder="1" applyAlignment="1">
      <alignment horizontal="centerContinuous" vertical="center"/>
    </xf>
    <xf numFmtId="0" fontId="5" fillId="0" borderId="82"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1" fillId="3" borderId="41" xfId="0" applyFont="1" applyFill="1" applyBorder="1" applyAlignment="1">
      <alignment horizontal="center" vertical="center"/>
    </xf>
    <xf numFmtId="164" fontId="21" fillId="3" borderId="42" xfId="0" applyNumberFormat="1" applyFont="1" applyFill="1" applyBorder="1" applyAlignment="1">
      <alignment horizontal="center" vertical="center"/>
    </xf>
    <xf numFmtId="0" fontId="21" fillId="3" borderId="41" xfId="0" applyFont="1" applyFill="1" applyBorder="1" applyAlignment="1">
      <alignment horizontal="right" vertical="center"/>
    </xf>
    <xf numFmtId="0" fontId="21" fillId="3" borderId="43" xfId="0" applyFont="1" applyFill="1" applyBorder="1" applyAlignment="1">
      <alignment vertical="center"/>
    </xf>
    <xf numFmtId="0" fontId="2" fillId="0" borderId="68"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46" xfId="0" applyFont="1" applyBorder="1" applyAlignment="1">
      <alignment horizontal="left" vertical="center" shrinkToFit="1"/>
    </xf>
    <xf numFmtId="0" fontId="5" fillId="0" borderId="68"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34" fillId="0" borderId="31" xfId="0" applyFont="1" applyBorder="1" applyAlignment="1">
      <alignment horizontal="centerContinuous" vertical="center" wrapText="1"/>
    </xf>
    <xf numFmtId="0" fontId="15" fillId="0" borderId="32" xfId="0" applyFont="1" applyBorder="1" applyAlignment="1">
      <alignment horizontal="centerContinuous" vertical="center" wrapText="1"/>
    </xf>
    <xf numFmtId="0" fontId="15" fillId="0" borderId="33" xfId="0" applyFont="1" applyBorder="1" applyAlignment="1">
      <alignment horizontal="centerContinuous" vertical="center" wrapText="1"/>
    </xf>
    <xf numFmtId="0" fontId="5" fillId="0" borderId="0" xfId="0" applyFont="1" applyBorder="1" applyAlignment="1">
      <alignment vertical="center" wrapText="1"/>
    </xf>
    <xf numFmtId="0" fontId="12" fillId="10" borderId="35" xfId="0" applyFont="1" applyFill="1" applyBorder="1" applyAlignment="1">
      <alignment horizontal="centerContinuous"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5" fillId="0" borderId="0" xfId="0" applyFont="1" applyBorder="1" applyAlignment="1">
      <alignment horizontal="left" vertical="center"/>
    </xf>
    <xf numFmtId="0" fontId="47" fillId="0" borderId="40" xfId="0" applyFont="1" applyFill="1" applyBorder="1" applyAlignment="1">
      <alignment horizontal="centerContinuous" vertical="center" shrinkToFit="1"/>
    </xf>
    <xf numFmtId="0" fontId="2" fillId="0" borderId="0" xfId="0" applyFont="1" applyBorder="1" applyAlignment="1">
      <alignment vertical="center" wrapText="1"/>
    </xf>
    <xf numFmtId="0" fontId="35" fillId="9" borderId="38" xfId="2" applyNumberFormat="1" applyFont="1" applyFill="1" applyBorder="1" applyAlignment="1">
      <alignment horizontal="center" vertical="center" shrinkToFit="1"/>
    </xf>
    <xf numFmtId="0" fontId="17" fillId="0" borderId="40" xfId="0" applyFont="1" applyFill="1" applyBorder="1" applyAlignment="1">
      <alignment horizontal="center" vertical="center" shrinkToFit="1"/>
    </xf>
    <xf numFmtId="0" fontId="27" fillId="0" borderId="40"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9" xfId="0" applyFont="1" applyFill="1" applyBorder="1" applyAlignment="1">
      <alignment horizontal="center" vertical="center" shrinkToFi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7" fillId="0" borderId="25" xfId="0" applyFont="1" applyFill="1" applyBorder="1" applyAlignment="1">
      <alignment horizontal="center" vertical="center"/>
    </xf>
    <xf numFmtId="0" fontId="27" fillId="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wrapText="1"/>
    </xf>
    <xf numFmtId="0" fontId="44" fillId="11" borderId="26" xfId="0" applyNumberFormat="1" applyFont="1" applyFill="1" applyBorder="1" applyAlignment="1">
      <alignment horizontal="center" vertical="center"/>
    </xf>
    <xf numFmtId="0" fontId="45" fillId="0" borderId="1" xfId="0" applyFont="1" applyFill="1" applyBorder="1" applyAlignment="1">
      <alignment vertical="center"/>
    </xf>
    <xf numFmtId="0" fontId="24"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xf>
    <xf numFmtId="0" fontId="43" fillId="0" borderId="35" xfId="0" applyFont="1" applyFill="1" applyBorder="1" applyAlignment="1">
      <alignment vertical="center"/>
    </xf>
    <xf numFmtId="0" fontId="7" fillId="0" borderId="54" xfId="0" applyFont="1" applyFill="1" applyBorder="1" applyAlignment="1">
      <alignment horizontal="center" vertical="center"/>
    </xf>
    <xf numFmtId="0" fontId="28" fillId="0" borderId="12" xfId="0" applyNumberFormat="1" applyFont="1" applyFill="1" applyBorder="1" applyAlignment="1">
      <alignment horizontal="center" vertical="center"/>
    </xf>
    <xf numFmtId="0" fontId="28" fillId="0" borderId="54"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wrapText="1"/>
    </xf>
    <xf numFmtId="1" fontId="7" fillId="0" borderId="54" xfId="0" applyNumberFormat="1" applyFont="1" applyFill="1" applyBorder="1" applyAlignment="1">
      <alignment horizontal="center" vertical="center" wrapText="1"/>
    </xf>
    <xf numFmtId="0" fontId="44" fillId="11" borderId="54"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25" xfId="0" applyNumberFormat="1" applyFont="1" applyFill="1" applyBorder="1" applyAlignment="1">
      <alignment horizontal="center"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7" fillId="14" borderId="25" xfId="0" applyNumberFormat="1" applyFont="1" applyFill="1" applyBorder="1" applyAlignment="1">
      <alignment horizontal="center" vertical="center"/>
    </xf>
    <xf numFmtId="49" fontId="7" fillId="14" borderId="26" xfId="0" applyNumberFormat="1" applyFont="1" applyFill="1" applyBorder="1" applyAlignment="1">
      <alignment horizontal="center" vertical="center"/>
    </xf>
    <xf numFmtId="0" fontId="7" fillId="14" borderId="27"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5" xfId="0" applyNumberFormat="1" applyFont="1" applyFill="1" applyBorder="1" applyAlignment="1">
      <alignment horizontal="center" vertical="center"/>
    </xf>
    <xf numFmtId="49" fontId="16" fillId="5" borderId="25" xfId="0" applyNumberFormat="1" applyFont="1" applyFill="1" applyBorder="1" applyAlignment="1">
      <alignment horizontal="center" vertical="center"/>
    </xf>
    <xf numFmtId="0" fontId="16" fillId="5" borderId="26" xfId="0" applyNumberFormat="1" applyFont="1" applyFill="1" applyBorder="1" applyAlignment="1">
      <alignment horizontal="center" vertical="center"/>
    </xf>
    <xf numFmtId="49" fontId="7" fillId="5" borderId="26" xfId="0" applyNumberFormat="1" applyFont="1" applyFill="1" applyBorder="1" applyAlignment="1">
      <alignment horizontal="center" vertical="center"/>
    </xf>
    <xf numFmtId="0" fontId="7" fillId="5" borderId="27" xfId="0" applyNumberFormat="1" applyFont="1" applyFill="1" applyBorder="1" applyAlignment="1">
      <alignment horizontal="center" vertical="center"/>
    </xf>
    <xf numFmtId="0" fontId="14" fillId="14" borderId="1" xfId="0" applyFont="1" applyFill="1" applyBorder="1" applyAlignment="1">
      <alignment vertical="center"/>
    </xf>
    <xf numFmtId="49" fontId="23" fillId="14" borderId="25" xfId="0" applyNumberFormat="1" applyFont="1" applyFill="1" applyBorder="1" applyAlignment="1">
      <alignment horizontal="center" vertical="center"/>
    </xf>
    <xf numFmtId="0" fontId="23" fillId="14" borderId="26" xfId="0" applyNumberFormat="1" applyFont="1" applyFill="1" applyBorder="1" applyAlignment="1">
      <alignment horizontal="center" vertical="center"/>
    </xf>
    <xf numFmtId="0" fontId="14" fillId="14"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5" xfId="0" applyNumberFormat="1" applyFont="1" applyFill="1" applyBorder="1" applyAlignment="1">
      <alignment horizontal="center" vertical="center"/>
    </xf>
    <xf numFmtId="0" fontId="23" fillId="7"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1" fillId="14" borderId="1" xfId="0" applyFont="1" applyFill="1" applyBorder="1" applyAlignment="1">
      <alignment vertical="center"/>
    </xf>
    <xf numFmtId="49" fontId="16" fillId="14" borderId="25" xfId="0" applyNumberFormat="1" applyFont="1" applyFill="1" applyBorder="1" applyAlignment="1">
      <alignment horizontal="center" vertical="center"/>
    </xf>
    <xf numFmtId="0" fontId="16" fillId="14"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5" xfId="0" applyNumberFormat="1" applyFont="1" applyFill="1" applyBorder="1" applyAlignment="1">
      <alignment horizontal="center" vertical="center"/>
    </xf>
    <xf numFmtId="0" fontId="24" fillId="5" borderId="26" xfId="0" applyNumberFormat="1" applyFont="1" applyFill="1" applyBorder="1" applyAlignment="1">
      <alignment horizontal="center" vertical="center"/>
    </xf>
    <xf numFmtId="0" fontId="14" fillId="4" borderId="1" xfId="0" applyFont="1" applyFill="1" applyBorder="1" applyAlignment="1">
      <alignment vertical="center"/>
    </xf>
    <xf numFmtId="49" fontId="28" fillId="5" borderId="25" xfId="0" applyNumberFormat="1" applyFont="1" applyFill="1" applyBorder="1" applyAlignment="1">
      <alignment horizontal="center" vertical="center"/>
    </xf>
    <xf numFmtId="0" fontId="28" fillId="5" borderId="26" xfId="0" applyNumberFormat="1" applyFont="1" applyFill="1" applyBorder="1" applyAlignment="1">
      <alignment horizontal="center" vertical="center"/>
    </xf>
    <xf numFmtId="0" fontId="13"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8" borderId="1" xfId="0" applyFont="1" applyFill="1" applyBorder="1" applyAlignment="1">
      <alignment vertical="center"/>
    </xf>
    <xf numFmtId="49" fontId="28" fillId="8" borderId="25" xfId="0" applyNumberFormat="1" applyFont="1" applyFill="1" applyBorder="1" applyAlignment="1">
      <alignment horizontal="center" vertical="center"/>
    </xf>
    <xf numFmtId="0" fontId="28" fillId="8" borderId="26" xfId="0" applyNumberFormat="1" applyFont="1" applyFill="1" applyBorder="1" applyAlignment="1">
      <alignment horizontal="center" vertical="center"/>
    </xf>
    <xf numFmtId="0" fontId="11" fillId="4" borderId="1" xfId="0" applyFont="1" applyFill="1" applyBorder="1" applyAlignment="1">
      <alignment vertical="center"/>
    </xf>
    <xf numFmtId="0" fontId="7" fillId="4" borderId="25" xfId="0" applyNumberFormat="1" applyFont="1" applyFill="1" applyBorder="1" applyAlignment="1">
      <alignment horizontal="center" vertical="center"/>
    </xf>
    <xf numFmtId="49" fontId="16" fillId="4" borderId="25" xfId="0" applyNumberFormat="1" applyFont="1" applyFill="1" applyBorder="1" applyAlignment="1">
      <alignment horizontal="center" vertical="center"/>
    </xf>
    <xf numFmtId="0" fontId="16" fillId="4" borderId="26" xfId="0" applyNumberFormat="1" applyFont="1" applyFill="1" applyBorder="1" applyAlignment="1">
      <alignment horizontal="center" vertical="center"/>
    </xf>
    <xf numFmtId="49" fontId="7" fillId="4" borderId="26" xfId="0" applyNumberFormat="1" applyFont="1" applyFill="1" applyBorder="1" applyAlignment="1">
      <alignment horizontal="center" vertical="center"/>
    </xf>
    <xf numFmtId="0" fontId="7" fillId="4" borderId="27" xfId="0"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4" borderId="1" xfId="0" applyFont="1" applyFill="1" applyBorder="1" applyAlignment="1">
      <alignment vertical="center"/>
    </xf>
    <xf numFmtId="49" fontId="24" fillId="4" borderId="25" xfId="0" applyNumberFormat="1" applyFont="1" applyFill="1" applyBorder="1" applyAlignment="1">
      <alignment horizontal="center" vertical="center"/>
    </xf>
    <xf numFmtId="0" fontId="24" fillId="4" borderId="26"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3" fillId="6" borderId="8" xfId="0" applyFont="1" applyFill="1" applyBorder="1" applyAlignment="1">
      <alignment vertical="center"/>
    </xf>
    <xf numFmtId="0" fontId="7" fillId="6" borderId="55" xfId="0" applyNumberFormat="1" applyFont="1" applyFill="1" applyBorder="1" applyAlignment="1">
      <alignment horizontal="center" vertical="center"/>
    </xf>
    <xf numFmtId="49" fontId="24" fillId="6" borderId="55" xfId="0" applyNumberFormat="1" applyFont="1" applyFill="1" applyBorder="1" applyAlignment="1">
      <alignment horizontal="center" vertical="center"/>
    </xf>
    <xf numFmtId="0" fontId="24" fillId="6" borderId="56" xfId="0" applyNumberFormat="1" applyFont="1" applyFill="1" applyBorder="1" applyAlignment="1">
      <alignment horizontal="center" vertical="center"/>
    </xf>
    <xf numFmtId="49" fontId="7" fillId="6" borderId="56" xfId="0" applyNumberFormat="1" applyFont="1" applyFill="1" applyBorder="1" applyAlignment="1">
      <alignment horizontal="center" vertical="center"/>
    </xf>
    <xf numFmtId="0" fontId="44" fillId="11" borderId="56" xfId="0" applyNumberFormat="1" applyFont="1" applyFill="1" applyBorder="1" applyAlignment="1">
      <alignment horizontal="center" vertical="center"/>
    </xf>
    <xf numFmtId="0" fontId="7" fillId="6" borderId="39" xfId="0" applyNumberFormat="1" applyFont="1" applyFill="1" applyBorder="1" applyAlignment="1">
      <alignment horizontal="center" vertical="center"/>
    </xf>
    <xf numFmtId="0" fontId="4" fillId="0" borderId="0" xfId="0" applyFont="1" applyBorder="1" applyAlignment="1">
      <alignment horizontal="right" vertical="center"/>
    </xf>
    <xf numFmtId="0" fontId="15" fillId="0" borderId="0" xfId="0" applyFont="1" applyBorder="1" applyAlignment="1">
      <alignment horizontal="centerContinuous" vertical="center" wrapText="1"/>
    </xf>
    <xf numFmtId="0" fontId="12" fillId="10" borderId="20" xfId="0" applyFont="1" applyFill="1" applyBorder="1" applyAlignment="1">
      <alignment horizontal="centerContinuous" vertical="center" wrapText="1"/>
    </xf>
    <xf numFmtId="0" fontId="12" fillId="10" borderId="21"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12" fillId="10" borderId="22" xfId="0" applyFont="1" applyFill="1" applyBorder="1" applyAlignment="1">
      <alignment horizontal="centerContinuous" vertical="center" wrapText="1"/>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40" fillId="2" borderId="7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7" xfId="0" applyFont="1" applyFill="1" applyBorder="1" applyAlignment="1">
      <alignment horizontal="right" vertical="center"/>
    </xf>
    <xf numFmtId="0" fontId="7" fillId="0" borderId="0" xfId="0" applyFont="1" applyBorder="1" applyAlignment="1">
      <alignment horizontal="left" vertical="center"/>
    </xf>
    <xf numFmtId="0" fontId="8" fillId="2" borderId="11" xfId="0" applyFont="1" applyFill="1" applyBorder="1" applyAlignment="1">
      <alignment horizontal="right" vertical="center"/>
    </xf>
    <xf numFmtId="0" fontId="26" fillId="0" borderId="12" xfId="0" applyNumberFormat="1" applyFont="1" applyBorder="1" applyAlignment="1">
      <alignment horizontal="center" vertical="center"/>
    </xf>
    <xf numFmtId="0" fontId="10" fillId="4" borderId="7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2" xfId="0" applyNumberFormat="1" applyFont="1" applyBorder="1" applyAlignment="1">
      <alignment horizontal="center" vertical="center"/>
    </xf>
    <xf numFmtId="0" fontId="10" fillId="4" borderId="65" xfId="0" applyFont="1" applyFill="1" applyBorder="1" applyAlignment="1">
      <alignment horizontal="right" vertical="center"/>
    </xf>
    <xf numFmtId="164" fontId="6" fillId="9" borderId="30"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8" fillId="4" borderId="65" xfId="0" applyFont="1" applyFill="1" applyBorder="1" applyAlignment="1">
      <alignment horizontal="right" vertical="center"/>
    </xf>
    <xf numFmtId="0" fontId="41" fillId="2" borderId="4" xfId="0" applyFont="1" applyFill="1" applyBorder="1" applyAlignment="1">
      <alignment horizontal="right" vertical="center"/>
    </xf>
    <xf numFmtId="0" fontId="22" fillId="2" borderId="4" xfId="0" applyFont="1" applyFill="1" applyBorder="1" applyAlignment="1">
      <alignment horizontal="right" vertical="center"/>
    </xf>
    <xf numFmtId="0" fontId="11" fillId="4" borderId="65" xfId="0" applyFont="1" applyFill="1" applyBorder="1" applyAlignment="1">
      <alignment horizontal="right" vertical="center"/>
    </xf>
    <xf numFmtId="0" fontId="14" fillId="2" borderId="13" xfId="0" applyFont="1" applyFill="1" applyBorder="1" applyAlignment="1">
      <alignment horizontal="right" vertical="center"/>
    </xf>
    <xf numFmtId="0" fontId="11" fillId="4" borderId="66" xfId="0" applyFont="1" applyFill="1" applyBorder="1" applyAlignment="1">
      <alignment horizontal="right"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44" xfId="0" applyFont="1" applyBorder="1" applyAlignment="1">
      <alignment horizontal="left" vertical="center"/>
    </xf>
    <xf numFmtId="0" fontId="5" fillId="0" borderId="69" xfId="0" applyFont="1" applyBorder="1" applyAlignment="1">
      <alignment horizontal="center" vertical="center" shrinkToFit="1"/>
    </xf>
    <xf numFmtId="0" fontId="5" fillId="0" borderId="50" xfId="0" applyFont="1" applyBorder="1" applyAlignment="1">
      <alignment horizontal="left" vertical="center"/>
    </xf>
    <xf numFmtId="0" fontId="3" fillId="0" borderId="0" xfId="0" applyFont="1" applyBorder="1" applyAlignment="1">
      <alignment vertical="center"/>
    </xf>
    <xf numFmtId="0" fontId="5" fillId="0" borderId="67" xfId="0" applyFont="1" applyBorder="1" applyAlignment="1">
      <alignment horizontal="center" vertical="center" shrinkToFit="1"/>
    </xf>
    <xf numFmtId="164" fontId="5" fillId="0" borderId="53" xfId="0" applyNumberFormat="1" applyFont="1" applyBorder="1" applyAlignment="1">
      <alignment horizontal="center" vertical="center" shrinkToFit="1"/>
    </xf>
    <xf numFmtId="0" fontId="2" fillId="0" borderId="44" xfId="0" applyFont="1" applyBorder="1" applyAlignment="1">
      <alignment horizontal="left" vertical="center"/>
    </xf>
    <xf numFmtId="0" fontId="39" fillId="0" borderId="0" xfId="0" applyFont="1" applyBorder="1" applyAlignment="1">
      <alignment vertical="center"/>
    </xf>
    <xf numFmtId="1" fontId="6" fillId="0" borderId="28" xfId="0" applyNumberFormat="1" applyFont="1" applyBorder="1" applyAlignment="1">
      <alignment horizontal="center" vertical="center"/>
    </xf>
    <xf numFmtId="49" fontId="16" fillId="0" borderId="38" xfId="0" applyNumberFormat="1" applyFont="1" applyFill="1" applyBorder="1" applyAlignment="1">
      <alignment horizontal="center" shrinkToFit="1"/>
    </xf>
    <xf numFmtId="0" fontId="6" fillId="4" borderId="84"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4" borderId="1" xfId="0" applyFont="1" applyFill="1" applyBorder="1" applyAlignment="1">
      <alignment vertical="center"/>
    </xf>
    <xf numFmtId="49" fontId="17" fillId="14" borderId="25"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7" fillId="0"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0" fontId="7" fillId="0" borderId="27" xfId="0" quotePrefix="1" applyNumberFormat="1" applyFont="1" applyFill="1" applyBorder="1" applyAlignment="1">
      <alignment horizontal="center" vertical="center" wrapText="1"/>
    </xf>
    <xf numFmtId="0" fontId="7" fillId="0" borderId="54" xfId="0" applyFont="1" applyFill="1" applyBorder="1" applyAlignment="1">
      <alignment horizontal="center" vertical="center" wrapText="1"/>
    </xf>
    <xf numFmtId="9" fontId="7" fillId="0" borderId="54" xfId="2" applyFont="1" applyFill="1" applyBorder="1" applyAlignment="1">
      <alignment horizontal="center" vertical="center" shrinkToFit="1"/>
    </xf>
    <xf numFmtId="9" fontId="7" fillId="0" borderId="12" xfId="2" applyFont="1" applyFill="1" applyBorder="1" applyAlignment="1">
      <alignment horizontal="center" vertical="center" shrinkToFit="1"/>
    </xf>
    <xf numFmtId="0" fontId="7" fillId="0" borderId="12" xfId="2" applyNumberFormat="1" applyFont="1" applyFill="1" applyBorder="1" applyAlignment="1">
      <alignment horizontal="center" vertical="center" shrinkToFit="1"/>
    </xf>
    <xf numFmtId="49" fontId="7" fillId="0" borderId="38" xfId="0" applyNumberFormat="1" applyFont="1" applyFill="1" applyBorder="1" applyAlignment="1">
      <alignment horizontal="center" vertical="center" wrapText="1"/>
    </xf>
    <xf numFmtId="0" fontId="7" fillId="0" borderId="35" xfId="0" applyFont="1" applyFill="1" applyBorder="1" applyAlignment="1">
      <alignment horizontal="center" vertical="center" shrinkToFit="1"/>
    </xf>
    <xf numFmtId="0" fontId="36" fillId="0" borderId="40" xfId="0" applyFont="1" applyFill="1" applyBorder="1" applyAlignment="1">
      <alignment horizontal="centerContinuous" vertical="center"/>
    </xf>
    <xf numFmtId="0" fontId="27" fillId="0" borderId="40" xfId="0" applyFont="1" applyFill="1" applyBorder="1" applyAlignment="1">
      <alignment horizontal="center" vertical="center" shrinkToFit="1"/>
    </xf>
    <xf numFmtId="0" fontId="27" fillId="0" borderId="40" xfId="0" applyFont="1" applyFill="1" applyBorder="1" applyAlignment="1">
      <alignment horizontal="centerContinuous" vertical="center"/>
    </xf>
    <xf numFmtId="0" fontId="34" fillId="0" borderId="23" xfId="0" applyFont="1" applyBorder="1" applyAlignment="1">
      <alignment horizontal="centerContinuous" vertical="center" wrapText="1"/>
    </xf>
    <xf numFmtId="0" fontId="2" fillId="0" borderId="13" xfId="0" applyFont="1" applyBorder="1" applyAlignment="1">
      <alignment horizontal="center" vertical="center"/>
    </xf>
    <xf numFmtId="0" fontId="2" fillId="0" borderId="69" xfId="0" applyFont="1" applyFill="1" applyBorder="1" applyAlignment="1">
      <alignment horizontal="center" vertical="center"/>
    </xf>
    <xf numFmtId="164" fontId="5" fillId="0" borderId="83" xfId="0" applyNumberFormat="1" applyFont="1" applyBorder="1" applyAlignment="1">
      <alignment horizontal="center" vertical="center" shrinkToFit="1"/>
    </xf>
    <xf numFmtId="0" fontId="21" fillId="13" borderId="85" xfId="0" applyFont="1" applyFill="1" applyBorder="1" applyAlignment="1">
      <alignment horizontal="center" vertical="center"/>
    </xf>
    <xf numFmtId="0" fontId="2" fillId="0" borderId="0" xfId="0" applyFont="1" applyBorder="1" applyAlignment="1">
      <alignment vertical="center"/>
    </xf>
    <xf numFmtId="1" fontId="21" fillId="13" borderId="34" xfId="0" applyNumberFormat="1" applyFont="1" applyFill="1" applyBorder="1" applyAlignment="1">
      <alignment horizontal="center" vertical="center"/>
    </xf>
    <xf numFmtId="0" fontId="2" fillId="0" borderId="62" xfId="0" applyFont="1" applyFill="1" applyBorder="1" applyAlignment="1">
      <alignment horizontal="centerContinuous" vertical="center" shrinkToFit="1"/>
    </xf>
    <xf numFmtId="0" fontId="21" fillId="0" borderId="63" xfId="0" applyFont="1" applyFill="1" applyBorder="1" applyAlignment="1">
      <alignment horizontal="centerContinuous" vertical="center"/>
    </xf>
    <xf numFmtId="0" fontId="21" fillId="0" borderId="86" xfId="0" applyFont="1" applyFill="1" applyBorder="1" applyAlignment="1">
      <alignment horizontal="centerContinuous" vertical="center"/>
    </xf>
    <xf numFmtId="0" fontId="2" fillId="0" borderId="8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4" xfId="0" applyFont="1" applyFill="1" applyBorder="1" applyAlignment="1">
      <alignment horizontal="centerContinuous" vertical="center"/>
    </xf>
    <xf numFmtId="1" fontId="2" fillId="0" borderId="88" xfId="0" applyNumberFormat="1" applyFont="1" applyFill="1" applyBorder="1" applyAlignment="1">
      <alignment horizontal="center" vertical="center"/>
    </xf>
    <xf numFmtId="0" fontId="2" fillId="0" borderId="89" xfId="0" applyFont="1" applyFill="1" applyBorder="1" applyAlignment="1">
      <alignment horizontal="centerContinuous" vertical="center" shrinkToFit="1"/>
    </xf>
    <xf numFmtId="0" fontId="21" fillId="0" borderId="90" xfId="0" applyFont="1" applyFill="1" applyBorder="1" applyAlignment="1">
      <alignment horizontal="centerContinuous" vertical="center"/>
    </xf>
    <xf numFmtId="0" fontId="21" fillId="0" borderId="91" xfId="0" applyFont="1" applyFill="1" applyBorder="1" applyAlignment="1">
      <alignment horizontal="centerContinuous" vertical="center"/>
    </xf>
    <xf numFmtId="0" fontId="2" fillId="0" borderId="45" xfId="0" applyFont="1" applyFill="1" applyBorder="1" applyAlignment="1">
      <alignment horizontal="center" vertical="center"/>
    </xf>
    <xf numFmtId="0" fontId="2" fillId="0" borderId="92" xfId="0" applyFont="1" applyFill="1" applyBorder="1" applyAlignment="1">
      <alignment horizontal="centerContinuous" vertical="center"/>
    </xf>
    <xf numFmtId="1" fontId="2" fillId="0" borderId="93" xfId="0" applyNumberFormat="1" applyFont="1" applyBorder="1" applyAlignment="1">
      <alignment horizontal="center" vertical="center"/>
    </xf>
    <xf numFmtId="0" fontId="2" fillId="0" borderId="49" xfId="0" applyFont="1" applyFill="1" applyBorder="1" applyAlignment="1">
      <alignment horizontal="centerContinuous" vertical="center" shrinkToFit="1"/>
    </xf>
    <xf numFmtId="0" fontId="2" fillId="0" borderId="81" xfId="0" applyFont="1" applyFill="1" applyBorder="1" applyAlignment="1">
      <alignment horizontal="centerContinuous" vertical="center"/>
    </xf>
    <xf numFmtId="0" fontId="2" fillId="0" borderId="94" xfId="0" applyFont="1" applyFill="1" applyBorder="1" applyAlignment="1">
      <alignment horizontal="centerContinuous" vertical="center"/>
    </xf>
    <xf numFmtId="49" fontId="2" fillId="0" borderId="51" xfId="0" applyNumberFormat="1" applyFont="1" applyFill="1" applyBorder="1" applyAlignment="1">
      <alignment horizontal="center" vertical="center"/>
    </xf>
    <xf numFmtId="49" fontId="2" fillId="0" borderId="50" xfId="0" applyNumberFormat="1" applyFont="1" applyFill="1" applyBorder="1" applyAlignment="1">
      <alignment horizontal="center" vertical="center"/>
    </xf>
    <xf numFmtId="0" fontId="2" fillId="0" borderId="82" xfId="0" applyFont="1" applyFill="1" applyBorder="1" applyAlignment="1">
      <alignment horizontal="centerContinuous" vertical="center"/>
    </xf>
    <xf numFmtId="1" fontId="2" fillId="0" borderId="59" xfId="0" applyNumberFormat="1" applyFont="1" applyBorder="1" applyAlignment="1">
      <alignment horizontal="center" vertical="center"/>
    </xf>
    <xf numFmtId="164" fontId="21" fillId="3" borderId="34" xfId="0" applyNumberFormat="1" applyFont="1" applyFill="1" applyBorder="1" applyAlignment="1">
      <alignment horizontal="center" vertical="center"/>
    </xf>
    <xf numFmtId="1" fontId="2" fillId="0" borderId="40" xfId="0" applyNumberFormat="1" applyFont="1" applyBorder="1" applyAlignment="1">
      <alignment horizontal="center" vertical="center" shrinkToFit="1"/>
    </xf>
    <xf numFmtId="1" fontId="2" fillId="0" borderId="59" xfId="0" applyNumberFormat="1" applyFont="1" applyBorder="1" applyAlignment="1">
      <alignment horizontal="center" vertical="center" shrinkToFit="1"/>
    </xf>
    <xf numFmtId="0" fontId="52" fillId="2" borderId="95" xfId="0" applyFont="1" applyFill="1" applyBorder="1" applyAlignment="1">
      <alignment horizontal="right" vertical="center"/>
    </xf>
    <xf numFmtId="0" fontId="20" fillId="2" borderId="96" xfId="0" applyFont="1" applyFill="1" applyBorder="1" applyAlignment="1">
      <alignment horizontal="left" vertical="center"/>
    </xf>
    <xf numFmtId="0" fontId="53" fillId="2" borderId="96" xfId="0" applyFont="1" applyFill="1" applyBorder="1" applyAlignment="1">
      <alignment horizontal="centerContinuous" vertical="center"/>
    </xf>
    <xf numFmtId="0" fontId="2" fillId="2" borderId="96" xfId="0" applyFont="1" applyFill="1" applyBorder="1" applyAlignment="1">
      <alignment horizontal="left" vertical="center"/>
    </xf>
    <xf numFmtId="0" fontId="4" fillId="2" borderId="96" xfId="0" applyFont="1" applyFill="1" applyBorder="1" applyAlignment="1">
      <alignment horizontal="centerContinuous" vertical="center"/>
    </xf>
    <xf numFmtId="0" fontId="54" fillId="2" borderId="97" xfId="0" applyFont="1" applyFill="1" applyBorder="1" applyAlignment="1">
      <alignment horizontal="right" vertical="center"/>
    </xf>
    <xf numFmtId="0" fontId="55" fillId="0" borderId="0" xfId="0" applyFont="1" applyBorder="1" applyAlignment="1">
      <alignment horizontal="centerContinuous" vertical="center"/>
    </xf>
    <xf numFmtId="49" fontId="7" fillId="0" borderId="2" xfId="0" quotePrefix="1" applyNumberFormat="1" applyFont="1" applyBorder="1" applyAlignment="1">
      <alignment horizontal="center" vertical="center"/>
    </xf>
    <xf numFmtId="0" fontId="6" fillId="0" borderId="8" xfId="0" applyFont="1" applyBorder="1" applyAlignment="1">
      <alignment horizontal="right" vertical="center"/>
    </xf>
    <xf numFmtId="0" fontId="55" fillId="0" borderId="9" xfId="0" applyFont="1" applyBorder="1" applyAlignment="1">
      <alignment horizontal="centerContinuous" vertical="center"/>
    </xf>
    <xf numFmtId="0" fontId="7" fillId="0" borderId="9" xfId="0" applyFont="1" applyBorder="1" applyAlignment="1">
      <alignment horizontal="centerContinuous"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6" fillId="0" borderId="58" xfId="3" applyNumberFormat="1" applyFont="1" applyFill="1" applyBorder="1" applyAlignment="1">
      <alignment horizontal="center" vertical="center"/>
    </xf>
    <xf numFmtId="0" fontId="8" fillId="4" borderId="98" xfId="3" applyFont="1" applyFill="1" applyBorder="1" applyAlignment="1">
      <alignment horizontal="right" vertical="center"/>
    </xf>
    <xf numFmtId="1" fontId="7" fillId="0" borderId="6" xfId="3" applyNumberFormat="1" applyFont="1" applyBorder="1" applyAlignment="1">
      <alignment horizontal="center" vertical="center"/>
    </xf>
    <xf numFmtId="0" fontId="6" fillId="16" borderId="75" xfId="3"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Border="1" applyAlignment="1">
      <alignment horizontal="center" vertical="center"/>
    </xf>
    <xf numFmtId="0" fontId="26" fillId="0" borderId="99" xfId="3" applyNumberFormat="1" applyFont="1" applyFill="1" applyBorder="1" applyAlignment="1">
      <alignment horizontal="center" vertical="center"/>
    </xf>
    <xf numFmtId="0" fontId="11" fillId="4" borderId="89" xfId="3" applyFont="1" applyFill="1" applyBorder="1" applyAlignment="1">
      <alignment horizontal="right" vertical="center"/>
    </xf>
    <xf numFmtId="0" fontId="7" fillId="0" borderId="100" xfId="3" applyNumberFormat="1" applyFont="1" applyBorder="1" applyAlignment="1">
      <alignment horizontal="center" vertical="center"/>
    </xf>
    <xf numFmtId="1" fontId="7" fillId="0" borderId="29" xfId="3" applyNumberFormat="1" applyFont="1" applyBorder="1" applyAlignment="1">
      <alignment horizontal="center" vertical="center"/>
    </xf>
    <xf numFmtId="0" fontId="7" fillId="0" borderId="2" xfId="0" applyFont="1" applyFill="1" applyBorder="1" applyAlignment="1">
      <alignment horizontal="center" vertical="center"/>
    </xf>
    <xf numFmtId="0" fontId="8" fillId="4" borderId="89" xfId="3" applyFont="1" applyFill="1" applyBorder="1" applyAlignment="1">
      <alignment horizontal="right" vertical="center"/>
    </xf>
    <xf numFmtId="0" fontId="7" fillId="0" borderId="101" xfId="3" quotePrefix="1" applyFont="1" applyBorder="1" applyAlignment="1">
      <alignment horizontal="center" vertical="center"/>
    </xf>
    <xf numFmtId="0" fontId="8" fillId="0" borderId="1" xfId="3" applyFont="1" applyFill="1" applyBorder="1" applyAlignment="1">
      <alignment horizontal="right" vertical="center"/>
    </xf>
    <xf numFmtId="0" fontId="11" fillId="2" borderId="4" xfId="0" applyFont="1" applyFill="1" applyBorder="1" applyAlignment="1">
      <alignment horizontal="right" vertical="center"/>
    </xf>
    <xf numFmtId="0" fontId="7" fillId="0" borderId="101" xfId="3" applyFont="1" applyBorder="1" applyAlignment="1">
      <alignment horizontal="center" vertical="center"/>
    </xf>
    <xf numFmtId="0" fontId="11" fillId="0" borderId="1"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56" fillId="4" borderId="102" xfId="3" applyFont="1" applyFill="1" applyBorder="1" applyAlignment="1">
      <alignment horizontal="right" vertical="center"/>
    </xf>
    <xf numFmtId="0" fontId="7" fillId="0" borderId="24" xfId="0" applyFont="1" applyBorder="1" applyAlignment="1">
      <alignment horizontal="center" vertical="center"/>
    </xf>
    <xf numFmtId="0" fontId="26" fillId="0" borderId="24" xfId="3" applyNumberFormat="1" applyFont="1" applyFill="1" applyBorder="1" applyAlignment="1">
      <alignment horizontal="center" vertical="center"/>
    </xf>
    <xf numFmtId="0" fontId="10" fillId="4" borderId="13" xfId="3" applyFont="1" applyFill="1" applyBorder="1" applyAlignment="1">
      <alignment horizontal="right" vertical="center"/>
    </xf>
    <xf numFmtId="0" fontId="7" fillId="0" borderId="39" xfId="3" applyFont="1" applyBorder="1" applyAlignment="1">
      <alignment horizontal="center" vertical="center"/>
    </xf>
    <xf numFmtId="0" fontId="11" fillId="0" borderId="1" xfId="0" applyFont="1" applyFill="1" applyBorder="1" applyAlignment="1">
      <alignment horizontal="right" vertical="center"/>
    </xf>
    <xf numFmtId="0" fontId="2" fillId="0" borderId="0" xfId="0" applyFont="1" applyBorder="1" applyAlignment="1">
      <alignment horizontal="left" vertical="center"/>
    </xf>
    <xf numFmtId="0" fontId="55" fillId="0" borderId="0" xfId="0" applyFont="1" applyBorder="1" applyAlignment="1">
      <alignment vertical="center"/>
    </xf>
    <xf numFmtId="0" fontId="2" fillId="0" borderId="69" xfId="0" applyFont="1" applyBorder="1" applyAlignment="1">
      <alignment horizontal="center" vertical="center" shrinkToFit="1"/>
    </xf>
    <xf numFmtId="1" fontId="2" fillId="12" borderId="40" xfId="0" applyNumberFormat="1" applyFont="1" applyFill="1" applyBorder="1" applyAlignment="1">
      <alignment horizontal="center" vertical="center" shrinkToFit="1"/>
    </xf>
    <xf numFmtId="165" fontId="5" fillId="0" borderId="0" xfId="0" applyNumberFormat="1" applyFont="1" applyBorder="1" applyAlignment="1">
      <alignment vertical="center"/>
    </xf>
    <xf numFmtId="164" fontId="2" fillId="0" borderId="40" xfId="0" applyNumberFormat="1" applyFont="1" applyBorder="1" applyAlignment="1">
      <alignment horizontal="center" vertical="center" shrinkToFit="1"/>
    </xf>
    <xf numFmtId="0" fontId="2" fillId="0" borderId="55" xfId="0" applyFont="1" applyBorder="1" applyAlignment="1">
      <alignment horizontal="center" vertical="center"/>
    </xf>
    <xf numFmtId="0" fontId="4" fillId="0" borderId="103" xfId="0" applyFont="1" applyBorder="1" applyAlignment="1">
      <alignment horizontal="right" vertical="center"/>
    </xf>
    <xf numFmtId="0" fontId="2" fillId="0" borderId="104" xfId="0" applyFont="1" applyBorder="1" applyAlignment="1">
      <alignment horizontal="center" vertical="center" wrapText="1"/>
    </xf>
    <xf numFmtId="0" fontId="4" fillId="0" borderId="40" xfId="0" applyFont="1" applyBorder="1" applyAlignment="1">
      <alignment horizontal="right" vertical="center"/>
    </xf>
    <xf numFmtId="0" fontId="2" fillId="0" borderId="91" xfId="0" applyFont="1" applyBorder="1" applyAlignment="1">
      <alignment horizontal="center" vertical="center" wrapText="1"/>
    </xf>
    <xf numFmtId="0" fontId="4" fillId="0" borderId="59" xfId="0" applyFont="1" applyBorder="1" applyAlignment="1">
      <alignment horizontal="right" vertical="center"/>
    </xf>
    <xf numFmtId="0" fontId="61" fillId="0" borderId="5" xfId="0" applyFont="1" applyBorder="1" applyAlignment="1">
      <alignment horizontal="centerContinuous" vertical="center"/>
    </xf>
    <xf numFmtId="0" fontId="62" fillId="0" borderId="6" xfId="0" applyFont="1" applyBorder="1" applyAlignment="1">
      <alignment horizontal="centerContinuous" vertical="center" wrapText="1"/>
    </xf>
    <xf numFmtId="0" fontId="62" fillId="0" borderId="7" xfId="0" applyFont="1" applyBorder="1" applyAlignment="1">
      <alignment horizontal="centerContinuous" vertical="center" wrapText="1"/>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0" fillId="17" borderId="94" xfId="0" applyFont="1" applyFill="1" applyBorder="1" applyAlignment="1">
      <alignment horizontal="center" vertical="center" wrapText="1"/>
    </xf>
    <xf numFmtId="0" fontId="7" fillId="0" borderId="107" xfId="0" applyFont="1" applyFill="1" applyBorder="1" applyAlignment="1">
      <alignment horizontal="center" vertical="center" shrinkToFit="1"/>
    </xf>
    <xf numFmtId="0" fontId="7" fillId="0" borderId="108" xfId="0" applyFont="1" applyFill="1" applyBorder="1" applyAlignment="1">
      <alignment horizontal="center" vertical="center"/>
    </xf>
    <xf numFmtId="0" fontId="35" fillId="9" borderId="109" xfId="2" applyNumberFormat="1" applyFont="1" applyFill="1" applyBorder="1" applyAlignment="1">
      <alignment horizontal="center" vertical="center" shrinkToFit="1"/>
    </xf>
    <xf numFmtId="0" fontId="7" fillId="0" borderId="37" xfId="0" applyFont="1" applyFill="1" applyBorder="1" applyAlignment="1">
      <alignment horizontal="center" vertical="center"/>
    </xf>
    <xf numFmtId="0" fontId="2" fillId="0" borderId="44" xfId="0" applyFont="1" applyFill="1" applyBorder="1" applyAlignment="1">
      <alignment horizontal="center" vertical="center" wrapText="1"/>
    </xf>
    <xf numFmtId="0" fontId="60" fillId="17" borderId="50" xfId="0" applyFont="1" applyFill="1" applyBorder="1" applyAlignment="1">
      <alignment horizontal="center" vertical="center" wrapText="1"/>
    </xf>
    <xf numFmtId="0" fontId="2" fillId="18" borderId="105" xfId="0" applyFont="1" applyFill="1" applyBorder="1" applyAlignment="1">
      <alignment horizontal="center" vertical="center" wrapText="1"/>
    </xf>
    <xf numFmtId="0" fontId="2" fillId="18" borderId="44" xfId="0" applyFont="1" applyFill="1" applyBorder="1" applyAlignment="1">
      <alignment horizontal="center" vertical="center" wrapText="1"/>
    </xf>
    <xf numFmtId="0" fontId="2" fillId="18" borderId="106" xfId="0" applyFont="1" applyFill="1" applyBorder="1" applyAlignment="1">
      <alignment horizontal="center" vertical="center" wrapText="1"/>
    </xf>
    <xf numFmtId="0" fontId="2" fillId="18" borderId="46" xfId="0" applyFont="1" applyFill="1" applyBorder="1" applyAlignment="1">
      <alignment horizontal="center" vertical="center" wrapText="1"/>
    </xf>
    <xf numFmtId="0" fontId="4" fillId="18" borderId="52" xfId="0" applyFont="1" applyFill="1" applyBorder="1" applyAlignment="1">
      <alignment horizontal="center" vertical="center" wrapText="1"/>
    </xf>
    <xf numFmtId="0" fontId="7" fillId="0" borderId="89" xfId="0" applyFont="1" applyFill="1" applyBorder="1" applyAlignment="1">
      <alignment horizontal="center" vertical="center" shrinkToFit="1"/>
    </xf>
    <xf numFmtId="0" fontId="7" fillId="0" borderId="100" xfId="0" applyFont="1" applyFill="1" applyBorder="1" applyAlignment="1">
      <alignment horizontal="center" vertical="center"/>
    </xf>
    <xf numFmtId="0" fontId="35" fillId="9" borderId="101" xfId="2" applyNumberFormat="1" applyFont="1" applyFill="1" applyBorder="1" applyAlignment="1">
      <alignment horizontal="center" vertical="center" shrinkToFit="1"/>
    </xf>
    <xf numFmtId="0" fontId="47" fillId="0" borderId="40" xfId="0" applyFont="1" applyBorder="1" applyAlignment="1">
      <alignment horizontal="centerContinuous" vertical="center"/>
    </xf>
    <xf numFmtId="0" fontId="47" fillId="0" borderId="40" xfId="0" applyFont="1" applyFill="1" applyBorder="1" applyAlignment="1">
      <alignment horizontal="center" vertical="center" shrinkToFit="1"/>
    </xf>
    <xf numFmtId="1" fontId="7" fillId="0" borderId="108" xfId="0" applyNumberFormat="1" applyFont="1" applyFill="1" applyBorder="1" applyAlignment="1">
      <alignment horizontal="center" vertical="center"/>
    </xf>
    <xf numFmtId="1" fontId="7" fillId="0" borderId="100" xfId="0" applyNumberFormat="1" applyFont="1" applyFill="1" applyBorder="1" applyAlignment="1">
      <alignment horizontal="center" vertical="center"/>
    </xf>
    <xf numFmtId="1" fontId="7" fillId="0" borderId="54" xfId="0" applyNumberFormat="1" applyFont="1" applyFill="1" applyBorder="1" applyAlignment="1">
      <alignment horizontal="center" vertical="center"/>
    </xf>
    <xf numFmtId="1" fontId="50" fillId="11" borderId="50"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48" fillId="0" borderId="59" xfId="0" applyFont="1" applyFill="1" applyBorder="1" applyAlignment="1">
      <alignment horizontal="centerContinuous" vertical="center"/>
    </xf>
    <xf numFmtId="0" fontId="7" fillId="0" borderId="26" xfId="0" applyNumberFormat="1" applyFont="1" applyFill="1" applyBorder="1" applyAlignment="1">
      <alignment horizontal="center" vertical="center" shrinkToFit="1"/>
    </xf>
    <xf numFmtId="0" fontId="2" fillId="0" borderId="111" xfId="0" applyFont="1" applyFill="1" applyBorder="1" applyAlignment="1">
      <alignment horizontal="center" vertical="center"/>
    </xf>
    <xf numFmtId="0" fontId="2" fillId="0" borderId="112" xfId="0" applyFont="1" applyFill="1" applyBorder="1" applyAlignment="1">
      <alignment horizontal="center" vertical="center"/>
    </xf>
    <xf numFmtId="49" fontId="2" fillId="0" borderId="112" xfId="2" applyNumberFormat="1" applyFont="1" applyBorder="1" applyAlignment="1">
      <alignment horizontal="center" vertical="center"/>
    </xf>
    <xf numFmtId="49" fontId="2" fillId="0" borderId="112" xfId="2" applyNumberFormat="1" applyFont="1" applyFill="1" applyBorder="1" applyAlignment="1">
      <alignment horizontal="center" vertical="center"/>
    </xf>
    <xf numFmtId="0" fontId="2" fillId="0" borderId="112" xfId="0" applyFont="1" applyFill="1" applyBorder="1" applyAlignment="1">
      <alignment horizontal="center" vertical="center" shrinkToFit="1"/>
    </xf>
    <xf numFmtId="1" fontId="50" fillId="11" borderId="112" xfId="0" applyNumberFormat="1" applyFont="1" applyFill="1" applyBorder="1" applyAlignment="1">
      <alignment horizontal="center" vertical="center"/>
    </xf>
    <xf numFmtId="1" fontId="2" fillId="0" borderId="112" xfId="0" applyNumberFormat="1" applyFont="1" applyBorder="1" applyAlignment="1">
      <alignment horizontal="center" vertical="center"/>
    </xf>
    <xf numFmtId="0" fontId="2" fillId="0" borderId="113" xfId="0" applyFont="1" applyFill="1" applyBorder="1" applyAlignment="1">
      <alignment horizontal="center" vertical="center"/>
    </xf>
    <xf numFmtId="0" fontId="2" fillId="0" borderId="114" xfId="0" applyFont="1" applyFill="1" applyBorder="1" applyAlignment="1">
      <alignment horizontal="center" vertical="center"/>
    </xf>
    <xf numFmtId="0" fontId="2" fillId="0" borderId="83" xfId="0" applyFont="1" applyFill="1" applyBorder="1" applyAlignment="1">
      <alignment horizontal="center" vertical="center"/>
    </xf>
    <xf numFmtId="49" fontId="2" fillId="0" borderId="83" xfId="2" applyNumberFormat="1" applyFont="1" applyBorder="1" applyAlignment="1">
      <alignment horizontal="center" vertical="center"/>
    </xf>
    <xf numFmtId="49" fontId="2" fillId="0" borderId="83" xfId="2" applyNumberFormat="1" applyFont="1" applyFill="1" applyBorder="1" applyAlignment="1">
      <alignment horizontal="center" vertical="center"/>
    </xf>
    <xf numFmtId="0" fontId="2" fillId="0" borderId="83" xfId="0" applyFont="1" applyFill="1" applyBorder="1" applyAlignment="1">
      <alignment horizontal="center" vertical="center" shrinkToFit="1"/>
    </xf>
    <xf numFmtId="164" fontId="5" fillId="0" borderId="83" xfId="0" applyNumberFormat="1" applyFont="1" applyFill="1" applyBorder="1" applyAlignment="1">
      <alignment horizontal="center" vertical="center"/>
    </xf>
    <xf numFmtId="164" fontId="5" fillId="0" borderId="83" xfId="0" applyNumberFormat="1" applyFont="1" applyBorder="1" applyAlignment="1">
      <alignment horizontal="center" vertical="center"/>
    </xf>
    <xf numFmtId="1" fontId="50" fillId="11" borderId="83" xfId="0" applyNumberFormat="1" applyFont="1" applyFill="1" applyBorder="1" applyAlignment="1">
      <alignment horizontal="center" vertical="center"/>
    </xf>
    <xf numFmtId="1" fontId="2" fillId="0" borderId="83" xfId="0" applyNumberFormat="1" applyFont="1" applyBorder="1" applyAlignment="1">
      <alignment horizontal="center" vertical="center"/>
    </xf>
    <xf numFmtId="0" fontId="2" fillId="0" borderId="48"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6" xfId="0" applyFont="1" applyFill="1" applyBorder="1" applyAlignment="1">
      <alignment horizontal="center" vertical="center"/>
    </xf>
    <xf numFmtId="49" fontId="2" fillId="0" borderId="116" xfId="2" applyNumberFormat="1" applyFont="1" applyBorder="1" applyAlignment="1">
      <alignment horizontal="center" vertical="center"/>
    </xf>
    <xf numFmtId="0" fontId="2" fillId="0" borderId="116" xfId="0" applyFont="1" applyFill="1" applyBorder="1" applyAlignment="1">
      <alignment horizontal="center" vertical="center" shrinkToFit="1"/>
    </xf>
    <xf numFmtId="1" fontId="50" fillId="11" borderId="116" xfId="0" applyNumberFormat="1" applyFont="1" applyFill="1" applyBorder="1" applyAlignment="1">
      <alignment horizontal="center" vertical="center"/>
    </xf>
    <xf numFmtId="1" fontId="2" fillId="0" borderId="116" xfId="0" applyNumberFormat="1" applyFont="1" applyBorder="1" applyAlignment="1">
      <alignment horizontal="center" vertical="center"/>
    </xf>
    <xf numFmtId="1" fontId="2" fillId="0" borderId="118" xfId="0" applyNumberFormat="1" applyFont="1" applyFill="1" applyBorder="1" applyAlignment="1">
      <alignment horizontal="center" vertical="center"/>
    </xf>
    <xf numFmtId="1" fontId="2" fillId="12" borderId="119" xfId="0" applyNumberFormat="1" applyFont="1" applyFill="1" applyBorder="1" applyAlignment="1">
      <alignment horizontal="center" vertical="center"/>
    </xf>
    <xf numFmtId="1" fontId="2" fillId="12" borderId="59" xfId="0" applyNumberFormat="1" applyFont="1" applyFill="1" applyBorder="1" applyAlignment="1">
      <alignment horizontal="center" vertical="center"/>
    </xf>
    <xf numFmtId="164" fontId="5" fillId="12" borderId="112" xfId="0" applyNumberFormat="1" applyFont="1" applyFill="1" applyBorder="1" applyAlignment="1">
      <alignment horizontal="center" vertical="center"/>
    </xf>
    <xf numFmtId="164" fontId="2" fillId="0" borderId="112" xfId="0" applyNumberFormat="1" applyFont="1" applyBorder="1" applyAlignment="1">
      <alignment horizontal="center" vertical="center"/>
    </xf>
    <xf numFmtId="164" fontId="2" fillId="12" borderId="112" xfId="0" applyNumberFormat="1" applyFont="1" applyFill="1" applyBorder="1" applyAlignment="1">
      <alignment horizontal="center" vertical="center"/>
    </xf>
    <xf numFmtId="0" fontId="2" fillId="0" borderId="120" xfId="0" applyFont="1" applyFill="1" applyBorder="1" applyAlignment="1">
      <alignment horizontal="center" vertical="center"/>
    </xf>
    <xf numFmtId="0" fontId="2" fillId="0" borderId="121" xfId="0" applyFont="1" applyFill="1" applyBorder="1" applyAlignment="1">
      <alignment horizontal="center" vertical="center"/>
    </xf>
    <xf numFmtId="49" fontId="2" fillId="0" borderId="121" xfId="2" applyNumberFormat="1" applyFont="1" applyBorder="1" applyAlignment="1">
      <alignment horizontal="center" vertical="center"/>
    </xf>
    <xf numFmtId="49" fontId="2" fillId="0" borderId="121" xfId="2" applyNumberFormat="1" applyFont="1" applyFill="1" applyBorder="1" applyAlignment="1">
      <alignment horizontal="center" vertical="center"/>
    </xf>
    <xf numFmtId="0" fontId="2" fillId="0" borderId="121" xfId="0" applyFont="1" applyFill="1" applyBorder="1" applyAlignment="1">
      <alignment horizontal="center" vertical="center" shrinkToFit="1"/>
    </xf>
    <xf numFmtId="164" fontId="5" fillId="0" borderId="121" xfId="0" applyNumberFormat="1" applyFont="1" applyFill="1" applyBorder="1" applyAlignment="1">
      <alignment horizontal="center" vertical="center"/>
    </xf>
    <xf numFmtId="1" fontId="50" fillId="11" borderId="121" xfId="0" applyNumberFormat="1" applyFont="1" applyFill="1" applyBorder="1" applyAlignment="1">
      <alignment horizontal="center" vertical="center"/>
    </xf>
    <xf numFmtId="1" fontId="2" fillId="0" borderId="121" xfId="0" applyNumberFormat="1" applyFont="1" applyBorder="1" applyAlignment="1">
      <alignment horizontal="center" vertical="center"/>
    </xf>
    <xf numFmtId="0" fontId="2" fillId="0" borderId="122" xfId="0" applyFont="1" applyFill="1" applyBorder="1" applyAlignment="1">
      <alignment horizontal="center" vertical="center"/>
    </xf>
    <xf numFmtId="164" fontId="2" fillId="0" borderId="116" xfId="0" applyNumberFormat="1" applyFont="1" applyFill="1" applyBorder="1" applyAlignment="1">
      <alignment horizontal="center" vertical="center"/>
    </xf>
    <xf numFmtId="164" fontId="2" fillId="0" borderId="116" xfId="0" applyNumberFormat="1" applyFont="1" applyBorder="1" applyAlignment="1">
      <alignment horizontal="center" vertical="center"/>
    </xf>
    <xf numFmtId="1" fontId="2" fillId="0" borderId="123" xfId="0" applyNumberFormat="1" applyFont="1" applyFill="1" applyBorder="1" applyAlignment="1">
      <alignment horizontal="center" vertical="center"/>
    </xf>
    <xf numFmtId="0" fontId="47" fillId="0" borderId="59" xfId="0" applyFont="1" applyFill="1" applyBorder="1" applyAlignment="1">
      <alignment horizontal="centerContinuous" vertical="center"/>
    </xf>
    <xf numFmtId="49" fontId="2" fillId="15" borderId="116" xfId="2" applyNumberFormat="1" applyFont="1" applyFill="1" applyBorder="1" applyAlignment="1">
      <alignment horizontal="center" vertical="center"/>
    </xf>
    <xf numFmtId="49" fontId="2" fillId="15" borderId="112" xfId="2" applyNumberFormat="1" applyFont="1" applyFill="1" applyBorder="1" applyAlignment="1">
      <alignment horizontal="center" vertical="center"/>
    </xf>
    <xf numFmtId="0" fontId="63" fillId="0" borderId="124" xfId="0" applyFont="1" applyBorder="1" applyAlignment="1">
      <alignment horizontal="centerContinuous" vertical="center"/>
    </xf>
    <xf numFmtId="0" fontId="62" fillId="0" borderId="125" xfId="0" applyFont="1" applyFill="1" applyBorder="1" applyAlignment="1">
      <alignment horizontal="centerContinuous" vertical="center"/>
    </xf>
    <xf numFmtId="1" fontId="2" fillId="0" borderId="101" xfId="0" applyNumberFormat="1" applyFont="1" applyFill="1" applyBorder="1" applyAlignment="1">
      <alignment horizontal="centerContinuous" vertical="center"/>
    </xf>
    <xf numFmtId="1" fontId="2" fillId="0" borderId="109" xfId="0" applyNumberFormat="1" applyFont="1" applyFill="1" applyBorder="1" applyAlignment="1">
      <alignment horizontal="centerContinuous" vertical="center"/>
    </xf>
    <xf numFmtId="1" fontId="50" fillId="17" borderId="128" xfId="0" applyNumberFormat="1" applyFont="1" applyFill="1" applyBorder="1" applyAlignment="1">
      <alignment horizontal="centerContinuous" vertical="center"/>
    </xf>
    <xf numFmtId="1" fontId="50" fillId="17" borderId="101" xfId="0" applyNumberFormat="1" applyFont="1" applyFill="1" applyBorder="1" applyAlignment="1">
      <alignment horizontal="centerContinuous" vertical="center"/>
    </xf>
    <xf numFmtId="1" fontId="2" fillId="20" borderId="129" xfId="0" applyNumberFormat="1" applyFont="1" applyFill="1" applyBorder="1" applyAlignment="1">
      <alignment horizontal="centerContinuous" vertical="center"/>
    </xf>
    <xf numFmtId="0" fontId="7" fillId="5" borderId="27" xfId="0" quotePrefix="1" applyNumberFormat="1" applyFont="1" applyFill="1" applyBorder="1" applyAlignment="1">
      <alignment horizontal="center" vertical="center"/>
    </xf>
    <xf numFmtId="0" fontId="7" fillId="14"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21" fillId="13" borderId="130" xfId="0" applyFont="1" applyFill="1" applyBorder="1" applyAlignment="1">
      <alignment horizontal="center" vertical="center"/>
    </xf>
    <xf numFmtId="0" fontId="21" fillId="13" borderId="131" xfId="0" applyFont="1" applyFill="1" applyBorder="1" applyAlignment="1">
      <alignment horizontal="center" vertical="center"/>
    </xf>
    <xf numFmtId="49" fontId="21" fillId="13" borderId="131" xfId="0" applyNumberFormat="1" applyFont="1" applyFill="1" applyBorder="1" applyAlignment="1">
      <alignment horizontal="center" vertical="center"/>
    </xf>
    <xf numFmtId="0" fontId="21" fillId="13" borderId="132" xfId="0" applyFont="1" applyFill="1" applyBorder="1" applyAlignment="1">
      <alignment horizontal="center" vertical="center"/>
    </xf>
    <xf numFmtId="0" fontId="49" fillId="11" borderId="132" xfId="0" applyFont="1" applyFill="1" applyBorder="1" applyAlignment="1">
      <alignment horizontal="center" vertical="center"/>
    </xf>
    <xf numFmtId="0" fontId="21" fillId="13" borderId="133" xfId="0" applyFont="1" applyFill="1" applyBorder="1" applyAlignment="1">
      <alignment horizontal="center" vertical="center"/>
    </xf>
    <xf numFmtId="0" fontId="2" fillId="0" borderId="69" xfId="0" applyFont="1" applyBorder="1" applyAlignment="1">
      <alignment horizontal="center" vertical="center"/>
    </xf>
    <xf numFmtId="49" fontId="64" fillId="0" borderId="50"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5" fillId="0" borderId="50" xfId="0" applyFont="1" applyBorder="1" applyAlignment="1">
      <alignment horizontal="center" vertical="center"/>
    </xf>
    <xf numFmtId="49" fontId="5" fillId="0" borderId="50" xfId="0" applyNumberFormat="1" applyFont="1" applyBorder="1" applyAlignment="1">
      <alignment horizontal="center" vertical="center"/>
    </xf>
    <xf numFmtId="164" fontId="5" fillId="0" borderId="50" xfId="0" applyNumberFormat="1" applyFont="1" applyBorder="1" applyAlignment="1">
      <alignment horizontal="center" vertical="center"/>
    </xf>
    <xf numFmtId="0" fontId="2" fillId="0" borderId="52" xfId="0" applyFont="1" applyBorder="1" applyAlignment="1">
      <alignment horizontal="center" vertical="center"/>
    </xf>
    <xf numFmtId="0" fontId="2" fillId="0" borderId="91" xfId="0" applyFont="1" applyBorder="1" applyAlignment="1">
      <alignment horizontal="center" vertical="center" shrinkToFit="1"/>
    </xf>
    <xf numFmtId="0" fontId="5" fillId="0" borderId="91" xfId="0" applyFont="1" applyBorder="1" applyAlignment="1">
      <alignment horizontal="center" vertical="center" shrinkToFit="1"/>
    </xf>
    <xf numFmtId="0" fontId="2" fillId="0" borderId="94"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94" xfId="0" applyFont="1" applyBorder="1" applyAlignment="1">
      <alignment horizontal="center" vertical="center" shrinkToFit="1"/>
    </xf>
    <xf numFmtId="1" fontId="7" fillId="0" borderId="26" xfId="0" applyNumberFormat="1" applyFont="1" applyFill="1" applyBorder="1" applyAlignment="1">
      <alignment horizontal="center" vertical="center"/>
    </xf>
    <xf numFmtId="0" fontId="2" fillId="0" borderId="117" xfId="0" quotePrefix="1" applyFont="1" applyFill="1" applyBorder="1" applyAlignment="1">
      <alignment horizontal="center" vertical="center"/>
    </xf>
    <xf numFmtId="49" fontId="2" fillId="0" borderId="121" xfId="0" applyNumberFormat="1" applyFont="1" applyFill="1" applyBorder="1" applyAlignment="1">
      <alignment horizontal="center" vertical="center"/>
    </xf>
    <xf numFmtId="164" fontId="2" fillId="0" borderId="121" xfId="0" applyNumberFormat="1" applyFont="1" applyFill="1" applyBorder="1" applyAlignment="1">
      <alignment horizontal="center" vertical="center"/>
    </xf>
    <xf numFmtId="0" fontId="5" fillId="0" borderId="122" xfId="0" applyFont="1" applyFill="1" applyBorder="1" applyAlignment="1">
      <alignment horizontal="center" vertical="center"/>
    </xf>
    <xf numFmtId="0" fontId="2" fillId="0" borderId="62" xfId="0" applyFont="1" applyFill="1" applyBorder="1" applyAlignment="1">
      <alignment horizontal="centerContinuous" vertical="center"/>
    </xf>
    <xf numFmtId="0" fontId="6" fillId="4" borderId="134" xfId="0" applyFont="1" applyFill="1" applyBorder="1" applyAlignment="1">
      <alignment horizontal="right" vertical="center"/>
    </xf>
    <xf numFmtId="1" fontId="7" fillId="0" borderId="24" xfId="0" applyNumberFormat="1" applyFont="1" applyBorder="1" applyAlignment="1">
      <alignment horizontal="centerContinuous" vertical="center"/>
    </xf>
    <xf numFmtId="1" fontId="2" fillId="0" borderId="135" xfId="0" applyNumberFormat="1" applyFont="1" applyBorder="1" applyAlignment="1">
      <alignment horizontal="centerContinuous" vertical="center"/>
    </xf>
    <xf numFmtId="0" fontId="22" fillId="14" borderId="1" xfId="0" applyFont="1" applyFill="1" applyBorder="1" applyAlignment="1">
      <alignment vertical="center"/>
    </xf>
    <xf numFmtId="49" fontId="28" fillId="14" borderId="25" xfId="0" applyNumberFormat="1" applyFont="1" applyFill="1" applyBorder="1" applyAlignment="1">
      <alignment horizontal="center" vertical="center"/>
    </xf>
    <xf numFmtId="0" fontId="28" fillId="14" borderId="26" xfId="0" applyNumberFormat="1" applyFont="1" applyFill="1" applyBorder="1" applyAlignment="1">
      <alignment horizontal="center" vertical="center"/>
    </xf>
    <xf numFmtId="0" fontId="7" fillId="0" borderId="88" xfId="0" applyFont="1" applyFill="1" applyBorder="1" applyAlignment="1">
      <alignment horizontal="centerContinuous" vertical="center"/>
    </xf>
    <xf numFmtId="0" fontId="7" fillId="0" borderId="137" xfId="0" applyFont="1" applyFill="1" applyBorder="1" applyAlignment="1">
      <alignment horizontal="centerContinuous" vertical="center"/>
    </xf>
    <xf numFmtId="0" fontId="7" fillId="0" borderId="55" xfId="0" applyFont="1" applyFill="1" applyBorder="1" applyAlignment="1">
      <alignment horizontal="center" vertical="center" wrapText="1"/>
    </xf>
    <xf numFmtId="9" fontId="7" fillId="0" borderId="55" xfId="2" applyFont="1" applyFill="1" applyBorder="1" applyAlignment="1">
      <alignment horizontal="center" vertical="center" shrinkToFit="1"/>
    </xf>
    <xf numFmtId="9" fontId="7" fillId="0" borderId="56" xfId="2" applyFont="1" applyFill="1" applyBorder="1" applyAlignment="1">
      <alignment horizontal="center" vertical="center" shrinkToFit="1"/>
    </xf>
    <xf numFmtId="0" fontId="7" fillId="0" borderId="56" xfId="2" applyNumberFormat="1" applyFont="1" applyFill="1" applyBorder="1" applyAlignment="1">
      <alignment horizontal="center" vertical="center" shrinkToFit="1"/>
    </xf>
    <xf numFmtId="0" fontId="7" fillId="0" borderId="39"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26"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56" xfId="0" applyFont="1" applyFill="1" applyBorder="1" applyAlignment="1">
      <alignment horizontal="center" vertical="center" wrapText="1"/>
    </xf>
    <xf numFmtId="0" fontId="5" fillId="0" borderId="138" xfId="0" applyFont="1" applyBorder="1" applyAlignment="1">
      <alignment horizontal="center" vertical="center" shrinkToFit="1"/>
    </xf>
    <xf numFmtId="0" fontId="5" fillId="0" borderId="83" xfId="0" applyFont="1" applyBorder="1" applyAlignment="1">
      <alignment horizontal="left" vertical="center"/>
    </xf>
    <xf numFmtId="1" fontId="2" fillId="0" borderId="93" xfId="0" applyNumberFormat="1" applyFont="1" applyBorder="1" applyAlignment="1">
      <alignment horizontal="center" vertical="center" shrinkToFit="1"/>
    </xf>
    <xf numFmtId="0" fontId="2" fillId="0" borderId="114" xfId="0" applyFont="1" applyBorder="1" applyAlignment="1">
      <alignment horizontal="center" vertical="center" shrinkToFit="1"/>
    </xf>
    <xf numFmtId="49" fontId="2" fillId="15" borderId="121" xfId="2" applyNumberFormat="1" applyFont="1" applyFill="1" applyBorder="1" applyAlignment="1">
      <alignment horizontal="center" vertical="center"/>
    </xf>
    <xf numFmtId="164" fontId="2" fillId="0" borderId="121" xfId="0" applyNumberFormat="1" applyFont="1" applyBorder="1" applyAlignment="1">
      <alignment horizontal="center" vertical="center"/>
    </xf>
    <xf numFmtId="0" fontId="2" fillId="0" borderId="122" xfId="0" quotePrefix="1" applyFont="1" applyFill="1" applyBorder="1" applyAlignment="1">
      <alignment horizontal="center" vertical="center"/>
    </xf>
    <xf numFmtId="164" fontId="2" fillId="12" borderId="121" xfId="0" applyNumberFormat="1" applyFont="1" applyFill="1" applyBorder="1" applyAlignment="1">
      <alignment horizontal="center" vertical="center"/>
    </xf>
    <xf numFmtId="164" fontId="5" fillId="12" borderId="121" xfId="0" applyNumberFormat="1" applyFont="1" applyFill="1" applyBorder="1" applyAlignment="1">
      <alignment horizontal="center" vertical="center"/>
    </xf>
    <xf numFmtId="1" fontId="2" fillId="12" borderId="123" xfId="0" applyNumberFormat="1" applyFont="1" applyFill="1" applyBorder="1" applyAlignment="1">
      <alignment horizontal="center" vertical="center"/>
    </xf>
    <xf numFmtId="0" fontId="2" fillId="0" borderId="116" xfId="0" quotePrefix="1" applyFont="1" applyFill="1" applyBorder="1" applyAlignment="1">
      <alignment horizontal="center" vertical="center" wrapText="1"/>
    </xf>
    <xf numFmtId="0" fontId="2" fillId="0" borderId="121" xfId="0" quotePrefix="1" applyFont="1" applyFill="1" applyBorder="1" applyAlignment="1">
      <alignment horizontal="center" vertical="center" wrapText="1"/>
    </xf>
    <xf numFmtId="0" fontId="2" fillId="0" borderId="112" xfId="0" quotePrefix="1" applyFont="1" applyFill="1" applyBorder="1" applyAlignment="1">
      <alignment horizontal="center" vertical="center" wrapText="1"/>
    </xf>
    <xf numFmtId="0" fontId="2" fillId="0" borderId="83" xfId="0" quotePrefix="1" applyFont="1" applyFill="1" applyBorder="1" applyAlignment="1">
      <alignment horizontal="center" vertical="center" wrapText="1"/>
    </xf>
    <xf numFmtId="1" fontId="2" fillId="0" borderId="40" xfId="0" applyNumberFormat="1" applyFont="1" applyFill="1" applyBorder="1" applyAlignment="1">
      <alignment horizontal="center" vertical="center"/>
    </xf>
    <xf numFmtId="0" fontId="7" fillId="0" borderId="49" xfId="0" applyFont="1" applyFill="1" applyBorder="1" applyAlignment="1">
      <alignment horizontal="center" vertical="center" shrinkToFit="1"/>
    </xf>
    <xf numFmtId="0" fontId="7" fillId="0" borderId="79" xfId="0" applyFont="1" applyFill="1" applyBorder="1" applyAlignment="1">
      <alignment horizontal="center" vertical="center"/>
    </xf>
    <xf numFmtId="1" fontId="7" fillId="0" borderId="79" xfId="0" applyNumberFormat="1" applyFont="1" applyFill="1" applyBorder="1" applyAlignment="1">
      <alignment horizontal="center" vertical="center"/>
    </xf>
    <xf numFmtId="0" fontId="35" fillId="9" borderId="129" xfId="2" applyNumberFormat="1" applyFont="1" applyFill="1" applyBorder="1" applyAlignment="1">
      <alignment horizontal="center" vertical="center" shrinkToFit="1"/>
    </xf>
    <xf numFmtId="0" fontId="65" fillId="0" borderId="34" xfId="0" applyFont="1" applyBorder="1" applyAlignment="1">
      <alignment horizontal="centerContinuous" vertical="center"/>
    </xf>
    <xf numFmtId="0" fontId="66" fillId="0" borderId="34" xfId="0" applyFont="1" applyBorder="1" applyAlignment="1">
      <alignment horizontal="centerContinuous"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5" xfId="0" quotePrefix="1" applyFont="1" applyBorder="1" applyAlignment="1">
      <alignment horizontal="center" vertical="center"/>
    </xf>
    <xf numFmtId="9" fontId="2" fillId="0" borderId="25" xfId="0" applyNumberFormat="1" applyFont="1" applyBorder="1" applyAlignment="1">
      <alignment horizontal="center" vertical="center"/>
    </xf>
    <xf numFmtId="164" fontId="2" fillId="0" borderId="25" xfId="0" applyNumberFormat="1" applyFont="1" applyFill="1" applyBorder="1" applyAlignment="1">
      <alignment horizontal="center" vertical="center"/>
    </xf>
    <xf numFmtId="164" fontId="2" fillId="0" borderId="26" xfId="0" applyNumberFormat="1" applyFont="1" applyFill="1" applyBorder="1" applyAlignment="1">
      <alignment horizontal="centerContinuous" vertical="center"/>
    </xf>
    <xf numFmtId="164" fontId="5" fillId="0" borderId="0" xfId="0" applyNumberFormat="1" applyFont="1" applyFill="1" applyBorder="1" applyAlignment="1">
      <alignment horizontal="centerContinuous" vertical="center"/>
    </xf>
    <xf numFmtId="0" fontId="5" fillId="0" borderId="2" xfId="0" quotePrefix="1" applyFont="1" applyFill="1" applyBorder="1" applyAlignment="1">
      <alignment horizontal="centerContinuous" vertical="center"/>
    </xf>
    <xf numFmtId="164" fontId="2" fillId="0" borderId="56" xfId="0" applyNumberFormat="1" applyFont="1" applyBorder="1" applyAlignment="1">
      <alignment horizontal="centerContinuous"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0" xfId="0" quotePrefix="1" applyFont="1" applyBorder="1" applyAlignment="1">
      <alignment horizontal="center" vertical="center"/>
    </xf>
    <xf numFmtId="9" fontId="2" fillId="0" borderId="140" xfId="0" applyNumberFormat="1" applyFont="1" applyBorder="1" applyAlignment="1">
      <alignment horizontal="center" vertical="center"/>
    </xf>
    <xf numFmtId="164" fontId="2" fillId="0" borderId="140" xfId="0" applyNumberFormat="1" applyFont="1" applyFill="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45" xfId="0" quotePrefix="1" applyFont="1" applyBorder="1" applyAlignment="1">
      <alignment horizontal="center" vertical="center"/>
    </xf>
    <xf numFmtId="9" fontId="2" fillId="0" borderId="145" xfId="0" applyNumberFormat="1" applyFont="1" applyBorder="1" applyAlignment="1">
      <alignment horizontal="center" vertical="center"/>
    </xf>
    <xf numFmtId="164" fontId="2" fillId="0" borderId="145" xfId="0" applyNumberFormat="1" applyFont="1" applyFill="1" applyBorder="1" applyAlignment="1">
      <alignment horizontal="center" vertical="center"/>
    </xf>
    <xf numFmtId="164" fontId="2" fillId="0" borderId="146" xfId="0" applyNumberFormat="1" applyFont="1" applyFill="1" applyBorder="1" applyAlignment="1">
      <alignment horizontal="centerContinuous" vertical="center"/>
    </xf>
    <xf numFmtId="164" fontId="5" fillId="0" borderId="127" xfId="0" applyNumberFormat="1" applyFont="1" applyFill="1" applyBorder="1" applyAlignment="1">
      <alignment horizontal="centerContinuous" vertical="center"/>
    </xf>
    <xf numFmtId="0" fontId="5" fillId="0" borderId="147" xfId="0" quotePrefix="1" applyFont="1" applyFill="1" applyBorder="1" applyAlignment="1">
      <alignment horizontal="centerContinuous" vertical="center"/>
    </xf>
    <xf numFmtId="0" fontId="67" fillId="0" borderId="34" xfId="0" applyFont="1" applyBorder="1" applyAlignment="1">
      <alignment horizontal="centerContinuous" vertical="center" wrapText="1"/>
    </xf>
    <xf numFmtId="0" fontId="7" fillId="8" borderId="27" xfId="0" quotePrefix="1" applyNumberFormat="1" applyFont="1" applyFill="1" applyBorder="1" applyAlignment="1">
      <alignment horizontal="center" vertical="center"/>
    </xf>
    <xf numFmtId="0" fontId="68" fillId="21" borderId="24" xfId="0" quotePrefix="1" applyFont="1" applyFill="1" applyBorder="1" applyAlignment="1">
      <alignment horizontal="center" vertical="center"/>
    </xf>
    <xf numFmtId="0" fontId="50" fillId="21" borderId="44" xfId="0" applyFont="1" applyFill="1" applyBorder="1" applyAlignment="1">
      <alignment horizontal="center" vertical="center" wrapText="1"/>
    </xf>
    <xf numFmtId="1" fontId="44" fillId="21" borderId="25" xfId="0" applyNumberFormat="1" applyFont="1" applyFill="1" applyBorder="1" applyAlignment="1">
      <alignment horizontal="center" vertical="center" wrapText="1"/>
    </xf>
    <xf numFmtId="1" fontId="44" fillId="21" borderId="54" xfId="0" applyNumberFormat="1" applyFont="1" applyFill="1" applyBorder="1" applyAlignment="1">
      <alignment horizontal="center" vertical="center" wrapText="1"/>
    </xf>
    <xf numFmtId="49" fontId="7" fillId="14" borderId="25" xfId="0" applyNumberFormat="1" applyFont="1" applyFill="1" applyBorder="1" applyAlignment="1">
      <alignment horizontal="center" vertical="center" wrapText="1"/>
    </xf>
    <xf numFmtId="0" fontId="14" fillId="22" borderId="1" xfId="0" applyFont="1" applyFill="1" applyBorder="1" applyAlignment="1">
      <alignment vertical="center"/>
    </xf>
    <xf numFmtId="0" fontId="7" fillId="22" borderId="25" xfId="0" applyNumberFormat="1" applyFont="1" applyFill="1" applyBorder="1" applyAlignment="1">
      <alignment horizontal="center" vertical="center"/>
    </xf>
    <xf numFmtId="49" fontId="23" fillId="22" borderId="25" xfId="0" applyNumberFormat="1" applyFont="1" applyFill="1" applyBorder="1" applyAlignment="1">
      <alignment horizontal="center" vertical="center"/>
    </xf>
    <xf numFmtId="0" fontId="23" fillId="22" borderId="26" xfId="0" applyNumberFormat="1" applyFont="1" applyFill="1" applyBorder="1" applyAlignment="1">
      <alignment horizontal="center" vertical="center"/>
    </xf>
    <xf numFmtId="0" fontId="14" fillId="22" borderId="26" xfId="0" applyNumberFormat="1" applyFont="1" applyFill="1" applyBorder="1" applyAlignment="1">
      <alignment horizontal="center" vertical="center"/>
    </xf>
    <xf numFmtId="49" fontId="7" fillId="22" borderId="26" xfId="0" applyNumberFormat="1" applyFont="1" applyFill="1" applyBorder="1" applyAlignment="1">
      <alignment horizontal="center" vertical="center"/>
    </xf>
    <xf numFmtId="0" fontId="7" fillId="22" borderId="27" xfId="0" quotePrefix="1" applyNumberFormat="1" applyFont="1" applyFill="1" applyBorder="1" applyAlignment="1">
      <alignment horizontal="center" vertical="center"/>
    </xf>
    <xf numFmtId="0" fontId="10" fillId="14" borderId="1" xfId="0" applyFont="1" applyFill="1" applyBorder="1" applyAlignment="1">
      <alignment vertical="center"/>
    </xf>
    <xf numFmtId="49" fontId="27" fillId="14" borderId="25" xfId="0" applyNumberFormat="1" applyFont="1" applyFill="1" applyBorder="1" applyAlignment="1">
      <alignment horizontal="center" vertical="center"/>
    </xf>
    <xf numFmtId="0" fontId="27" fillId="14" borderId="26" xfId="0" applyNumberFormat="1" applyFont="1" applyFill="1" applyBorder="1" applyAlignment="1">
      <alignment horizontal="center" vertical="center"/>
    </xf>
    <xf numFmtId="9" fontId="7" fillId="0" borderId="25" xfId="7" applyFont="1" applyFill="1" applyBorder="1" applyAlignment="1">
      <alignment horizontal="center" vertical="center" shrinkToFit="1"/>
    </xf>
    <xf numFmtId="9" fontId="7" fillId="0" borderId="26" xfId="7" applyFont="1" applyFill="1" applyBorder="1" applyAlignment="1">
      <alignment horizontal="center" vertical="center" shrinkToFit="1"/>
    </xf>
    <xf numFmtId="0" fontId="7" fillId="0" borderId="26" xfId="7" applyNumberFormat="1" applyFont="1" applyFill="1" applyBorder="1" applyAlignment="1">
      <alignment horizontal="center" vertical="center" shrinkToFit="1"/>
    </xf>
    <xf numFmtId="0" fontId="7" fillId="0" borderId="27" xfId="6"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wrapText="1"/>
    </xf>
    <xf numFmtId="0" fontId="7" fillId="0" borderId="26" xfId="6" applyNumberFormat="1" applyFont="1" applyFill="1" applyBorder="1" applyAlignment="1">
      <alignment horizontal="center" vertical="center"/>
    </xf>
    <xf numFmtId="0" fontId="7" fillId="0" borderId="25" xfId="6"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7" xfId="6" applyNumberFormat="1" applyFont="1" applyBorder="1" applyAlignment="1">
      <alignment horizontal="center" vertical="center" wrapText="1"/>
    </xf>
    <xf numFmtId="0" fontId="27" fillId="0" borderId="40" xfId="0" applyFont="1" applyBorder="1" applyAlignment="1">
      <alignment horizontal="centerContinuous"/>
    </xf>
    <xf numFmtId="164" fontId="2" fillId="0" borderId="141" xfId="0" applyNumberFormat="1" applyFont="1" applyFill="1" applyBorder="1" applyAlignment="1">
      <alignment horizontal="centerContinuous" vertical="center"/>
    </xf>
    <xf numFmtId="164" fontId="5" fillId="0" borderId="142" xfId="0" applyNumberFormat="1" applyFont="1" applyFill="1" applyBorder="1" applyAlignment="1">
      <alignment horizontal="centerContinuous" vertical="center"/>
    </xf>
    <xf numFmtId="0" fontId="5" fillId="0" borderId="143" xfId="0" quotePrefix="1" applyFont="1" applyFill="1" applyBorder="1" applyAlignment="1">
      <alignment horizontal="centerContinuous" vertical="center"/>
    </xf>
    <xf numFmtId="0" fontId="5" fillId="0" borderId="0" xfId="0" applyFont="1" applyFill="1" applyBorder="1" applyAlignment="1">
      <alignment vertical="center"/>
    </xf>
    <xf numFmtId="0" fontId="6" fillId="4" borderId="136" xfId="0" applyFont="1" applyFill="1" applyBorder="1" applyAlignment="1">
      <alignment horizontal="right" vertical="center"/>
    </xf>
    <xf numFmtId="3" fontId="7" fillId="0" borderId="29" xfId="0" applyNumberFormat="1" applyFont="1" applyFill="1" applyBorder="1" applyAlignment="1">
      <alignment horizontal="center" vertical="center"/>
    </xf>
    <xf numFmtId="49" fontId="26" fillId="0" borderId="24" xfId="0" applyNumberFormat="1" applyFont="1" applyFill="1" applyBorder="1" applyAlignment="1">
      <alignment horizontal="center" vertical="center"/>
    </xf>
    <xf numFmtId="0" fontId="4" fillId="0" borderId="89" xfId="0" applyFont="1" applyBorder="1" applyAlignment="1">
      <alignment horizontal="center" vertical="center"/>
    </xf>
    <xf numFmtId="49" fontId="49" fillId="17" borderId="126" xfId="0" applyNumberFormat="1" applyFont="1" applyFill="1" applyBorder="1" applyAlignment="1">
      <alignment horizontal="center" vertical="center"/>
    </xf>
    <xf numFmtId="49" fontId="4" fillId="0" borderId="89" xfId="0" applyNumberFormat="1" applyFont="1" applyFill="1" applyBorder="1" applyAlignment="1">
      <alignment horizontal="center" vertical="center"/>
    </xf>
    <xf numFmtId="0" fontId="49" fillId="17" borderId="89"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0" fontId="7" fillId="0" borderId="75" xfId="0" applyNumberFormat="1" applyFont="1" applyBorder="1" applyAlignment="1">
      <alignment horizontal="center" vertical="center"/>
    </xf>
    <xf numFmtId="0" fontId="69" fillId="2" borderId="73" xfId="0" applyFont="1" applyFill="1" applyBorder="1" applyAlignment="1">
      <alignment horizontal="right" vertical="center"/>
    </xf>
    <xf numFmtId="0" fontId="69" fillId="2" borderId="71" xfId="0" applyFont="1" applyFill="1" applyBorder="1" applyAlignment="1">
      <alignment horizontal="left" vertical="center"/>
    </xf>
    <xf numFmtId="0" fontId="5" fillId="0" borderId="0" xfId="0" applyFont="1" applyBorder="1" applyAlignment="1">
      <alignment horizontal="center" vertical="center" wrapText="1"/>
    </xf>
    <xf numFmtId="0" fontId="7" fillId="0" borderId="126" xfId="0" applyFont="1" applyFill="1" applyBorder="1" applyAlignment="1">
      <alignment horizontal="center" vertical="center" shrinkToFit="1"/>
    </xf>
    <xf numFmtId="0" fontId="2" fillId="0" borderId="50" xfId="0" quotePrefix="1" applyFont="1" applyFill="1" applyBorder="1" applyAlignment="1">
      <alignment horizontal="left" vertical="center"/>
    </xf>
    <xf numFmtId="0" fontId="2" fillId="0" borderId="46" xfId="0" applyFont="1" applyFill="1" applyBorder="1" applyAlignment="1">
      <alignment horizontal="center" vertical="center" wrapText="1"/>
    </xf>
    <xf numFmtId="1" fontId="7" fillId="0" borderId="28" xfId="0" applyNumberFormat="1" applyFont="1" applyFill="1" applyBorder="1" applyAlignment="1">
      <alignment horizontal="center" vertical="center"/>
    </xf>
    <xf numFmtId="1" fontId="7" fillId="0" borderId="29"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2" fillId="0" borderId="68" xfId="0" applyFont="1" applyFill="1" applyBorder="1" applyAlignment="1">
      <alignment horizontal="center" vertical="center" shrinkToFit="1"/>
    </xf>
    <xf numFmtId="0" fontId="2" fillId="0" borderId="44" xfId="0" applyFont="1" applyBorder="1" applyAlignment="1">
      <alignment horizontal="center" vertical="center" shrinkToFit="1"/>
    </xf>
    <xf numFmtId="0" fontId="2" fillId="0" borderId="46" xfId="0" applyFont="1" applyBorder="1" applyAlignment="1">
      <alignment horizontal="left" vertical="center" shrinkToFit="1"/>
    </xf>
    <xf numFmtId="0" fontId="2" fillId="0" borderId="0" xfId="0" applyFont="1" applyBorder="1" applyAlignment="1">
      <alignment horizontal="center" vertical="center"/>
    </xf>
    <xf numFmtId="1" fontId="2" fillId="0" borderId="119" xfId="0" applyNumberFormat="1" applyFont="1" applyBorder="1" applyAlignment="1">
      <alignment horizontal="center" vertical="center" shrinkToFit="1"/>
    </xf>
    <xf numFmtId="0" fontId="70" fillId="21" borderId="3" xfId="0" quotePrefix="1" applyFont="1" applyFill="1" applyBorder="1" applyAlignment="1">
      <alignment horizontal="center" vertical="center"/>
    </xf>
    <xf numFmtId="0" fontId="47" fillId="0" borderId="59" xfId="0" quotePrefix="1" applyFont="1" applyFill="1" applyBorder="1" applyAlignment="1">
      <alignment horizontal="centerContinuous" vertical="center" shrinkToFit="1"/>
    </xf>
    <xf numFmtId="0" fontId="47" fillId="21" borderId="3" xfId="0" quotePrefix="1" applyFont="1" applyFill="1" applyBorder="1" applyAlignment="1">
      <alignment horizontal="center" vertical="center"/>
    </xf>
    <xf numFmtId="1" fontId="7" fillId="0" borderId="58" xfId="0" applyNumberFormat="1" applyFont="1" applyFill="1" applyBorder="1" applyAlignment="1">
      <alignment horizontal="centerContinuous" vertical="center"/>
    </xf>
    <xf numFmtId="0" fontId="64" fillId="0" borderId="110" xfId="0" applyNumberFormat="1" applyFont="1" applyFill="1" applyBorder="1" applyAlignment="1">
      <alignment horizontal="centerContinuous" vertical="center"/>
    </xf>
    <xf numFmtId="0" fontId="9" fillId="19" borderId="3" xfId="0" quotePrefix="1" applyFont="1" applyFill="1" applyBorder="1" applyAlignment="1">
      <alignment horizontal="center" vertical="center"/>
    </xf>
  </cellXfs>
  <cellStyles count="11">
    <cellStyle name="Excel Built-in Normal" xfId="4"/>
    <cellStyle name="Hyperlink" xfId="1" builtinId="8"/>
    <cellStyle name="Normal" xfId="0" builtinId="0"/>
    <cellStyle name="Normal 2" xfId="5"/>
    <cellStyle name="Normal 2 2" xfId="6"/>
    <cellStyle name="Normal 3" xfId="9"/>
    <cellStyle name="Normal 4" xfId="3"/>
    <cellStyle name="Normal 5" xfId="10"/>
    <cellStyle name="Percent" xfId="2" builtinId="5"/>
    <cellStyle name="Percent 2" xfId="7"/>
    <cellStyle name="Percent 2 2" xfId="8"/>
  </cellStyles>
  <dxfs count="43">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33FF"/>
      <color rgb="FF9966FF"/>
      <color rgb="FFCC99FF"/>
      <color rgb="FF0000FF"/>
      <color rgb="FFFF00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53340</xdr:colOff>
      <xdr:row>1</xdr:row>
      <xdr:rowOff>38100</xdr:rowOff>
    </xdr:from>
    <xdr:to>
      <xdr:col>6</xdr:col>
      <xdr:colOff>1196339</xdr:colOff>
      <xdr:row>12</xdr:row>
      <xdr:rowOff>187379</xdr:rowOff>
    </xdr:to>
    <xdr:pic>
      <xdr:nvPicPr>
        <xdr:cNvPr id="6" name="Picture 5" descr="https://s-media-cache-ak0.pinimg.com/originals/6a/21/31/6a2131638212fce66512122be1702a65.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2920" y="411480"/>
          <a:ext cx="2392679" cy="2534339"/>
        </a:xfrm>
        <a:prstGeom prst="rect">
          <a:avLst/>
        </a:prstGeom>
        <a:noFill/>
        <a:ln w="31750" cmpd="dbl">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16</xdr:row>
      <xdr:rowOff>30480</xdr:rowOff>
    </xdr:from>
    <xdr:to>
      <xdr:col>7</xdr:col>
      <xdr:colOff>0</xdr:colOff>
      <xdr:row>27</xdr:row>
      <xdr:rowOff>106680</xdr:rowOff>
    </xdr:to>
    <xdr:sp macro="" textlink="">
      <xdr:nvSpPr>
        <xdr:cNvPr id="3" name="TextBox 2"/>
        <xdr:cNvSpPr txBox="1"/>
      </xdr:nvSpPr>
      <xdr:spPr>
        <a:xfrm>
          <a:off x="38100" y="3413760"/>
          <a:ext cx="672084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a:latin typeface="Times New Roman" panose="02020603050405020304" pitchFamily="18" charset="0"/>
              <a:cs typeface="Times New Roman" panose="02020603050405020304" pitchFamily="18" charset="0"/>
            </a:rPr>
            <a:t>Faith is a human woman with blond hair often tied back in a braid and intense blue eyes that seem to see more than you would like. She is well muscled, and usually armored in full plate.  She even sleeps in her armor and it does not seem to bother her.  A shield floats</a:t>
          </a:r>
          <a:r>
            <a:rPr lang="en-US" sz="1200" baseline="0">
              <a:latin typeface="Times New Roman" panose="02020603050405020304" pitchFamily="18" charset="0"/>
              <a:cs typeface="Times New Roman" panose="02020603050405020304" pitchFamily="18" charset="0"/>
            </a:rPr>
            <a:t> </a:t>
          </a:r>
          <a:r>
            <a:rPr lang="en-US" sz="1200">
              <a:latin typeface="Times New Roman" panose="02020603050405020304" pitchFamily="18" charset="0"/>
              <a:cs typeface="Times New Roman" panose="02020603050405020304" pitchFamily="18" charset="0"/>
            </a:rPr>
            <a:t>by her right arm, emblazoned with the red silhouette</a:t>
          </a:r>
          <a:r>
            <a:rPr lang="en-US" sz="1200" baseline="0">
              <a:latin typeface="Times New Roman" panose="02020603050405020304" pitchFamily="18" charset="0"/>
              <a:cs typeface="Times New Roman" panose="02020603050405020304" pitchFamily="18" charset="0"/>
            </a:rPr>
            <a:t> of a long-haired woman</a:t>
          </a:r>
          <a:r>
            <a:rPr lang="en-US" sz="1200">
              <a:latin typeface="Times New Roman" panose="02020603050405020304" pitchFamily="18" charset="0"/>
              <a:cs typeface="Times New Roman" panose="02020603050405020304" pitchFamily="18" charset="0"/>
            </a:rPr>
            <a:t> facing out.  She wears a silver holy symbol around her neck with a similar, redhaired crest upon it.  The greatsword on her back seems polished and well cared for.  She also carries a bow and heavy flail made of silver.  Her backpack seems to hold much more than it ought to.</a:t>
          </a: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Faith does not hide the fact that she is a Templar of Sune.  She does not remember how she got to the Gauntlet, but has found her way free and found her footing in this strange new place.  She is content to travel around helping those who need it and she works hard to put down evil outsiders when she can.  She is mostly serious, seldom laughing or joking, but knows how to speak well and convincing others of doing the right thing.</a:t>
          </a:r>
        </a:p>
      </xdr:txBody>
    </xdr:sp>
    <xdr:clientData/>
  </xdr:twoCellAnchor>
  <xdr:twoCellAnchor>
    <xdr:from>
      <xdr:col>0</xdr:col>
      <xdr:colOff>45720</xdr:colOff>
      <xdr:row>13</xdr:row>
      <xdr:rowOff>45720</xdr:rowOff>
    </xdr:from>
    <xdr:to>
      <xdr:col>6</xdr:col>
      <xdr:colOff>1242060</xdr:colOff>
      <xdr:row>15</xdr:row>
      <xdr:rowOff>175260</xdr:rowOff>
    </xdr:to>
    <xdr:sp macro="" textlink="">
      <xdr:nvSpPr>
        <xdr:cNvPr id="2" name="TextBox 1"/>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Protection from Evil +2</a:t>
          </a:r>
        </a:p>
        <a:p>
          <a:pPr algn="ctr" rtl="0"/>
          <a:r>
            <a:rPr lang="en-US" sz="1200" b="0" i="1" baseline="0">
              <a:solidFill>
                <a:schemeClr val="bg1"/>
              </a:solidFill>
              <a:latin typeface="Times New Roman" panose="02020603050405020304" pitchFamily="18" charset="0"/>
              <a:cs typeface="Times New Roman" panose="02020603050405020304" pitchFamily="18" charset="0"/>
            </a:rPr>
            <a:t>enlarged</a:t>
          </a:r>
          <a:endParaRPr lang="en-US" sz="1200" b="1" i="1" baseline="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15240</xdr:colOff>
      <xdr:row>5</xdr:row>
      <xdr:rowOff>15240</xdr:rowOff>
    </xdr:from>
    <xdr:to>
      <xdr:col>9</xdr:col>
      <xdr:colOff>2872988</xdr:colOff>
      <xdr:row>22</xdr:row>
      <xdr:rowOff>53658</xdr:rowOff>
    </xdr:to>
    <xdr:pic>
      <xdr:nvPicPr>
        <xdr:cNvPr id="3" name="Picture 2"/>
        <xdr:cNvPicPr>
          <a:picLocks noChangeAspect="1"/>
        </xdr:cNvPicPr>
      </xdr:nvPicPr>
      <xdr:blipFill>
        <a:blip xmlns:r="http://schemas.openxmlformats.org/officeDocument/2006/relationships" r:embed="rId1"/>
        <a:stretch>
          <a:fillRect/>
        </a:stretch>
      </xdr:blipFill>
      <xdr:spPr>
        <a:xfrm>
          <a:off x="4678680" y="1386840"/>
          <a:ext cx="2857748" cy="3665538"/>
        </a:xfrm>
        <a:prstGeom prst="rect">
          <a:avLst/>
        </a:prstGeom>
      </xdr:spPr>
    </xdr:pic>
    <xdr:clientData/>
  </xdr:twoCellAnchor>
  <xdr:twoCellAnchor>
    <xdr:from>
      <xdr:col>10</xdr:col>
      <xdr:colOff>38100</xdr:colOff>
      <xdr:row>2</xdr:row>
      <xdr:rowOff>7620</xdr:rowOff>
    </xdr:from>
    <xdr:to>
      <xdr:col>11</xdr:col>
      <xdr:colOff>22860</xdr:colOff>
      <xdr:row>4</xdr:row>
      <xdr:rowOff>198120</xdr:rowOff>
    </xdr:to>
    <xdr:sp macro="" textlink="">
      <xdr:nvSpPr>
        <xdr:cNvPr id="4" name="TextBox 3"/>
        <xdr:cNvSpPr txBox="1"/>
      </xdr:nvSpPr>
      <xdr:spPr>
        <a:xfrm>
          <a:off x="7581900" y="739140"/>
          <a:ext cx="975360" cy="61722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200" b="0" i="1" baseline="0">
              <a:solidFill>
                <a:schemeClr val="bg1"/>
              </a:solidFill>
              <a:latin typeface="Times New Roman" panose="02020603050405020304" pitchFamily="18" charset="0"/>
              <a:cs typeface="Times New Roman" panose="02020603050405020304" pitchFamily="18" charset="0"/>
            </a:rPr>
            <a:t>Protection from Evil +2</a:t>
          </a:r>
          <a:endParaRPr lang="en-US" sz="1200" b="1" i="1" baseline="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8457" name="Rectangle 1"/>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10</xdr:col>
      <xdr:colOff>411480</xdr:colOff>
      <xdr:row>0</xdr:row>
      <xdr:rowOff>289560</xdr:rowOff>
    </xdr:from>
    <xdr:to>
      <xdr:col>14</xdr:col>
      <xdr:colOff>330713</xdr:colOff>
      <xdr:row>17</xdr:row>
      <xdr:rowOff>53959</xdr:rowOff>
    </xdr:to>
    <xdr:pic>
      <xdr:nvPicPr>
        <xdr:cNvPr id="2" name="Picture 1"/>
        <xdr:cNvPicPr>
          <a:picLocks noChangeAspect="1"/>
        </xdr:cNvPicPr>
      </xdr:nvPicPr>
      <xdr:blipFill>
        <a:blip xmlns:r="http://schemas.openxmlformats.org/officeDocument/2006/relationships" r:embed="rId1"/>
        <a:stretch>
          <a:fillRect/>
        </a:stretch>
      </xdr:blipFill>
      <xdr:spPr>
        <a:xfrm>
          <a:off x="5829300" y="289560"/>
          <a:ext cx="3881633" cy="37039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291465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114550"/>
          <a:ext cx="4295775"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5, Spot 4.</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+8/+8 (1d6+4) and bite +3 (1d4+2); grapple +13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314825" y="1257300"/>
          <a:ext cx="2457450" cy="1485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Equipment:  </a:t>
          </a:r>
          <a:r>
            <a:rPr lang="en-US" sz="1200" b="0" i="0" u="none" strike="noStrike" baseline="0">
              <a:solidFill>
                <a:srgbClr val="000000"/>
              </a:solidFill>
              <a:latin typeface="Times New Roman" pitchFamily="18" charset="0"/>
              <a:cs typeface="Times New Roman" pitchFamily="18" charset="0"/>
            </a:rPr>
            <a:t>Chainmail barding, military saddle, bit and bridle.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tabSelected="1" workbookViewId="0"/>
  </sheetViews>
  <sheetFormatPr defaultColWidth="13" defaultRowHeight="15.6"/>
  <cols>
    <col min="1" max="1" width="14.3984375" style="191" bestFit="1" customWidth="1"/>
    <col min="2" max="2" width="12" style="80" customWidth="1"/>
    <col min="3" max="3" width="6.69921875" style="80" customWidth="1"/>
    <col min="4" max="4" width="13.69921875" style="191" bestFit="1" customWidth="1"/>
    <col min="5" max="5" width="10.8984375" style="80" bestFit="1" customWidth="1"/>
    <col min="6" max="6" width="16.3984375" style="191" customWidth="1"/>
    <col min="7" max="7" width="16.3984375" style="80" customWidth="1"/>
    <col min="8" max="16384" width="13" style="19"/>
  </cols>
  <sheetData>
    <row r="1" spans="1:7" ht="29.4" thickTop="1" thickBot="1">
      <c r="A1" s="564" t="s">
        <v>167</v>
      </c>
      <c r="B1" s="565" t="s">
        <v>168</v>
      </c>
      <c r="C1" s="197"/>
      <c r="D1" s="198"/>
      <c r="E1" s="199"/>
      <c r="F1" s="198"/>
      <c r="G1" s="200" t="s">
        <v>403</v>
      </c>
    </row>
    <row r="2" spans="1:7" ht="17.399999999999999" thickTop="1">
      <c r="A2" s="201" t="s">
        <v>0</v>
      </c>
      <c r="B2" s="202" t="s">
        <v>88</v>
      </c>
      <c r="C2" s="202"/>
      <c r="D2" s="203" t="s">
        <v>1</v>
      </c>
      <c r="E2" s="204" t="s">
        <v>152</v>
      </c>
      <c r="F2" s="205"/>
      <c r="G2" s="206"/>
    </row>
    <row r="3" spans="1:7" ht="16.8">
      <c r="A3" s="201" t="s">
        <v>65</v>
      </c>
      <c r="B3" s="202" t="s">
        <v>368</v>
      </c>
      <c r="C3" s="202"/>
      <c r="D3" s="203" t="s">
        <v>66</v>
      </c>
      <c r="E3" s="204">
        <v>5</v>
      </c>
      <c r="F3" s="203"/>
      <c r="G3" s="206"/>
    </row>
    <row r="4" spans="1:7" ht="16.8">
      <c r="A4" s="201" t="s">
        <v>65</v>
      </c>
      <c r="B4" s="202" t="s">
        <v>169</v>
      </c>
      <c r="C4" s="202"/>
      <c r="D4" s="203" t="s">
        <v>66</v>
      </c>
      <c r="E4" s="204">
        <v>7</v>
      </c>
      <c r="F4" s="203"/>
      <c r="G4" s="206"/>
    </row>
    <row r="5" spans="1:7" ht="17.399999999999999" thickBot="1">
      <c r="A5" s="201" t="s">
        <v>67</v>
      </c>
      <c r="B5" s="202" t="s">
        <v>367</v>
      </c>
      <c r="C5" s="202"/>
      <c r="D5" s="203" t="s">
        <v>190</v>
      </c>
      <c r="E5" s="204" t="s">
        <v>366</v>
      </c>
      <c r="F5" s="203"/>
      <c r="G5" s="206"/>
    </row>
    <row r="6" spans="1:7" ht="17.399999999999999" thickTop="1">
      <c r="A6" s="207" t="s">
        <v>96</v>
      </c>
      <c r="B6" s="581">
        <f>E3+E4</f>
        <v>12</v>
      </c>
      <c r="C6" s="582"/>
      <c r="D6" s="244" t="s">
        <v>379</v>
      </c>
      <c r="E6" s="563" t="str">
        <f>Martial!F25</f>
        <v>20’</v>
      </c>
      <c r="F6" s="208"/>
      <c r="G6" s="206"/>
    </row>
    <row r="7" spans="1:7" ht="17.399999999999999" thickBot="1">
      <c r="A7" s="461" t="s">
        <v>192</v>
      </c>
      <c r="B7" s="462" t="str">
        <f>C9</f>
        <v>+0</v>
      </c>
      <c r="C7" s="463"/>
      <c r="D7" s="554" t="s">
        <v>374</v>
      </c>
      <c r="E7" s="555">
        <v>66000</v>
      </c>
      <c r="F7" s="208"/>
      <c r="G7" s="206"/>
    </row>
    <row r="8" spans="1:7" ht="17.399999999999999" thickTop="1">
      <c r="A8" s="209" t="s">
        <v>2</v>
      </c>
      <c r="B8" s="572">
        <f>16+4</f>
        <v>20</v>
      </c>
      <c r="C8" s="210" t="str">
        <f t="shared" ref="C8:C13" si="0">IF(B8&gt;9.9,CONCATENATE("+",ROUNDDOWN((B8-10)/2,0)),ROUNDUP((B8-10)/2,0))</f>
        <v>+5</v>
      </c>
      <c r="D8" s="211" t="s">
        <v>75</v>
      </c>
      <c r="E8" s="243" t="s">
        <v>171</v>
      </c>
      <c r="F8" s="208"/>
      <c r="G8" s="206"/>
    </row>
    <row r="9" spans="1:7" ht="16.8">
      <c r="A9" s="212" t="s">
        <v>3</v>
      </c>
      <c r="B9" s="580">
        <f>10+2-2</f>
        <v>10</v>
      </c>
      <c r="C9" s="213" t="str">
        <f t="shared" si="0"/>
        <v>+0</v>
      </c>
      <c r="D9" s="214" t="s">
        <v>76</v>
      </c>
      <c r="E9" s="215">
        <f>SUM(Martial!G3:G32,Equipment!C3:C16)</f>
        <v>93.7</v>
      </c>
      <c r="F9" s="208"/>
      <c r="G9" s="206"/>
    </row>
    <row r="10" spans="1:7" ht="16.8">
      <c r="A10" s="216" t="s">
        <v>14</v>
      </c>
      <c r="B10" s="583">
        <f>14+4</f>
        <v>18</v>
      </c>
      <c r="C10" s="218" t="str">
        <f t="shared" si="0"/>
        <v>+4</v>
      </c>
      <c r="D10" s="219" t="s">
        <v>16</v>
      </c>
      <c r="E10" s="242">
        <f>ROUNDUP(((E3*10)*0.75)+((E4*10)*0.75)+((E3+E4)*C10),0)+(E3+E4)+11</f>
        <v>161</v>
      </c>
      <c r="F10" s="208"/>
      <c r="G10" s="206"/>
    </row>
    <row r="11" spans="1:7" ht="16.8">
      <c r="A11" s="220" t="s">
        <v>15</v>
      </c>
      <c r="B11" s="217">
        <v>10</v>
      </c>
      <c r="C11" s="213" t="str">
        <f t="shared" si="0"/>
        <v>+0</v>
      </c>
      <c r="D11" s="222" t="s">
        <v>95</v>
      </c>
      <c r="E11" s="570">
        <f>10+C9</f>
        <v>10</v>
      </c>
      <c r="F11" s="201"/>
      <c r="G11" s="206"/>
    </row>
    <row r="12" spans="1:7" ht="16.8">
      <c r="A12" s="221" t="s">
        <v>17</v>
      </c>
      <c r="B12" s="578">
        <f>14+2</f>
        <v>16</v>
      </c>
      <c r="C12" s="213" t="str">
        <f t="shared" si="0"/>
        <v>+3</v>
      </c>
      <c r="D12" s="222" t="s">
        <v>170</v>
      </c>
      <c r="E12" s="570">
        <f>E13-C9</f>
        <v>24</v>
      </c>
      <c r="F12" s="208"/>
      <c r="G12" s="206"/>
    </row>
    <row r="13" spans="1:7" ht="17.399999999999999" thickBot="1">
      <c r="A13" s="223" t="s">
        <v>13</v>
      </c>
      <c r="B13" s="523">
        <f>14+2</f>
        <v>16</v>
      </c>
      <c r="C13" s="556" t="str">
        <f t="shared" si="0"/>
        <v>+3</v>
      </c>
      <c r="D13" s="224" t="s">
        <v>375</v>
      </c>
      <c r="E13" s="571">
        <f>E11+SUM(Martial!B25:B28)</f>
        <v>24</v>
      </c>
      <c r="F13" s="227"/>
      <c r="G13" s="228"/>
    </row>
    <row r="14" spans="1:7" ht="16.2" thickTop="1"/>
  </sheetData>
  <phoneticPr fontId="0" type="noConversion"/>
  <conditionalFormatting sqref="E9">
    <cfRule type="cellIs" dxfId="42" priority="4" stopIfTrue="1" operator="greaterThan">
      <formula>763</formula>
    </cfRule>
    <cfRule type="cellIs" dxfId="41" priority="5" stopIfTrue="1" operator="between">
      <formula>43</formula>
      <formula>86</formula>
    </cfRule>
  </conditionalFormatting>
  <printOptions gridLinesSet="0"/>
  <pageMargins left="0.25" right="0.25"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9"/>
  <sheetViews>
    <sheetView showGridLines="0" workbookViewId="0">
      <pane ySplit="2" topLeftCell="A3" activePane="bottomLeft" state="frozen"/>
      <selection pane="bottomLeft" activeCell="A3" sqref="A3"/>
    </sheetView>
  </sheetViews>
  <sheetFormatPr defaultColWidth="13" defaultRowHeight="15.6"/>
  <cols>
    <col min="1" max="1" width="21.39843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c r="A1" s="89" t="s">
        <v>12</v>
      </c>
      <c r="B1" s="90"/>
      <c r="C1" s="90"/>
      <c r="D1" s="90"/>
      <c r="E1" s="90"/>
      <c r="F1" s="90"/>
      <c r="G1" s="91"/>
      <c r="H1" s="91"/>
      <c r="I1" s="91"/>
      <c r="J1" s="90"/>
    </row>
    <row r="2" spans="1:10" s="16" customFormat="1" ht="34.200000000000003" thickBot="1">
      <c r="A2" s="13" t="s">
        <v>245</v>
      </c>
      <c r="B2" s="14" t="s">
        <v>30</v>
      </c>
      <c r="C2" s="14" t="s">
        <v>37</v>
      </c>
      <c r="D2" s="14" t="s">
        <v>29</v>
      </c>
      <c r="E2" s="14" t="s">
        <v>63</v>
      </c>
      <c r="F2" s="14" t="s">
        <v>38</v>
      </c>
      <c r="G2" s="15" t="s">
        <v>68</v>
      </c>
      <c r="H2" s="10" t="s">
        <v>159</v>
      </c>
      <c r="I2" s="11" t="s">
        <v>85</v>
      </c>
      <c r="J2" s="12" t="s">
        <v>83</v>
      </c>
    </row>
    <row r="3" spans="1:10" s="4" customFormat="1" ht="16.8">
      <c r="A3" s="92" t="s">
        <v>70</v>
      </c>
      <c r="B3" s="93">
        <v>8</v>
      </c>
      <c r="C3" s="93" t="s">
        <v>32</v>
      </c>
      <c r="D3" s="94" t="str">
        <f>IF(C3="Str",'Personal File'!$C$8,IF(C3="Dex",'Personal File'!$C$9,IF(C3="Con",'Personal File'!$C$10,IF(C3="Int",'Personal File'!$C$11,IF(C3="Wis",'Personal File'!$C$12,IF(C3="Cha",'Personal File'!$C$13))))))</f>
        <v>+4</v>
      </c>
      <c r="E3" s="94" t="str">
        <f t="shared" ref="E3" si="0">CONCATENATE(C3," (",D3,")")</f>
        <v>Con (+4)</v>
      </c>
      <c r="F3" s="525">
        <f>'Personal File'!C$13+2</f>
        <v>5</v>
      </c>
      <c r="G3" s="96">
        <f t="shared" ref="G3:G43" si="1">B3+D3+F3</f>
        <v>17</v>
      </c>
      <c r="H3" s="97">
        <f t="shared" ref="H3:H5" ca="1" si="2">RANDBETWEEN(1,20)</f>
        <v>4</v>
      </c>
      <c r="I3" s="95">
        <f t="shared" ref="I3" ca="1" si="3">SUM(G3:H3)</f>
        <v>21</v>
      </c>
      <c r="J3" s="326" t="s">
        <v>233</v>
      </c>
    </row>
    <row r="4" spans="1:10" s="4" customFormat="1" ht="16.8">
      <c r="A4" s="98" t="s">
        <v>71</v>
      </c>
      <c r="B4" s="93">
        <v>2</v>
      </c>
      <c r="C4" s="93" t="s">
        <v>35</v>
      </c>
      <c r="D4" s="99" t="str">
        <f>IF(C4="Str",'Personal File'!$C$8,IF(C4="Dex",'Personal File'!$C$9,IF(C4="Con",'Personal File'!$C$10,IF(C4="Int",'Personal File'!$C$11,IF(C4="Wis",'Personal File'!$C$12,IF(C4="Cha",'Personal File'!$C$13))))))</f>
        <v>+0</v>
      </c>
      <c r="E4" s="100" t="str">
        <f t="shared" ref="E4:E5" si="4">CONCATENATE(C4," (",D4,")")</f>
        <v>Dex (+0)</v>
      </c>
      <c r="F4" s="525">
        <f>'Personal File'!C$13+2</f>
        <v>5</v>
      </c>
      <c r="G4" s="96">
        <f t="shared" si="1"/>
        <v>7</v>
      </c>
      <c r="H4" s="97">
        <f t="shared" ca="1" si="2"/>
        <v>20</v>
      </c>
      <c r="I4" s="101">
        <f t="shared" ref="I4:I43" ca="1" si="5">SUM(G4:H4)</f>
        <v>27</v>
      </c>
      <c r="J4" s="177" t="s">
        <v>394</v>
      </c>
    </row>
    <row r="5" spans="1:10" s="4" customFormat="1" ht="16.8">
      <c r="A5" s="103" t="s">
        <v>72</v>
      </c>
      <c r="B5" s="104">
        <v>5</v>
      </c>
      <c r="C5" s="104" t="s">
        <v>34</v>
      </c>
      <c r="D5" s="105" t="str">
        <f>IF(C5="Str",'Personal File'!$C$8,IF(C5="Dex",'Personal File'!$C$9,IF(C5="Con",'Personal File'!$C$10,IF(C5="Int",'Personal File'!$C$11,IF(C5="Wis",'Personal File'!$C$12,IF(C5="Cha",'Personal File'!$C$13))))))</f>
        <v>+3</v>
      </c>
      <c r="E5" s="106" t="str">
        <f t="shared" si="4"/>
        <v>Wis (+3)</v>
      </c>
      <c r="F5" s="526">
        <f>'Personal File'!C$13+2</f>
        <v>5</v>
      </c>
      <c r="G5" s="108">
        <f t="shared" si="1"/>
        <v>13</v>
      </c>
      <c r="H5" s="109">
        <f t="shared" ca="1" si="2"/>
        <v>13</v>
      </c>
      <c r="I5" s="107">
        <f t="shared" ca="1" si="5"/>
        <v>26</v>
      </c>
      <c r="J5" s="362" t="s">
        <v>233</v>
      </c>
    </row>
    <row r="6" spans="1:10" s="4" customFormat="1" ht="16.8">
      <c r="A6" s="110" t="s">
        <v>39</v>
      </c>
      <c r="B6" s="111">
        <v>0</v>
      </c>
      <c r="C6" s="112" t="s">
        <v>33</v>
      </c>
      <c r="D6" s="113" t="str">
        <f>IF(C6="Str",'Personal File'!$C$8,IF(C6="Dex",'Personal File'!$C$9,IF(C6="Con",'Personal File'!$C$10,IF(C6="Int",'Personal File'!$C$11,IF(C6="Wis",'Personal File'!$C$12,IF(C6="Cha",'Personal File'!$C$13))))))</f>
        <v>+0</v>
      </c>
      <c r="E6" s="113" t="str">
        <f t="shared" ref="E6" si="6">CONCATENATE(C6," (",D6,")")</f>
        <v>Int (+0)</v>
      </c>
      <c r="F6" s="114" t="s">
        <v>64</v>
      </c>
      <c r="G6" s="115">
        <f t="shared" si="1"/>
        <v>0</v>
      </c>
      <c r="H6" s="97">
        <f ca="1">RANDBETWEEN(1,20)</f>
        <v>6</v>
      </c>
      <c r="I6" s="101">
        <f t="shared" ca="1" si="5"/>
        <v>6</v>
      </c>
      <c r="J6" s="177"/>
    </row>
    <row r="7" spans="1:10" s="8" customFormat="1" ht="16.8">
      <c r="A7" s="116" t="s">
        <v>40</v>
      </c>
      <c r="B7" s="111">
        <v>0</v>
      </c>
      <c r="C7" s="117" t="s">
        <v>35</v>
      </c>
      <c r="D7" s="99" t="str">
        <f>IF(C7="Str",'Personal File'!$C$8,IF(C7="Dex",'Personal File'!$C$9,IF(C7="Con",'Personal File'!$C$10,IF(C7="Int",'Personal File'!$C$11,IF(C7="Wis",'Personal File'!$C$12,IF(C7="Cha",'Personal File'!$C$13))))))</f>
        <v>+0</v>
      </c>
      <c r="E7" s="99" t="str">
        <f t="shared" ref="E7:E43" si="7">CONCATENATE(C7," (",D7,")")</f>
        <v>Dex (+0)</v>
      </c>
      <c r="F7" s="455">
        <f>SUM(Martial!$D$25:$D$28)</f>
        <v>-5</v>
      </c>
      <c r="G7" s="115">
        <f t="shared" si="1"/>
        <v>-5</v>
      </c>
      <c r="H7" s="97">
        <f ca="1">RANDBETWEEN(1,20)</f>
        <v>18</v>
      </c>
      <c r="I7" s="101">
        <f t="shared" ca="1" si="5"/>
        <v>13</v>
      </c>
      <c r="J7" s="177"/>
    </row>
    <row r="8" spans="1:10" s="6" customFormat="1" ht="16.8">
      <c r="A8" s="134" t="s">
        <v>41</v>
      </c>
      <c r="B8" s="125">
        <v>7</v>
      </c>
      <c r="C8" s="135" t="s">
        <v>31</v>
      </c>
      <c r="D8" s="136" t="str">
        <f>IF(C8="Str",'Personal File'!$C$8,IF(C8="Dex",'Personal File'!$C$9,IF(C8="Con",'Personal File'!$C$10,IF(C8="Int",'Personal File'!$C$11,IF(C8="Wis",'Personal File'!$C$12,IF(C8="Cha",'Personal File'!$C$13))))))</f>
        <v>+3</v>
      </c>
      <c r="E8" s="137" t="str">
        <f t="shared" si="7"/>
        <v>Cha (+3)</v>
      </c>
      <c r="F8" s="126" t="s">
        <v>64</v>
      </c>
      <c r="G8" s="126">
        <f t="shared" si="1"/>
        <v>10</v>
      </c>
      <c r="H8" s="97">
        <f t="shared" ref="H8:H43" ca="1" si="8">RANDBETWEEN(1,20)</f>
        <v>7</v>
      </c>
      <c r="I8" s="527">
        <f t="shared" ca="1" si="5"/>
        <v>17</v>
      </c>
      <c r="J8" s="435"/>
    </row>
    <row r="9" spans="1:10" s="5" customFormat="1" ht="16.8">
      <c r="A9" s="122" t="s">
        <v>42</v>
      </c>
      <c r="B9" s="111">
        <v>0</v>
      </c>
      <c r="C9" s="123" t="s">
        <v>36</v>
      </c>
      <c r="D9" s="124" t="str">
        <f>IF(C9="Str",'Personal File'!$C$8,IF(C9="Dex",'Personal File'!$C$9,IF(C9="Con",'Personal File'!$C$10,IF(C9="Int",'Personal File'!$C$11,IF(C9="Wis",'Personal File'!$C$12,IF(C9="Cha",'Personal File'!$C$13))))))</f>
        <v>+5</v>
      </c>
      <c r="E9" s="124" t="str">
        <f t="shared" si="7"/>
        <v>Str (+5)</v>
      </c>
      <c r="F9" s="455">
        <f>SUM(Martial!$D$25:$D$28)</f>
        <v>-5</v>
      </c>
      <c r="G9" s="115">
        <f t="shared" si="1"/>
        <v>0</v>
      </c>
      <c r="H9" s="97">
        <f t="shared" ca="1" si="8"/>
        <v>20</v>
      </c>
      <c r="I9" s="101">
        <f t="shared" ca="1" si="5"/>
        <v>20</v>
      </c>
      <c r="J9" s="177"/>
    </row>
    <row r="10" spans="1:10" s="5" customFormat="1" ht="16.8">
      <c r="A10" s="535" t="s">
        <v>18</v>
      </c>
      <c r="B10" s="125">
        <v>8</v>
      </c>
      <c r="C10" s="536" t="s">
        <v>32</v>
      </c>
      <c r="D10" s="537" t="str">
        <f>IF(C10="Str",'Personal File'!$C$8,IF(C10="Dex",'Personal File'!$C$9,IF(C10="Con",'Personal File'!$C$10,IF(C10="Int",'Personal File'!$C$11,IF(C10="Wis",'Personal File'!$C$12,IF(C10="Cha",'Personal File'!$C$13))))))</f>
        <v>+4</v>
      </c>
      <c r="E10" s="537" t="str">
        <f t="shared" si="7"/>
        <v>Con (+4)</v>
      </c>
      <c r="F10" s="126" t="s">
        <v>64</v>
      </c>
      <c r="G10" s="126">
        <f t="shared" si="1"/>
        <v>12</v>
      </c>
      <c r="H10" s="97">
        <f t="shared" ca="1" si="8"/>
        <v>17</v>
      </c>
      <c r="I10" s="527">
        <f t="shared" ca="1" si="5"/>
        <v>29</v>
      </c>
      <c r="J10" s="435"/>
    </row>
    <row r="11" spans="1:10" s="4" customFormat="1" ht="16.8">
      <c r="A11" s="110" t="s">
        <v>89</v>
      </c>
      <c r="B11" s="111">
        <v>0</v>
      </c>
      <c r="C11" s="112" t="s">
        <v>33</v>
      </c>
      <c r="D11" s="113" t="str">
        <f>IF(C11="Str",'Personal File'!$C$8,IF(C11="Dex",'Personal File'!$C$9,IF(C11="Con",'Personal File'!$C$10,IF(C11="Int",'Personal File'!$C$11,IF(C11="Wis",'Personal File'!$C$12,IF(C11="Cha",'Personal File'!$C$13))))))</f>
        <v>+0</v>
      </c>
      <c r="E11" s="113" t="str">
        <f t="shared" si="7"/>
        <v>Int (+0)</v>
      </c>
      <c r="F11" s="115" t="s">
        <v>64</v>
      </c>
      <c r="G11" s="115">
        <f t="shared" si="1"/>
        <v>0</v>
      </c>
      <c r="H11" s="97">
        <f t="shared" ca="1" si="8"/>
        <v>11</v>
      </c>
      <c r="I11" s="101">
        <f t="shared" ca="1" si="5"/>
        <v>11</v>
      </c>
      <c r="J11" s="177"/>
    </row>
    <row r="12" spans="1:10" s="7" customFormat="1" ht="16.8">
      <c r="A12" s="128" t="s">
        <v>43</v>
      </c>
      <c r="B12" s="129">
        <v>0</v>
      </c>
      <c r="C12" s="130" t="s">
        <v>33</v>
      </c>
      <c r="D12" s="131" t="str">
        <f>IF(C12="Str",'Personal File'!$C$8,IF(C12="Dex",'Personal File'!$C$9,IF(C12="Con",'Personal File'!$C$10,IF(C12="Int",'Personal File'!$C$11,IF(C12="Wis",'Personal File'!$C$12,IF(C12="Cha",'Personal File'!$C$13))))))</f>
        <v>+0</v>
      </c>
      <c r="E12" s="131" t="str">
        <f t="shared" si="7"/>
        <v>Int (+0)</v>
      </c>
      <c r="F12" s="132" t="s">
        <v>64</v>
      </c>
      <c r="G12" s="132">
        <f t="shared" si="1"/>
        <v>0</v>
      </c>
      <c r="H12" s="97">
        <f t="shared" ca="1" si="8"/>
        <v>1</v>
      </c>
      <c r="I12" s="132">
        <f t="shared" ca="1" si="5"/>
        <v>1</v>
      </c>
      <c r="J12" s="434"/>
    </row>
    <row r="13" spans="1:10" s="8" customFormat="1" ht="16.8">
      <c r="A13" s="528" t="s">
        <v>44</v>
      </c>
      <c r="B13" s="529">
        <v>0</v>
      </c>
      <c r="C13" s="530" t="s">
        <v>31</v>
      </c>
      <c r="D13" s="531" t="str">
        <f>IF(C13="Str",'Personal File'!$C$8,IF(C13="Dex",'Personal File'!$C$9,IF(C13="Con",'Personal File'!$C$10,IF(C13="Int",'Personal File'!$C$11,IF(C13="Wis",'Personal File'!$C$12,IF(C13="Cha",'Personal File'!$C$13))))))</f>
        <v>+3</v>
      </c>
      <c r="E13" s="532" t="str">
        <f t="shared" si="7"/>
        <v>Cha (+3)</v>
      </c>
      <c r="F13" s="533" t="s">
        <v>151</v>
      </c>
      <c r="G13" s="533">
        <f t="shared" si="1"/>
        <v>5</v>
      </c>
      <c r="H13" s="97">
        <f t="shared" ca="1" si="8"/>
        <v>15</v>
      </c>
      <c r="I13" s="533">
        <f t="shared" ca="1" si="5"/>
        <v>20</v>
      </c>
      <c r="J13" s="534"/>
    </row>
    <row r="14" spans="1:10" s="8" customFormat="1" ht="16.8">
      <c r="A14" s="128" t="s">
        <v>45</v>
      </c>
      <c r="B14" s="129">
        <v>0</v>
      </c>
      <c r="C14" s="130" t="s">
        <v>33</v>
      </c>
      <c r="D14" s="131" t="str">
        <f>IF(C14="Str",'Personal File'!$C$8,IF(C14="Dex",'Personal File'!$C$9,IF(C14="Con",'Personal File'!$C$10,IF(C14="Int",'Personal File'!$C$11,IF(C14="Wis",'Personal File'!$C$12,IF(C14="Cha",'Personal File'!$C$13))))))</f>
        <v>+0</v>
      </c>
      <c r="E14" s="131" t="str">
        <f t="shared" si="7"/>
        <v>Int (+0)</v>
      </c>
      <c r="F14" s="132" t="s">
        <v>64</v>
      </c>
      <c r="G14" s="132">
        <f t="shared" si="1"/>
        <v>0</v>
      </c>
      <c r="H14" s="97">
        <f t="shared" ca="1" si="8"/>
        <v>16</v>
      </c>
      <c r="I14" s="132">
        <f t="shared" ca="1" si="5"/>
        <v>16</v>
      </c>
      <c r="J14" s="434"/>
    </row>
    <row r="15" spans="1:10" s="8" customFormat="1" ht="16.8">
      <c r="A15" s="118" t="s">
        <v>46</v>
      </c>
      <c r="B15" s="111">
        <v>0</v>
      </c>
      <c r="C15" s="119" t="s">
        <v>31</v>
      </c>
      <c r="D15" s="120" t="str">
        <f>IF(C15="Str",'Personal File'!$C$8,IF(C15="Dex",'Personal File'!$C$9,IF(C15="Con",'Personal File'!$C$10,IF(C15="Int",'Personal File'!$C$11,IF(C15="Wis",'Personal File'!$C$12,IF(C15="Cha",'Personal File'!$C$13))))))</f>
        <v>+3</v>
      </c>
      <c r="E15" s="121" t="str">
        <f t="shared" si="7"/>
        <v>Cha (+3)</v>
      </c>
      <c r="F15" s="115" t="s">
        <v>64</v>
      </c>
      <c r="G15" s="115">
        <f t="shared" si="1"/>
        <v>3</v>
      </c>
      <c r="H15" s="97">
        <f t="shared" ca="1" si="8"/>
        <v>11</v>
      </c>
      <c r="I15" s="115">
        <f t="shared" ca="1" si="5"/>
        <v>14</v>
      </c>
      <c r="J15" s="261"/>
    </row>
    <row r="16" spans="1:10" s="8" customFormat="1" ht="16.8">
      <c r="A16" s="116" t="s">
        <v>47</v>
      </c>
      <c r="B16" s="111">
        <v>0</v>
      </c>
      <c r="C16" s="117" t="s">
        <v>35</v>
      </c>
      <c r="D16" s="99" t="str">
        <f>IF(C16="Str",'Personal File'!$C$8,IF(C16="Dex",'Personal File'!$C$9,IF(C16="Con",'Personal File'!$C$10,IF(C16="Int",'Personal File'!$C$11,IF(C16="Wis",'Personal File'!$C$12,IF(C16="Cha",'Personal File'!$C$13))))))</f>
        <v>+0</v>
      </c>
      <c r="E16" s="100" t="str">
        <f t="shared" si="7"/>
        <v>Dex (+0)</v>
      </c>
      <c r="F16" s="455">
        <f>SUM(Martial!$D$25:$D$28)</f>
        <v>-5</v>
      </c>
      <c r="G16" s="115">
        <f t="shared" si="1"/>
        <v>-5</v>
      </c>
      <c r="H16" s="97">
        <f t="shared" ca="1" si="8"/>
        <v>3</v>
      </c>
      <c r="I16" s="115">
        <f t="shared" ca="1" si="5"/>
        <v>-2</v>
      </c>
      <c r="J16" s="177"/>
    </row>
    <row r="17" spans="1:10" s="8" customFormat="1" ht="16.8">
      <c r="A17" s="139" t="s">
        <v>48</v>
      </c>
      <c r="B17" s="140">
        <v>0</v>
      </c>
      <c r="C17" s="141" t="s">
        <v>33</v>
      </c>
      <c r="D17" s="142" t="str">
        <f>IF(C17="Str",'Personal File'!$C$8,IF(C17="Dex",'Personal File'!$C$9,IF(C17="Con",'Personal File'!$C$10,IF(C17="Int",'Personal File'!$C$11,IF(C17="Wis",'Personal File'!$C$12,IF(C17="Cha",'Personal File'!$C$13))))))</f>
        <v>+0</v>
      </c>
      <c r="E17" s="142" t="str">
        <f t="shared" si="7"/>
        <v>Int (+0)</v>
      </c>
      <c r="F17" s="143" t="s">
        <v>64</v>
      </c>
      <c r="G17" s="143">
        <f t="shared" si="1"/>
        <v>0</v>
      </c>
      <c r="H17" s="97">
        <f t="shared" ca="1" si="8"/>
        <v>2</v>
      </c>
      <c r="I17" s="143">
        <f t="shared" ca="1" si="5"/>
        <v>2</v>
      </c>
      <c r="J17" s="436"/>
    </row>
    <row r="18" spans="1:10" s="8" customFormat="1" ht="16.8">
      <c r="A18" s="118" t="s">
        <v>49</v>
      </c>
      <c r="B18" s="111">
        <v>0</v>
      </c>
      <c r="C18" s="119" t="s">
        <v>31</v>
      </c>
      <c r="D18" s="120" t="str">
        <f>IF(C18="Str",'Personal File'!$C$8,IF(C18="Dex",'Personal File'!$C$9,IF(C18="Con",'Personal File'!$C$10,IF(C18="Int",'Personal File'!$C$11,IF(C18="Wis",'Personal File'!$C$12,IF(C18="Cha",'Personal File'!$C$13))))))</f>
        <v>+3</v>
      </c>
      <c r="E18" s="121" t="str">
        <f t="shared" si="7"/>
        <v>Cha (+3)</v>
      </c>
      <c r="F18" s="115" t="s">
        <v>64</v>
      </c>
      <c r="G18" s="115">
        <f t="shared" si="1"/>
        <v>3</v>
      </c>
      <c r="H18" s="97">
        <f t="shared" ca="1" si="8"/>
        <v>10</v>
      </c>
      <c r="I18" s="115">
        <f t="shared" ca="1" si="5"/>
        <v>13</v>
      </c>
      <c r="J18" s="177"/>
    </row>
    <row r="19" spans="1:10" s="8" customFormat="1" ht="16.8">
      <c r="A19" s="118" t="s">
        <v>20</v>
      </c>
      <c r="B19" s="111">
        <v>0</v>
      </c>
      <c r="C19" s="119" t="s">
        <v>31</v>
      </c>
      <c r="D19" s="120" t="str">
        <f>IF(C19="Str",'Personal File'!$C$8,IF(C19="Dex",'Personal File'!$C$9,IF(C19="Con",'Personal File'!$C$10,IF(C19="Int",'Personal File'!$C$11,IF(C19="Wis",'Personal File'!$C$12,IF(C19="Cha",'Personal File'!$C$13))))))</f>
        <v>+3</v>
      </c>
      <c r="E19" s="120" t="str">
        <f t="shared" si="7"/>
        <v>Cha (+3)</v>
      </c>
      <c r="F19" s="115" t="s">
        <v>64</v>
      </c>
      <c r="G19" s="115">
        <f t="shared" si="1"/>
        <v>3</v>
      </c>
      <c r="H19" s="97">
        <f t="shared" ca="1" si="8"/>
        <v>6</v>
      </c>
      <c r="I19" s="115">
        <f t="shared" ca="1" si="5"/>
        <v>9</v>
      </c>
      <c r="J19" s="177"/>
    </row>
    <row r="20" spans="1:10" s="8" customFormat="1" ht="16.8">
      <c r="A20" s="464" t="s">
        <v>50</v>
      </c>
      <c r="B20" s="125">
        <v>8</v>
      </c>
      <c r="C20" s="465" t="s">
        <v>34</v>
      </c>
      <c r="D20" s="466" t="str">
        <f>IF(C20="Str",'Personal File'!$C$8,IF(C20="Dex",'Personal File'!$C$9,IF(C20="Con",'Personal File'!$C$10,IF(C20="Int",'Personal File'!$C$11,IF(C20="Wis",'Personal File'!$C$12,IF(C20="Cha",'Personal File'!$C$13))))))</f>
        <v>+3</v>
      </c>
      <c r="E20" s="466" t="str">
        <f t="shared" si="7"/>
        <v>Wis (+3)</v>
      </c>
      <c r="F20" s="126" t="s">
        <v>151</v>
      </c>
      <c r="G20" s="126">
        <f t="shared" si="1"/>
        <v>13</v>
      </c>
      <c r="H20" s="97">
        <f t="shared" ca="1" si="8"/>
        <v>6</v>
      </c>
      <c r="I20" s="126">
        <f t="shared" ca="1" si="5"/>
        <v>19</v>
      </c>
      <c r="J20" s="435"/>
    </row>
    <row r="21" spans="1:10" s="8" customFormat="1" ht="16.8">
      <c r="A21" s="116" t="s">
        <v>51</v>
      </c>
      <c r="B21" s="111">
        <v>0</v>
      </c>
      <c r="C21" s="117" t="s">
        <v>35</v>
      </c>
      <c r="D21" s="99" t="str">
        <f>IF(C21="Str",'Personal File'!$C$8,IF(C21="Dex",'Personal File'!$C$9,IF(C21="Con",'Personal File'!$C$10,IF(C21="Int",'Personal File'!$C$11,IF(C21="Wis",'Personal File'!$C$12,IF(C21="Cha",'Personal File'!$C$13))))))</f>
        <v>+0</v>
      </c>
      <c r="E21" s="99" t="str">
        <f t="shared" si="7"/>
        <v>Dex (+0)</v>
      </c>
      <c r="F21" s="455">
        <f>SUM(Martial!$D$25:$D$28)</f>
        <v>-5</v>
      </c>
      <c r="G21" s="115">
        <f t="shared" si="1"/>
        <v>-5</v>
      </c>
      <c r="H21" s="97">
        <f t="shared" ca="1" si="8"/>
        <v>11</v>
      </c>
      <c r="I21" s="115">
        <f t="shared" ca="1" si="5"/>
        <v>6</v>
      </c>
      <c r="J21" s="436"/>
    </row>
    <row r="22" spans="1:10" s="8" customFormat="1" ht="16.8">
      <c r="A22" s="147" t="s">
        <v>52</v>
      </c>
      <c r="B22" s="140">
        <v>0</v>
      </c>
      <c r="C22" s="148" t="s">
        <v>31</v>
      </c>
      <c r="D22" s="149" t="str">
        <f>IF(C22="Str",'Personal File'!$C$8,IF(C22="Dex",'Personal File'!$C$9,IF(C22="Con",'Personal File'!$C$10,IF(C22="Int",'Personal File'!$C$11,IF(C22="Wis",'Personal File'!$C$12,IF(C22="Cha",'Personal File'!$C$13))))))</f>
        <v>+3</v>
      </c>
      <c r="E22" s="150" t="str">
        <f t="shared" si="7"/>
        <v>Cha (+3)</v>
      </c>
      <c r="F22" s="143" t="s">
        <v>64</v>
      </c>
      <c r="G22" s="143">
        <f t="shared" si="1"/>
        <v>3</v>
      </c>
      <c r="H22" s="97">
        <f t="shared" ca="1" si="8"/>
        <v>4</v>
      </c>
      <c r="I22" s="143">
        <f t="shared" ca="1" si="5"/>
        <v>7</v>
      </c>
      <c r="J22" s="436"/>
    </row>
    <row r="23" spans="1:10" s="8" customFormat="1" ht="16.8">
      <c r="A23" s="122" t="s">
        <v>53</v>
      </c>
      <c r="B23" s="111">
        <v>0</v>
      </c>
      <c r="C23" s="123" t="s">
        <v>36</v>
      </c>
      <c r="D23" s="124" t="str">
        <f>IF(C23="Str",'Personal File'!$C$8,IF(C23="Dex",'Personal File'!$C$9,IF(C23="Con",'Personal File'!$C$10,IF(C23="Int",'Personal File'!$C$11,IF(C23="Wis",'Personal File'!$C$12,IF(C23="Cha",'Personal File'!$C$13))))))</f>
        <v>+5</v>
      </c>
      <c r="E23" s="124" t="str">
        <f t="shared" si="7"/>
        <v>Str (+5)</v>
      </c>
      <c r="F23" s="455">
        <f>SUM(Martial!$D$25:$D$28)</f>
        <v>-5</v>
      </c>
      <c r="G23" s="115">
        <f t="shared" si="1"/>
        <v>0</v>
      </c>
      <c r="H23" s="97">
        <f t="shared" ca="1" si="8"/>
        <v>11</v>
      </c>
      <c r="I23" s="115">
        <f t="shared" ca="1" si="5"/>
        <v>11</v>
      </c>
      <c r="J23" s="177"/>
    </row>
    <row r="24" spans="1:10" s="8" customFormat="1" ht="16.8">
      <c r="A24" s="151" t="s">
        <v>248</v>
      </c>
      <c r="B24" s="125">
        <v>1</v>
      </c>
      <c r="C24" s="152" t="s">
        <v>33</v>
      </c>
      <c r="D24" s="153" t="str">
        <f>IF(C24="Str",'Personal File'!$C$8,IF(C24="Dex",'Personal File'!$C$9,IF(C24="Con",'Personal File'!$C$10,IF(C24="Int",'Personal File'!$C$11,IF(C24="Wis",'Personal File'!$C$12,IF(C24="Cha",'Personal File'!$C$13))))))</f>
        <v>+0</v>
      </c>
      <c r="E24" s="153" t="str">
        <f>CONCATENATE(C24," (",D24,")")</f>
        <v>Int (+0)</v>
      </c>
      <c r="F24" s="126" t="s">
        <v>64</v>
      </c>
      <c r="G24" s="126">
        <f t="shared" si="1"/>
        <v>1</v>
      </c>
      <c r="H24" s="97">
        <f t="shared" ca="1" si="8"/>
        <v>18</v>
      </c>
      <c r="I24" s="126">
        <f t="shared" ca="1" si="5"/>
        <v>19</v>
      </c>
      <c r="J24" s="127" t="s">
        <v>259</v>
      </c>
    </row>
    <row r="25" spans="1:10" s="8" customFormat="1" ht="16.8">
      <c r="A25" s="151" t="s">
        <v>175</v>
      </c>
      <c r="B25" s="125">
        <v>1</v>
      </c>
      <c r="C25" s="152" t="s">
        <v>33</v>
      </c>
      <c r="D25" s="153" t="str">
        <f>IF(C25="Str",'Personal File'!$C$8,IF(C25="Dex",'Personal File'!$C$9,IF(C25="Con",'Personal File'!$C$10,IF(C25="Int",'Personal File'!$C$11,IF(C25="Wis",'Personal File'!$C$12,IF(C25="Cha",'Personal File'!$C$13))))))</f>
        <v>+0</v>
      </c>
      <c r="E25" s="153" t="str">
        <f>CONCATENATE(C25," (",D25,")")</f>
        <v>Int (+0)</v>
      </c>
      <c r="F25" s="126" t="s">
        <v>64</v>
      </c>
      <c r="G25" s="126">
        <f t="shared" ref="G25" si="9">B25+D25+F25</f>
        <v>1</v>
      </c>
      <c r="H25" s="97">
        <f t="shared" ca="1" si="8"/>
        <v>7</v>
      </c>
      <c r="I25" s="126">
        <f t="shared" ref="I25" ca="1" si="10">SUM(G25:H25)</f>
        <v>8</v>
      </c>
      <c r="J25" s="127"/>
    </row>
    <row r="26" spans="1:10" s="8" customFormat="1" ht="16.8">
      <c r="A26" s="151" t="s">
        <v>91</v>
      </c>
      <c r="B26" s="125">
        <v>9</v>
      </c>
      <c r="C26" s="152" t="s">
        <v>33</v>
      </c>
      <c r="D26" s="153" t="str">
        <f>IF(C26="Str",'Personal File'!$C$8,IF(C26="Dex",'Personal File'!$C$9,IF(C26="Con",'Personal File'!$C$10,IF(C26="Int",'Personal File'!$C$11,IF(C26="Wis",'Personal File'!$C$12,IF(C26="Cha",'Personal File'!$C$13))))))</f>
        <v>+0</v>
      </c>
      <c r="E26" s="153" t="str">
        <f>CONCATENATE(C26," (",D26,")")</f>
        <v>Int (+0)</v>
      </c>
      <c r="F26" s="126" t="s">
        <v>64</v>
      </c>
      <c r="G26" s="126">
        <f t="shared" ref="G26" si="11">B26+D26+F26</f>
        <v>9</v>
      </c>
      <c r="H26" s="97">
        <f t="shared" ca="1" si="8"/>
        <v>1</v>
      </c>
      <c r="I26" s="126">
        <f t="shared" ref="I26" ca="1" si="12">SUM(G26:H26)</f>
        <v>10</v>
      </c>
      <c r="J26" s="127"/>
    </row>
    <row r="27" spans="1:10" s="8" customFormat="1" ht="16.8">
      <c r="A27" s="144" t="s">
        <v>54</v>
      </c>
      <c r="B27" s="111">
        <v>0</v>
      </c>
      <c r="C27" s="145" t="s">
        <v>34</v>
      </c>
      <c r="D27" s="146" t="str">
        <f>IF(C27="Str",'Personal File'!$C$8,IF(C27="Dex",'Personal File'!$C$9,IF(C27="Con",'Personal File'!$C$10,IF(C27="Int",'Personal File'!$C$11,IF(C27="Wis",'Personal File'!$C$12,IF(C27="Cha",'Personal File'!$C$13))))))</f>
        <v>+3</v>
      </c>
      <c r="E27" s="154" t="str">
        <f t="shared" si="7"/>
        <v>Wis (+3)</v>
      </c>
      <c r="F27" s="115" t="s">
        <v>64</v>
      </c>
      <c r="G27" s="115">
        <f t="shared" si="1"/>
        <v>3</v>
      </c>
      <c r="H27" s="97">
        <f t="shared" ca="1" si="8"/>
        <v>3</v>
      </c>
      <c r="I27" s="115">
        <f t="shared" ca="1" si="5"/>
        <v>6</v>
      </c>
      <c r="J27" s="102"/>
    </row>
    <row r="28" spans="1:10" s="8" customFormat="1" ht="16.8">
      <c r="A28" s="116" t="s">
        <v>21</v>
      </c>
      <c r="B28" s="111">
        <v>0</v>
      </c>
      <c r="C28" s="117" t="s">
        <v>35</v>
      </c>
      <c r="D28" s="99" t="str">
        <f>IF(C28="Str",'Personal File'!$C$8,IF(C28="Dex",'Personal File'!$C$9,IF(C28="Con",'Personal File'!$C$10,IF(C28="Int",'Personal File'!$C$11,IF(C28="Wis",'Personal File'!$C$12,IF(C28="Cha",'Personal File'!$C$13))))))</f>
        <v>+0</v>
      </c>
      <c r="E28" s="99" t="str">
        <f t="shared" si="7"/>
        <v>Dex (+0)</v>
      </c>
      <c r="F28" s="455">
        <f>SUM(Martial!$D$25:$D$28)</f>
        <v>-5</v>
      </c>
      <c r="G28" s="115">
        <f t="shared" si="1"/>
        <v>-5</v>
      </c>
      <c r="H28" s="97">
        <f t="shared" ca="1" si="8"/>
        <v>7</v>
      </c>
      <c r="I28" s="115">
        <f t="shared" ca="1" si="5"/>
        <v>2</v>
      </c>
      <c r="J28" s="102"/>
    </row>
    <row r="29" spans="1:10" s="8" customFormat="1" ht="16.8">
      <c r="A29" s="155" t="s">
        <v>55</v>
      </c>
      <c r="B29" s="129">
        <v>0</v>
      </c>
      <c r="C29" s="156" t="s">
        <v>35</v>
      </c>
      <c r="D29" s="157" t="str">
        <f>IF(C29="Str",'Personal File'!$C$8,IF(C29="Dex",'Personal File'!$C$9,IF(C29="Con",'Personal File'!$C$10,IF(C29="Int",'Personal File'!$C$11,IF(C29="Wis",'Personal File'!$C$12,IF(C29="Cha",'Personal File'!$C$13))))))</f>
        <v>+0</v>
      </c>
      <c r="E29" s="157" t="str">
        <f t="shared" si="7"/>
        <v>Dex (+0)</v>
      </c>
      <c r="F29" s="132" t="s">
        <v>64</v>
      </c>
      <c r="G29" s="132">
        <f t="shared" si="1"/>
        <v>0</v>
      </c>
      <c r="H29" s="97">
        <f t="shared" ca="1" si="8"/>
        <v>1</v>
      </c>
      <c r="I29" s="132">
        <f t="shared" ca="1" si="5"/>
        <v>1</v>
      </c>
      <c r="J29" s="133"/>
    </row>
    <row r="30" spans="1:10" ht="16.8">
      <c r="A30" s="118" t="s">
        <v>92</v>
      </c>
      <c r="B30" s="111">
        <v>0</v>
      </c>
      <c r="C30" s="119" t="s">
        <v>31</v>
      </c>
      <c r="D30" s="120" t="str">
        <f>IF(C30="Str",'Personal File'!$C$8,IF(C30="Dex",'Personal File'!$C$9,IF(C30="Con",'Personal File'!$C$10,IF(C30="Int",'Personal File'!$C$11,IF(C30="Wis",'Personal File'!$C$12,IF(C30="Cha",'Personal File'!$C$13))))))</f>
        <v>+3</v>
      </c>
      <c r="E30" s="120" t="str">
        <f t="shared" si="7"/>
        <v>Cha (+3)</v>
      </c>
      <c r="F30" s="115" t="s">
        <v>64</v>
      </c>
      <c r="G30" s="115">
        <f t="shared" si="1"/>
        <v>3</v>
      </c>
      <c r="H30" s="97">
        <f t="shared" ca="1" si="8"/>
        <v>18</v>
      </c>
      <c r="I30" s="115">
        <f t="shared" ca="1" si="5"/>
        <v>21</v>
      </c>
      <c r="J30" s="102"/>
    </row>
    <row r="31" spans="1:10" ht="16.8">
      <c r="A31" s="158" t="s">
        <v>56</v>
      </c>
      <c r="B31" s="129">
        <v>0</v>
      </c>
      <c r="C31" s="159" t="s">
        <v>34</v>
      </c>
      <c r="D31" s="160" t="str">
        <f>IF(C31="Str",'Personal File'!$C$8,IF(C31="Dex",'Personal File'!$C$9,IF(C31="Con",'Personal File'!$C$10,IF(C31="Int",'Personal File'!$C$11,IF(C31="Wis",'Personal File'!$C$12,IF(C31="Cha",'Personal File'!$C$13))))))</f>
        <v>+3</v>
      </c>
      <c r="E31" s="160" t="str">
        <f t="shared" si="7"/>
        <v>Wis (+3)</v>
      </c>
      <c r="F31" s="132" t="s">
        <v>64</v>
      </c>
      <c r="G31" s="132">
        <f t="shared" si="1"/>
        <v>3</v>
      </c>
      <c r="H31" s="97">
        <f t="shared" ca="1" si="8"/>
        <v>2</v>
      </c>
      <c r="I31" s="132">
        <f t="shared" ca="1" si="5"/>
        <v>5</v>
      </c>
      <c r="J31" s="133"/>
    </row>
    <row r="32" spans="1:10" ht="16.8">
      <c r="A32" s="161" t="s">
        <v>22</v>
      </c>
      <c r="B32" s="162">
        <v>4</v>
      </c>
      <c r="C32" s="163" t="s">
        <v>35</v>
      </c>
      <c r="D32" s="164" t="str">
        <f>IF(C32="Str",'Personal File'!$C$8,IF(C32="Dex",'Personal File'!$C$9,IF(C32="Con",'Personal File'!$C$10,IF(C32="Int",'Personal File'!$C$11,IF(C32="Wis",'Personal File'!$C$12,IF(C32="Cha",'Personal File'!$C$13))))))</f>
        <v>+0</v>
      </c>
      <c r="E32" s="165" t="str">
        <f t="shared" si="7"/>
        <v>Dex (+0)</v>
      </c>
      <c r="F32" s="166" t="s">
        <v>64</v>
      </c>
      <c r="G32" s="166">
        <f t="shared" si="1"/>
        <v>4</v>
      </c>
      <c r="H32" s="97">
        <f t="shared" ca="1" si="8"/>
        <v>18</v>
      </c>
      <c r="I32" s="166">
        <f t="shared" ca="1" si="5"/>
        <v>22</v>
      </c>
      <c r="J32" s="522" t="s">
        <v>286</v>
      </c>
    </row>
    <row r="33" spans="1:10" ht="16.8">
      <c r="A33" s="110" t="s">
        <v>23</v>
      </c>
      <c r="B33" s="111">
        <v>0</v>
      </c>
      <c r="C33" s="112" t="s">
        <v>33</v>
      </c>
      <c r="D33" s="113" t="str">
        <f>IF(C33="Str",'Personal File'!$C$8,IF(C33="Dex",'Personal File'!$C$9,IF(C33="Con",'Personal File'!$C$10,IF(C33="Int",'Personal File'!$C$11,IF(C33="Wis",'Personal File'!$C$12,IF(C33="Cha",'Personal File'!$C$13))))))</f>
        <v>+0</v>
      </c>
      <c r="E33" s="113" t="str">
        <f t="shared" si="7"/>
        <v>Int (+0)</v>
      </c>
      <c r="F33" s="115" t="s">
        <v>64</v>
      </c>
      <c r="G33" s="115">
        <f t="shared" si="1"/>
        <v>0</v>
      </c>
      <c r="H33" s="97">
        <f t="shared" ca="1" si="8"/>
        <v>20</v>
      </c>
      <c r="I33" s="115">
        <f t="shared" ca="1" si="5"/>
        <v>20</v>
      </c>
      <c r="J33" s="102"/>
    </row>
    <row r="34" spans="1:10" ht="16.8">
      <c r="A34" s="168" t="s">
        <v>57</v>
      </c>
      <c r="B34" s="162">
        <v>5</v>
      </c>
      <c r="C34" s="169" t="s">
        <v>34</v>
      </c>
      <c r="D34" s="170" t="str">
        <f>IF(C34="Str",'Personal File'!$C$8,IF(C34="Dex",'Personal File'!$C$9,IF(C34="Con",'Personal File'!$C$10,IF(C34="Int",'Personal File'!$C$11,IF(C34="Wis",'Personal File'!$C$12,IF(C34="Cha",'Personal File'!$C$13))))))</f>
        <v>+3</v>
      </c>
      <c r="E34" s="170" t="str">
        <f t="shared" si="7"/>
        <v>Wis (+3)</v>
      </c>
      <c r="F34" s="166" t="s">
        <v>64</v>
      </c>
      <c r="G34" s="166">
        <f t="shared" si="1"/>
        <v>8</v>
      </c>
      <c r="H34" s="97">
        <f t="shared" ca="1" si="8"/>
        <v>4</v>
      </c>
      <c r="I34" s="166">
        <f t="shared" ca="1" si="5"/>
        <v>12</v>
      </c>
      <c r="J34" s="167"/>
    </row>
    <row r="35" spans="1:10" ht="16.8">
      <c r="A35" s="155" t="s">
        <v>93</v>
      </c>
      <c r="B35" s="129">
        <v>0</v>
      </c>
      <c r="C35" s="156" t="s">
        <v>35</v>
      </c>
      <c r="D35" s="157" t="str">
        <f>IF(C35="Str",'Personal File'!$C$8,IF(C35="Dex",'Personal File'!$C$9,IF(C35="Con",'Personal File'!$C$10,IF(C35="Int",'Personal File'!$C$11,IF(C35="Wis",'Personal File'!$C$12,IF(C35="Cha",'Personal File'!$C$13))))))</f>
        <v>+0</v>
      </c>
      <c r="E35" s="157" t="str">
        <f t="shared" si="7"/>
        <v>Dex (+0)</v>
      </c>
      <c r="F35" s="175">
        <f>SUM(Martial!$D$25:$D$28)</f>
        <v>-5</v>
      </c>
      <c r="G35" s="132">
        <f t="shared" si="1"/>
        <v>-5</v>
      </c>
      <c r="H35" s="97">
        <f t="shared" ca="1" si="8"/>
        <v>4</v>
      </c>
      <c r="I35" s="132">
        <f t="shared" ca="1" si="5"/>
        <v>-1</v>
      </c>
      <c r="J35" s="133"/>
    </row>
    <row r="36" spans="1:10" ht="16.8">
      <c r="A36" s="171" t="s">
        <v>90</v>
      </c>
      <c r="B36" s="172">
        <v>0</v>
      </c>
      <c r="C36" s="173" t="s">
        <v>33</v>
      </c>
      <c r="D36" s="174" t="str">
        <f>IF(C36="Str",'Personal File'!$C$8,IF(C36="Dex",'Personal File'!$C$9,IF(C36="Con",'Personal File'!$C$10,IF(C36="Int",'Personal File'!$C$11,IF(C36="Wis",'Personal File'!$C$12,IF(C36="Cha",'Personal File'!$C$13))))))</f>
        <v>+0</v>
      </c>
      <c r="E36" s="174" t="str">
        <f t="shared" si="7"/>
        <v>Int (+0)</v>
      </c>
      <c r="F36" s="175" t="s">
        <v>64</v>
      </c>
      <c r="G36" s="175">
        <f t="shared" si="1"/>
        <v>0</v>
      </c>
      <c r="H36" s="97">
        <f t="shared" ca="1" si="8"/>
        <v>17</v>
      </c>
      <c r="I36" s="175">
        <f t="shared" ca="1" si="5"/>
        <v>17</v>
      </c>
      <c r="J36" s="176"/>
    </row>
    <row r="37" spans="1:10" ht="16.8">
      <c r="A37" s="171" t="s">
        <v>58</v>
      </c>
      <c r="B37" s="172">
        <v>0</v>
      </c>
      <c r="C37" s="173" t="s">
        <v>33</v>
      </c>
      <c r="D37" s="174" t="str">
        <f>IF(C37="Str",'Personal File'!$C$8,IF(C37="Dex",'Personal File'!$C$9,IF(C37="Con",'Personal File'!$C$10,IF(C37="Int",'Personal File'!$C$11,IF(C37="Wis",'Personal File'!$C$12,IF(C37="Cha",'Personal File'!$C$13))))))</f>
        <v>+0</v>
      </c>
      <c r="E37" s="174" t="str">
        <f t="shared" si="7"/>
        <v>Int (+0)</v>
      </c>
      <c r="F37" s="175" t="s">
        <v>64</v>
      </c>
      <c r="G37" s="175">
        <f t="shared" si="1"/>
        <v>0</v>
      </c>
      <c r="H37" s="97">
        <f t="shared" ca="1" si="8"/>
        <v>13</v>
      </c>
      <c r="I37" s="175">
        <f t="shared" ca="1" si="5"/>
        <v>13</v>
      </c>
      <c r="J37" s="176"/>
    </row>
    <row r="38" spans="1:10" ht="16.8">
      <c r="A38" s="144" t="s">
        <v>59</v>
      </c>
      <c r="B38" s="111">
        <v>0</v>
      </c>
      <c r="C38" s="145" t="s">
        <v>34</v>
      </c>
      <c r="D38" s="146" t="str">
        <f>IF(C38="Str",'Personal File'!$C$8,IF(C38="Dex",'Personal File'!$C$9,IF(C38="Con",'Personal File'!$C$10,IF(C38="Int",'Personal File'!$C$11,IF(C38="Wis",'Personal File'!$C$12,IF(C38="Cha",'Personal File'!$C$13))))))</f>
        <v>+3</v>
      </c>
      <c r="E38" s="146" t="str">
        <f t="shared" si="7"/>
        <v>Wis (+3)</v>
      </c>
      <c r="F38" s="115" t="s">
        <v>64</v>
      </c>
      <c r="G38" s="115">
        <f t="shared" si="1"/>
        <v>3</v>
      </c>
      <c r="H38" s="97">
        <f t="shared" ca="1" si="8"/>
        <v>2</v>
      </c>
      <c r="I38" s="115">
        <f t="shared" ca="1" si="5"/>
        <v>5</v>
      </c>
      <c r="J38" s="102"/>
    </row>
    <row r="39" spans="1:10" ht="16.8">
      <c r="A39" s="144" t="s">
        <v>94</v>
      </c>
      <c r="B39" s="111">
        <v>0</v>
      </c>
      <c r="C39" s="145" t="s">
        <v>34</v>
      </c>
      <c r="D39" s="146" t="str">
        <f>IF(C39="Str",'Personal File'!$C$8,IF(C39="Dex",'Personal File'!$C$9,IF(C39="Con",'Personal File'!$C$10,IF(C39="Int",'Personal File'!$C$11,IF(C39="Wis",'Personal File'!$C$12,IF(C39="Cha",'Personal File'!$C$13))))))</f>
        <v>+3</v>
      </c>
      <c r="E39" s="146" t="str">
        <f t="shared" si="7"/>
        <v>Wis (+3)</v>
      </c>
      <c r="F39" s="115" t="s">
        <v>64</v>
      </c>
      <c r="G39" s="115">
        <f t="shared" si="1"/>
        <v>3</v>
      </c>
      <c r="H39" s="97">
        <f t="shared" ca="1" si="8"/>
        <v>5</v>
      </c>
      <c r="I39" s="115">
        <f t="shared" ca="1" si="5"/>
        <v>8</v>
      </c>
      <c r="J39" s="177"/>
    </row>
    <row r="40" spans="1:10" ht="16.8">
      <c r="A40" s="254" t="s">
        <v>24</v>
      </c>
      <c r="B40" s="125">
        <v>1</v>
      </c>
      <c r="C40" s="255" t="s">
        <v>36</v>
      </c>
      <c r="D40" s="256" t="str">
        <f>IF(C40="Str",'Personal File'!$C$8,IF(C40="Dex",'Personal File'!$C$9,IF(C40="Con",'Personal File'!$C$10,IF(C40="Int",'Personal File'!$C$11,IF(C40="Wis",'Personal File'!$C$12,IF(C40="Cha",'Personal File'!$C$13))))))</f>
        <v>+5</v>
      </c>
      <c r="E40" s="256" t="str">
        <f t="shared" si="7"/>
        <v>Str (+5)</v>
      </c>
      <c r="F40" s="126" t="s">
        <v>64</v>
      </c>
      <c r="G40" s="126">
        <f t="shared" si="1"/>
        <v>6</v>
      </c>
      <c r="H40" s="97">
        <f t="shared" ca="1" si="8"/>
        <v>10</v>
      </c>
      <c r="I40" s="126">
        <f t="shared" ca="1" si="5"/>
        <v>16</v>
      </c>
      <c r="J40" s="127"/>
    </row>
    <row r="41" spans="1:10" ht="16.8">
      <c r="A41" s="178" t="s">
        <v>60</v>
      </c>
      <c r="B41" s="172">
        <v>0</v>
      </c>
      <c r="C41" s="179" t="s">
        <v>35</v>
      </c>
      <c r="D41" s="180" t="str">
        <f>IF(C41="Str",'Personal File'!$C$8,IF(C41="Dex",'Personal File'!$C$9,IF(C41="Con",'Personal File'!$C$10,IF(C41="Int",'Personal File'!$C$11,IF(C41="Wis",'Personal File'!$C$12,IF(C41="Cha",'Personal File'!$C$13))))))</f>
        <v>+0</v>
      </c>
      <c r="E41" s="180" t="str">
        <f t="shared" si="7"/>
        <v>Dex (+0)</v>
      </c>
      <c r="F41" s="175">
        <f>SUM(Martial!$D$25:$D$28)</f>
        <v>-5</v>
      </c>
      <c r="G41" s="175">
        <f t="shared" si="1"/>
        <v>-5</v>
      </c>
      <c r="H41" s="97">
        <f t="shared" ca="1" si="8"/>
        <v>7</v>
      </c>
      <c r="I41" s="175">
        <f t="shared" ca="1" si="5"/>
        <v>2</v>
      </c>
      <c r="J41" s="176"/>
    </row>
    <row r="42" spans="1:10" ht="16.8">
      <c r="A42" s="181" t="s">
        <v>61</v>
      </c>
      <c r="B42" s="129">
        <v>0</v>
      </c>
      <c r="C42" s="182" t="s">
        <v>31</v>
      </c>
      <c r="D42" s="183" t="str">
        <f>IF(C42="Str",'Personal File'!$C$8,IF(C42="Dex",'Personal File'!$C$9,IF(C42="Con",'Personal File'!$C$10,IF(C42="Int",'Personal File'!$C$11,IF(C42="Wis",'Personal File'!$C$12,IF(C42="Cha",'Personal File'!$C$13))))))</f>
        <v>+3</v>
      </c>
      <c r="E42" s="183" t="str">
        <f t="shared" si="7"/>
        <v>Cha (+3)</v>
      </c>
      <c r="F42" s="132" t="s">
        <v>64</v>
      </c>
      <c r="G42" s="132">
        <f t="shared" si="1"/>
        <v>3</v>
      </c>
      <c r="H42" s="97">
        <f t="shared" ca="1" si="8"/>
        <v>15</v>
      </c>
      <c r="I42" s="132">
        <f t="shared" ca="1" si="5"/>
        <v>18</v>
      </c>
      <c r="J42" s="133"/>
    </row>
    <row r="43" spans="1:10" ht="17.399999999999999" thickBot="1">
      <c r="A43" s="184" t="s">
        <v>62</v>
      </c>
      <c r="B43" s="185">
        <v>0</v>
      </c>
      <c r="C43" s="186" t="s">
        <v>35</v>
      </c>
      <c r="D43" s="187" t="str">
        <f>IF(C43="Str",'Personal File'!$C$8,IF(C43="Dex",'Personal File'!$C$9,IF(C43="Con",'Personal File'!$C$10,IF(C43="Int",'Personal File'!$C$11,IF(C43="Wis",'Personal File'!$C$12,IF(C43="Cha",'Personal File'!$C$13))))))</f>
        <v>+0</v>
      </c>
      <c r="E43" s="187" t="str">
        <f t="shared" si="7"/>
        <v>Dex (+0)</v>
      </c>
      <c r="F43" s="188" t="s">
        <v>64</v>
      </c>
      <c r="G43" s="188">
        <f t="shared" si="1"/>
        <v>0</v>
      </c>
      <c r="H43" s="189">
        <f t="shared" ca="1" si="8"/>
        <v>12</v>
      </c>
      <c r="I43" s="188">
        <f t="shared" ca="1" si="5"/>
        <v>12</v>
      </c>
      <c r="J43" s="190"/>
    </row>
    <row r="44" spans="1:10" ht="16.2" thickTop="1">
      <c r="A44" s="245"/>
      <c r="B44" s="246">
        <f>SUM(B6:B43,B24)</f>
        <v>45</v>
      </c>
      <c r="C44" s="247"/>
      <c r="D44" s="247"/>
      <c r="E44" s="246">
        <f>SUM(E45:E57)</f>
        <v>45</v>
      </c>
      <c r="F44" s="249" t="s">
        <v>68</v>
      </c>
      <c r="G44" s="247"/>
      <c r="H44" s="247"/>
      <c r="I44" s="247"/>
      <c r="J44" s="245"/>
    </row>
    <row r="45" spans="1:10">
      <c r="A45" s="245"/>
      <c r="B45" s="246"/>
      <c r="C45" s="247"/>
      <c r="D45" s="247"/>
      <c r="E45" s="251">
        <f>4*(2+'Personal File'!$C$11)</f>
        <v>8</v>
      </c>
      <c r="F45" s="250" t="s">
        <v>384</v>
      </c>
      <c r="G45" s="247"/>
      <c r="H45" s="247"/>
      <c r="I45" s="247"/>
      <c r="J45" s="245"/>
    </row>
    <row r="46" spans="1:10">
      <c r="A46" s="245"/>
      <c r="B46" s="246"/>
      <c r="C46" s="247"/>
      <c r="D46" s="247"/>
      <c r="E46" s="251">
        <f>2+'Personal File'!$C$11</f>
        <v>2</v>
      </c>
      <c r="F46" s="250" t="s">
        <v>385</v>
      </c>
      <c r="G46" s="247"/>
      <c r="H46" s="247"/>
      <c r="I46" s="247"/>
      <c r="J46" s="245"/>
    </row>
    <row r="47" spans="1:10">
      <c r="A47" s="245"/>
      <c r="B47" s="246"/>
      <c r="C47" s="247"/>
      <c r="D47" s="247"/>
      <c r="E47" s="251">
        <f>2+'Personal File'!$C$11</f>
        <v>2</v>
      </c>
      <c r="F47" s="250" t="s">
        <v>386</v>
      </c>
      <c r="G47" s="247"/>
      <c r="H47" s="247"/>
      <c r="I47" s="247"/>
      <c r="J47" s="245"/>
    </row>
    <row r="48" spans="1:10">
      <c r="A48" s="245"/>
      <c r="B48" s="246"/>
      <c r="C48" s="247"/>
      <c r="D48" s="247"/>
      <c r="E48" s="251">
        <f>2+'Personal File'!$C$11</f>
        <v>2</v>
      </c>
      <c r="F48" s="250" t="s">
        <v>387</v>
      </c>
      <c r="G48" s="247"/>
      <c r="H48" s="247"/>
      <c r="I48" s="247"/>
      <c r="J48" s="245"/>
    </row>
    <row r="49" spans="1:10">
      <c r="A49" s="245"/>
      <c r="B49" s="246"/>
      <c r="C49" s="247"/>
      <c r="D49" s="247"/>
      <c r="E49" s="251">
        <f>2+'Personal File'!$C$11</f>
        <v>2</v>
      </c>
      <c r="F49" s="250" t="s">
        <v>388</v>
      </c>
      <c r="G49" s="247"/>
      <c r="H49" s="247"/>
      <c r="I49" s="247"/>
      <c r="J49" s="245"/>
    </row>
    <row r="50" spans="1:10">
      <c r="A50" s="245"/>
      <c r="B50" s="246"/>
      <c r="C50" s="247"/>
      <c r="D50" s="247"/>
      <c r="E50" s="251">
        <f>2+'Personal File'!$C$11</f>
        <v>2</v>
      </c>
      <c r="F50" s="250" t="s">
        <v>172</v>
      </c>
      <c r="G50" s="247"/>
      <c r="H50" s="247"/>
      <c r="I50" s="247"/>
      <c r="J50" s="245"/>
    </row>
    <row r="51" spans="1:10">
      <c r="A51" s="245"/>
      <c r="B51" s="246"/>
      <c r="C51" s="247"/>
      <c r="D51" s="247"/>
      <c r="E51" s="251">
        <f>2+'Personal File'!$C$11</f>
        <v>2</v>
      </c>
      <c r="F51" s="250" t="s">
        <v>173</v>
      </c>
      <c r="G51" s="247"/>
      <c r="H51" s="247"/>
      <c r="I51" s="247"/>
      <c r="J51" s="245"/>
    </row>
    <row r="52" spans="1:10">
      <c r="A52" s="245"/>
      <c r="B52" s="246"/>
      <c r="C52" s="247"/>
      <c r="D52" s="247"/>
      <c r="E52" s="251">
        <f>2+'Personal File'!$C$11</f>
        <v>2</v>
      </c>
      <c r="F52" s="250" t="s">
        <v>174</v>
      </c>
      <c r="G52" s="247"/>
      <c r="H52" s="247"/>
      <c r="I52" s="247"/>
      <c r="J52" s="245"/>
    </row>
    <row r="53" spans="1:10">
      <c r="A53" s="245"/>
      <c r="B53" s="246"/>
      <c r="C53" s="247"/>
      <c r="D53" s="247"/>
      <c r="E53" s="251">
        <f>2+'Personal File'!$C$11</f>
        <v>2</v>
      </c>
      <c r="F53" s="250" t="s">
        <v>249</v>
      </c>
      <c r="G53" s="247"/>
      <c r="H53" s="247"/>
      <c r="I53" s="247"/>
      <c r="J53" s="245"/>
    </row>
    <row r="54" spans="1:10">
      <c r="A54" s="245"/>
      <c r="B54" s="246"/>
      <c r="C54" s="247"/>
      <c r="D54" s="247"/>
      <c r="E54" s="251">
        <f>2+'Personal File'!$C$11</f>
        <v>2</v>
      </c>
      <c r="F54" s="250" t="s">
        <v>260</v>
      </c>
      <c r="G54" s="247"/>
      <c r="H54" s="247"/>
      <c r="I54" s="247"/>
      <c r="J54" s="245"/>
    </row>
    <row r="55" spans="1:10">
      <c r="A55" s="245"/>
      <c r="B55" s="246"/>
      <c r="C55" s="247"/>
      <c r="D55" s="247"/>
      <c r="E55" s="251">
        <f>2+'Personal File'!$C$11</f>
        <v>2</v>
      </c>
      <c r="F55" s="250" t="s">
        <v>296</v>
      </c>
      <c r="G55" s="247"/>
      <c r="H55" s="247"/>
      <c r="I55" s="247"/>
      <c r="J55" s="245"/>
    </row>
    <row r="56" spans="1:10">
      <c r="A56" s="245"/>
      <c r="B56" s="246"/>
      <c r="C56" s="247"/>
      <c r="D56" s="247"/>
      <c r="E56" s="251">
        <f>2+'Personal File'!$C$11</f>
        <v>2</v>
      </c>
      <c r="F56" s="250" t="s">
        <v>389</v>
      </c>
      <c r="G56" s="247"/>
      <c r="H56" s="247"/>
      <c r="I56" s="247"/>
      <c r="J56" s="245"/>
    </row>
    <row r="57" spans="1:10">
      <c r="A57" s="245"/>
      <c r="B57" s="245"/>
      <c r="C57" s="247"/>
      <c r="D57" s="247"/>
      <c r="E57" s="248">
        <f>3+'Personal File'!E3+'Personal File'!E4</f>
        <v>15</v>
      </c>
      <c r="F57" s="250" t="s">
        <v>88</v>
      </c>
      <c r="G57" s="247"/>
      <c r="H57" s="247"/>
      <c r="I57" s="247"/>
      <c r="J57" s="245"/>
    </row>
    <row r="58" spans="1:10">
      <c r="A58" s="252"/>
      <c r="B58" s="252"/>
      <c r="C58" s="253"/>
      <c r="D58" s="253"/>
      <c r="E58" s="253"/>
      <c r="F58" s="253"/>
      <c r="G58" s="253"/>
      <c r="H58" s="253"/>
      <c r="I58" s="253"/>
      <c r="J58" s="252"/>
    </row>
    <row r="59" spans="1:10">
      <c r="A59" s="252"/>
      <c r="B59" s="252"/>
      <c r="C59" s="253"/>
      <c r="D59" s="253"/>
      <c r="E59" s="253"/>
      <c r="F59" s="253"/>
      <c r="G59" s="253"/>
      <c r="H59" s="253"/>
      <c r="I59" s="253"/>
      <c r="J59" s="252"/>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9"/>
  <sheetViews>
    <sheetView showGridLines="0" workbookViewId="0">
      <pane ySplit="2" topLeftCell="A3" activePane="bottomLeft" state="frozen"/>
      <selection pane="bottomLeft" activeCell="A3" sqref="A3"/>
    </sheetView>
  </sheetViews>
  <sheetFormatPr defaultColWidth="13" defaultRowHeight="15.6"/>
  <cols>
    <col min="1" max="1" width="26.296875" style="87" bestFit="1" customWidth="1"/>
    <col min="2" max="2" width="6.19921875" style="87" bestFit="1" customWidth="1"/>
    <col min="3" max="3" width="13.59765625" style="86" bestFit="1" customWidth="1"/>
    <col min="4" max="4" width="12.5" style="86" bestFit="1" customWidth="1"/>
    <col min="5" max="5" width="7.296875" style="86" bestFit="1" customWidth="1"/>
    <col min="6" max="7" width="13.19921875" style="86" bestFit="1" customWidth="1"/>
    <col min="8" max="8" width="21.69921875" style="87" bestFit="1" customWidth="1"/>
    <col min="9" max="9" width="5.5" style="76" bestFit="1" customWidth="1"/>
    <col min="10" max="16384" width="13" style="76"/>
  </cols>
  <sheetData>
    <row r="1" spans="1:9" ht="23.4" thickBot="1">
      <c r="A1" s="271" t="s">
        <v>371</v>
      </c>
      <c r="B1" s="192"/>
      <c r="C1" s="192"/>
      <c r="D1" s="192"/>
      <c r="E1" s="192"/>
      <c r="F1" s="192"/>
      <c r="G1" s="192"/>
      <c r="H1" s="192"/>
    </row>
    <row r="2" spans="1:9" s="16" customFormat="1" ht="16.8">
      <c r="A2" s="193" t="s">
        <v>77</v>
      </c>
      <c r="B2" s="194" t="s">
        <v>4</v>
      </c>
      <c r="C2" s="194" t="s">
        <v>101</v>
      </c>
      <c r="D2" s="195" t="s">
        <v>102</v>
      </c>
      <c r="E2" s="195" t="s">
        <v>103</v>
      </c>
      <c r="F2" s="194" t="s">
        <v>104</v>
      </c>
      <c r="G2" s="194" t="s">
        <v>105</v>
      </c>
      <c r="H2" s="194" t="s">
        <v>272</v>
      </c>
      <c r="I2" s="196" t="s">
        <v>273</v>
      </c>
    </row>
    <row r="3" spans="1:9" ht="16.8">
      <c r="A3" s="474" t="s">
        <v>362</v>
      </c>
      <c r="B3" s="257">
        <v>1</v>
      </c>
      <c r="C3" s="258" t="s">
        <v>118</v>
      </c>
      <c r="D3" s="259" t="s">
        <v>108</v>
      </c>
      <c r="E3" s="381" t="s">
        <v>109</v>
      </c>
      <c r="F3" s="260" t="s">
        <v>343</v>
      </c>
      <c r="G3" s="260" t="s">
        <v>111</v>
      </c>
      <c r="H3" s="260" t="s">
        <v>363</v>
      </c>
      <c r="I3" s="138">
        <v>125</v>
      </c>
    </row>
    <row r="4" spans="1:9" ht="16.8">
      <c r="A4" s="474" t="s">
        <v>297</v>
      </c>
      <c r="B4" s="257">
        <v>1</v>
      </c>
      <c r="C4" s="258" t="s">
        <v>229</v>
      </c>
      <c r="D4" s="259" t="s">
        <v>127</v>
      </c>
      <c r="E4" s="381" t="s">
        <v>109</v>
      </c>
      <c r="F4" s="260" t="s">
        <v>128</v>
      </c>
      <c r="G4" s="260" t="s">
        <v>114</v>
      </c>
      <c r="H4" s="260" t="s">
        <v>274</v>
      </c>
      <c r="I4" s="261">
        <v>205</v>
      </c>
    </row>
    <row r="5" spans="1:9" ht="16.8">
      <c r="A5" s="474" t="s">
        <v>298</v>
      </c>
      <c r="B5" s="257">
        <v>1</v>
      </c>
      <c r="C5" s="258" t="s">
        <v>228</v>
      </c>
      <c r="D5" s="259" t="s">
        <v>129</v>
      </c>
      <c r="E5" s="381" t="s">
        <v>109</v>
      </c>
      <c r="F5" s="260" t="s">
        <v>113</v>
      </c>
      <c r="G5" s="260" t="s">
        <v>111</v>
      </c>
      <c r="H5" s="260" t="s">
        <v>274</v>
      </c>
      <c r="I5" s="138">
        <v>205</v>
      </c>
    </row>
    <row r="6" spans="1:9" ht="16.8">
      <c r="A6" s="474" t="s">
        <v>227</v>
      </c>
      <c r="B6" s="257">
        <v>1</v>
      </c>
      <c r="C6" s="258" t="s">
        <v>228</v>
      </c>
      <c r="D6" s="259" t="s">
        <v>108</v>
      </c>
      <c r="E6" s="259" t="s">
        <v>109</v>
      </c>
      <c r="F6" s="260" t="s">
        <v>113</v>
      </c>
      <c r="G6" s="260" t="s">
        <v>114</v>
      </c>
      <c r="H6" s="260" t="s">
        <v>274</v>
      </c>
      <c r="I6" s="261">
        <v>205</v>
      </c>
    </row>
    <row r="7" spans="1:9" ht="16.8">
      <c r="A7" s="474" t="s">
        <v>321</v>
      </c>
      <c r="B7" s="257">
        <v>1</v>
      </c>
      <c r="C7" s="258" t="s">
        <v>228</v>
      </c>
      <c r="D7" s="539" t="s">
        <v>108</v>
      </c>
      <c r="E7" s="381" t="s">
        <v>109</v>
      </c>
      <c r="F7" s="540" t="s">
        <v>122</v>
      </c>
      <c r="G7" s="260" t="s">
        <v>119</v>
      </c>
      <c r="H7" s="260" t="s">
        <v>338</v>
      </c>
      <c r="I7" s="102">
        <v>144</v>
      </c>
    </row>
    <row r="8" spans="1:9" ht="16.8">
      <c r="A8" s="474" t="s">
        <v>106</v>
      </c>
      <c r="B8" s="257">
        <v>1</v>
      </c>
      <c r="C8" s="258" t="s">
        <v>107</v>
      </c>
      <c r="D8" s="259" t="s">
        <v>108</v>
      </c>
      <c r="E8" s="381" t="s">
        <v>109</v>
      </c>
      <c r="F8" s="260" t="s">
        <v>110</v>
      </c>
      <c r="G8" s="260" t="s">
        <v>111</v>
      </c>
      <c r="H8" s="260" t="s">
        <v>274</v>
      </c>
      <c r="I8" s="138">
        <v>215</v>
      </c>
    </row>
    <row r="9" spans="1:9" ht="16.8">
      <c r="A9" s="474" t="s">
        <v>131</v>
      </c>
      <c r="B9" s="257">
        <v>1</v>
      </c>
      <c r="C9" s="258" t="s">
        <v>112</v>
      </c>
      <c r="D9" s="259" t="s">
        <v>108</v>
      </c>
      <c r="E9" s="381" t="s">
        <v>109</v>
      </c>
      <c r="F9" s="260" t="s">
        <v>113</v>
      </c>
      <c r="G9" s="260" t="s">
        <v>111</v>
      </c>
      <c r="H9" s="260" t="s">
        <v>274</v>
      </c>
      <c r="I9" s="138">
        <v>216</v>
      </c>
    </row>
    <row r="10" spans="1:9" ht="16.8">
      <c r="A10" s="474" t="s">
        <v>115</v>
      </c>
      <c r="B10" s="257">
        <v>1</v>
      </c>
      <c r="C10" s="258" t="s">
        <v>116</v>
      </c>
      <c r="D10" s="259" t="s">
        <v>108</v>
      </c>
      <c r="E10" s="381" t="s">
        <v>109</v>
      </c>
      <c r="F10" s="260" t="s">
        <v>110</v>
      </c>
      <c r="G10" s="260" t="s">
        <v>111</v>
      </c>
      <c r="H10" s="260" t="s">
        <v>274</v>
      </c>
      <c r="I10" s="138">
        <v>219</v>
      </c>
    </row>
    <row r="11" spans="1:9" ht="16.8">
      <c r="A11" s="474" t="s">
        <v>137</v>
      </c>
      <c r="B11" s="257">
        <v>1</v>
      </c>
      <c r="C11" s="258" t="s">
        <v>116</v>
      </c>
      <c r="D11" s="259" t="s">
        <v>125</v>
      </c>
      <c r="E11" s="475" t="s">
        <v>109</v>
      </c>
      <c r="F11" s="260" t="s">
        <v>234</v>
      </c>
      <c r="G11" s="260" t="s">
        <v>111</v>
      </c>
      <c r="H11" s="260" t="s">
        <v>274</v>
      </c>
      <c r="I11" s="138">
        <v>220</v>
      </c>
    </row>
    <row r="12" spans="1:9" ht="16.8">
      <c r="A12" s="474" t="s">
        <v>132</v>
      </c>
      <c r="B12" s="257">
        <v>1</v>
      </c>
      <c r="C12" s="258" t="s">
        <v>118</v>
      </c>
      <c r="D12" s="259" t="s">
        <v>127</v>
      </c>
      <c r="E12" s="381" t="s">
        <v>109</v>
      </c>
      <c r="F12" s="260" t="s">
        <v>122</v>
      </c>
      <c r="G12" s="260" t="s">
        <v>117</v>
      </c>
      <c r="H12" s="260" t="s">
        <v>274</v>
      </c>
      <c r="I12" s="261">
        <v>224</v>
      </c>
    </row>
    <row r="13" spans="1:9" ht="16.8">
      <c r="A13" s="474" t="s">
        <v>154</v>
      </c>
      <c r="B13" s="257">
        <v>1</v>
      </c>
      <c r="C13" s="258" t="s">
        <v>118</v>
      </c>
      <c r="D13" s="259" t="s">
        <v>108</v>
      </c>
      <c r="E13" s="259" t="s">
        <v>109</v>
      </c>
      <c r="F13" s="260" t="s">
        <v>122</v>
      </c>
      <c r="G13" s="260" t="s">
        <v>142</v>
      </c>
      <c r="H13" s="260" t="s">
        <v>275</v>
      </c>
      <c r="I13" s="261">
        <v>163</v>
      </c>
    </row>
    <row r="14" spans="1:9" ht="16.8">
      <c r="A14" s="474" t="s">
        <v>133</v>
      </c>
      <c r="B14" s="257">
        <v>1</v>
      </c>
      <c r="C14" s="258" t="s">
        <v>124</v>
      </c>
      <c r="D14" s="259" t="s">
        <v>108</v>
      </c>
      <c r="E14" s="381" t="s">
        <v>109</v>
      </c>
      <c r="F14" s="260" t="s">
        <v>113</v>
      </c>
      <c r="G14" s="260" t="s">
        <v>134</v>
      </c>
      <c r="H14" s="260" t="s">
        <v>274</v>
      </c>
      <c r="I14" s="138">
        <v>226</v>
      </c>
    </row>
    <row r="15" spans="1:9" ht="16.8">
      <c r="A15" s="474" t="s">
        <v>352</v>
      </c>
      <c r="B15" s="257">
        <v>1</v>
      </c>
      <c r="C15" s="258" t="s">
        <v>107</v>
      </c>
      <c r="D15" s="259" t="s">
        <v>339</v>
      </c>
      <c r="E15" s="381" t="s">
        <v>109</v>
      </c>
      <c r="F15" s="260" t="s">
        <v>113</v>
      </c>
      <c r="G15" s="260" t="s">
        <v>316</v>
      </c>
      <c r="H15" s="260" t="s">
        <v>275</v>
      </c>
      <c r="I15" s="138">
        <v>166</v>
      </c>
    </row>
    <row r="16" spans="1:9" ht="16.8">
      <c r="A16" s="474" t="s">
        <v>322</v>
      </c>
      <c r="B16" s="257">
        <v>1</v>
      </c>
      <c r="C16" s="258" t="s">
        <v>116</v>
      </c>
      <c r="D16" s="539" t="s">
        <v>339</v>
      </c>
      <c r="E16" s="381" t="s">
        <v>240</v>
      </c>
      <c r="F16" s="540" t="s">
        <v>122</v>
      </c>
      <c r="G16" s="260" t="s">
        <v>130</v>
      </c>
      <c r="H16" s="260" t="s">
        <v>338</v>
      </c>
      <c r="I16" s="102">
        <v>150</v>
      </c>
    </row>
    <row r="17" spans="1:9" ht="16.8">
      <c r="A17" s="474" t="s">
        <v>348</v>
      </c>
      <c r="B17" s="257">
        <v>1</v>
      </c>
      <c r="C17" s="258" t="s">
        <v>118</v>
      </c>
      <c r="D17" s="539" t="s">
        <v>350</v>
      </c>
      <c r="E17" s="381" t="s">
        <v>109</v>
      </c>
      <c r="F17" s="540" t="s">
        <v>110</v>
      </c>
      <c r="G17" s="260" t="s">
        <v>142</v>
      </c>
      <c r="H17" s="260" t="s">
        <v>341</v>
      </c>
      <c r="I17" s="102">
        <v>101</v>
      </c>
    </row>
    <row r="18" spans="1:9" ht="16.8">
      <c r="A18" s="474" t="s">
        <v>150</v>
      </c>
      <c r="B18" s="257">
        <v>1</v>
      </c>
      <c r="C18" s="258" t="s">
        <v>107</v>
      </c>
      <c r="D18" s="259" t="s">
        <v>108</v>
      </c>
      <c r="E18" s="259" t="s">
        <v>109</v>
      </c>
      <c r="F18" s="260" t="s">
        <v>113</v>
      </c>
      <c r="G18" s="260" t="s">
        <v>111</v>
      </c>
      <c r="H18" s="260" t="s">
        <v>274</v>
      </c>
      <c r="I18" s="138">
        <v>272</v>
      </c>
    </row>
    <row r="19" spans="1:9" ht="16.8">
      <c r="A19" s="474" t="s">
        <v>135</v>
      </c>
      <c r="B19" s="257">
        <v>1</v>
      </c>
      <c r="C19" s="258" t="s">
        <v>228</v>
      </c>
      <c r="D19" s="259" t="s">
        <v>136</v>
      </c>
      <c r="E19" s="381" t="s">
        <v>109</v>
      </c>
      <c r="F19" s="260" t="s">
        <v>113</v>
      </c>
      <c r="G19" s="260" t="s">
        <v>114</v>
      </c>
      <c r="H19" s="260" t="s">
        <v>274</v>
      </c>
      <c r="I19" s="542">
        <v>251</v>
      </c>
    </row>
    <row r="20" spans="1:9" ht="16.8">
      <c r="A20" s="474" t="s">
        <v>291</v>
      </c>
      <c r="B20" s="257">
        <v>1</v>
      </c>
      <c r="C20" s="258" t="s">
        <v>124</v>
      </c>
      <c r="D20" s="259" t="s">
        <v>125</v>
      </c>
      <c r="E20" s="259" t="s">
        <v>109</v>
      </c>
      <c r="F20" s="260" t="s">
        <v>113</v>
      </c>
      <c r="G20" s="260" t="s">
        <v>114</v>
      </c>
      <c r="H20" s="260" t="s">
        <v>274</v>
      </c>
      <c r="I20" s="138">
        <v>266</v>
      </c>
    </row>
    <row r="21" spans="1:9" ht="16.8">
      <c r="A21" s="474" t="s">
        <v>290</v>
      </c>
      <c r="B21" s="257">
        <v>1</v>
      </c>
      <c r="C21" s="258" t="s">
        <v>124</v>
      </c>
      <c r="D21" s="259" t="s">
        <v>125</v>
      </c>
      <c r="E21" s="259" t="s">
        <v>109</v>
      </c>
      <c r="F21" s="260" t="s">
        <v>113</v>
      </c>
      <c r="G21" s="260" t="s">
        <v>114</v>
      </c>
      <c r="H21" s="260" t="s">
        <v>274</v>
      </c>
      <c r="I21" s="138">
        <v>266</v>
      </c>
    </row>
    <row r="22" spans="1:9" ht="16.8">
      <c r="A22" s="474" t="s">
        <v>120</v>
      </c>
      <c r="B22" s="257">
        <v>1</v>
      </c>
      <c r="C22" s="258" t="s">
        <v>112</v>
      </c>
      <c r="D22" s="259" t="s">
        <v>121</v>
      </c>
      <c r="E22" s="259" t="s">
        <v>109</v>
      </c>
      <c r="F22" s="260" t="s">
        <v>122</v>
      </c>
      <c r="G22" s="260" t="s">
        <v>119</v>
      </c>
      <c r="H22" s="260" t="s">
        <v>274</v>
      </c>
      <c r="I22" s="138">
        <v>269</v>
      </c>
    </row>
    <row r="23" spans="1:9" ht="16.8">
      <c r="A23" s="474" t="s">
        <v>323</v>
      </c>
      <c r="B23" s="257">
        <v>1</v>
      </c>
      <c r="C23" s="538" t="s">
        <v>124</v>
      </c>
      <c r="D23" s="539" t="s">
        <v>127</v>
      </c>
      <c r="E23" s="381" t="s">
        <v>109</v>
      </c>
      <c r="F23" s="540" t="s">
        <v>113</v>
      </c>
      <c r="G23" s="540" t="s">
        <v>119</v>
      </c>
      <c r="H23" s="540" t="s">
        <v>340</v>
      </c>
      <c r="I23" s="138">
        <v>104</v>
      </c>
    </row>
    <row r="24" spans="1:9" ht="16.8">
      <c r="A24" s="474" t="s">
        <v>123</v>
      </c>
      <c r="B24" s="257">
        <v>1</v>
      </c>
      <c r="C24" s="258" t="s">
        <v>124</v>
      </c>
      <c r="D24" s="259" t="s">
        <v>125</v>
      </c>
      <c r="E24" s="259" t="s">
        <v>109</v>
      </c>
      <c r="F24" s="260" t="s">
        <v>113</v>
      </c>
      <c r="G24" s="260" t="s">
        <v>117</v>
      </c>
      <c r="H24" s="260" t="s">
        <v>274</v>
      </c>
      <c r="I24" s="138">
        <v>272</v>
      </c>
    </row>
    <row r="25" spans="1:9" ht="16.8">
      <c r="A25" s="474" t="s">
        <v>239</v>
      </c>
      <c r="B25" s="257">
        <v>1</v>
      </c>
      <c r="C25" s="258" t="s">
        <v>228</v>
      </c>
      <c r="D25" s="259" t="s">
        <v>108</v>
      </c>
      <c r="E25" s="475" t="s">
        <v>240</v>
      </c>
      <c r="F25" s="260" t="s">
        <v>122</v>
      </c>
      <c r="G25" s="260" t="s">
        <v>130</v>
      </c>
      <c r="H25" s="260" t="s">
        <v>277</v>
      </c>
      <c r="I25" s="138">
        <v>176</v>
      </c>
    </row>
    <row r="26" spans="1:9" ht="16.8">
      <c r="A26" s="474" t="s">
        <v>324</v>
      </c>
      <c r="B26" s="257">
        <v>1</v>
      </c>
      <c r="C26" s="258" t="s">
        <v>228</v>
      </c>
      <c r="D26" s="259" t="s">
        <v>108</v>
      </c>
      <c r="E26" s="260" t="s">
        <v>109</v>
      </c>
      <c r="F26" s="260" t="s">
        <v>113</v>
      </c>
      <c r="G26" s="260" t="s">
        <v>316</v>
      </c>
      <c r="H26" s="260" t="s">
        <v>341</v>
      </c>
      <c r="I26" s="138">
        <v>106</v>
      </c>
    </row>
    <row r="27" spans="1:9" ht="16.8">
      <c r="A27" s="474" t="s">
        <v>325</v>
      </c>
      <c r="B27" s="257">
        <v>1</v>
      </c>
      <c r="C27" s="258" t="s">
        <v>228</v>
      </c>
      <c r="D27" s="259" t="s">
        <v>108</v>
      </c>
      <c r="E27" s="260" t="s">
        <v>109</v>
      </c>
      <c r="F27" s="260" t="s">
        <v>113</v>
      </c>
      <c r="G27" s="260" t="s">
        <v>142</v>
      </c>
      <c r="H27" s="260" t="s">
        <v>341</v>
      </c>
      <c r="I27" s="138">
        <v>107</v>
      </c>
    </row>
    <row r="28" spans="1:9" ht="16.8">
      <c r="A28" s="474" t="s">
        <v>361</v>
      </c>
      <c r="B28" s="257">
        <v>1</v>
      </c>
      <c r="C28" s="258" t="s">
        <v>228</v>
      </c>
      <c r="D28" s="259" t="s">
        <v>108</v>
      </c>
      <c r="E28" s="381" t="s">
        <v>109</v>
      </c>
      <c r="F28" s="260" t="s">
        <v>122</v>
      </c>
      <c r="G28" s="260" t="s">
        <v>359</v>
      </c>
      <c r="H28" s="260" t="s">
        <v>360</v>
      </c>
      <c r="I28" s="138">
        <v>72</v>
      </c>
    </row>
    <row r="29" spans="1:9" ht="16.8">
      <c r="A29" s="474" t="s">
        <v>143</v>
      </c>
      <c r="B29" s="257">
        <v>1</v>
      </c>
      <c r="C29" s="258" t="s">
        <v>107</v>
      </c>
      <c r="D29" s="259" t="s">
        <v>108</v>
      </c>
      <c r="E29" s="475" t="s">
        <v>109</v>
      </c>
      <c r="F29" s="260" t="s">
        <v>235</v>
      </c>
      <c r="G29" s="260" t="s">
        <v>142</v>
      </c>
      <c r="H29" s="260" t="s">
        <v>276</v>
      </c>
      <c r="I29" s="138">
        <v>128</v>
      </c>
    </row>
    <row r="30" spans="1:9" ht="16.8">
      <c r="A30" s="474" t="s">
        <v>320</v>
      </c>
      <c r="B30" s="257">
        <v>1</v>
      </c>
      <c r="C30" s="258" t="s">
        <v>228</v>
      </c>
      <c r="D30" s="259" t="s">
        <v>108</v>
      </c>
      <c r="E30" s="381" t="s">
        <v>109</v>
      </c>
      <c r="F30" s="260" t="s">
        <v>113</v>
      </c>
      <c r="G30" s="260" t="s">
        <v>316</v>
      </c>
      <c r="H30" s="260" t="s">
        <v>275</v>
      </c>
      <c r="I30" s="138">
        <v>184</v>
      </c>
    </row>
    <row r="31" spans="1:9" ht="16.8">
      <c r="A31" s="267" t="s">
        <v>126</v>
      </c>
      <c r="B31" s="262">
        <v>1</v>
      </c>
      <c r="C31" s="263" t="s">
        <v>228</v>
      </c>
      <c r="D31" s="264" t="s">
        <v>127</v>
      </c>
      <c r="E31" s="264" t="s">
        <v>109</v>
      </c>
      <c r="F31" s="265" t="s">
        <v>113</v>
      </c>
      <c r="G31" s="265" t="s">
        <v>117</v>
      </c>
      <c r="H31" s="265" t="s">
        <v>274</v>
      </c>
      <c r="I31" s="266">
        <v>298</v>
      </c>
    </row>
    <row r="32" spans="1:9" ht="16.8">
      <c r="A32" s="474" t="s">
        <v>148</v>
      </c>
      <c r="B32" s="257">
        <v>2</v>
      </c>
      <c r="C32" s="258" t="s">
        <v>124</v>
      </c>
      <c r="D32" s="259" t="s">
        <v>127</v>
      </c>
      <c r="E32" s="475" t="s">
        <v>149</v>
      </c>
      <c r="F32" s="260" t="s">
        <v>113</v>
      </c>
      <c r="G32" s="260" t="s">
        <v>119</v>
      </c>
      <c r="H32" s="260" t="s">
        <v>276</v>
      </c>
      <c r="I32" s="138">
        <v>116</v>
      </c>
    </row>
    <row r="33" spans="1:9" ht="16.8">
      <c r="A33" s="474" t="s">
        <v>326</v>
      </c>
      <c r="B33" s="257">
        <v>2</v>
      </c>
      <c r="C33" s="258" t="s">
        <v>228</v>
      </c>
      <c r="D33" s="539" t="s">
        <v>129</v>
      </c>
      <c r="E33" s="544" t="s">
        <v>109</v>
      </c>
      <c r="F33" s="540" t="s">
        <v>113</v>
      </c>
      <c r="G33" s="540" t="s">
        <v>142</v>
      </c>
      <c r="H33" s="540" t="s">
        <v>342</v>
      </c>
      <c r="I33" s="102">
        <v>48</v>
      </c>
    </row>
    <row r="34" spans="1:9" ht="16.8">
      <c r="A34" s="474" t="s">
        <v>327</v>
      </c>
      <c r="B34" s="257">
        <v>2</v>
      </c>
      <c r="C34" s="258" t="s">
        <v>116</v>
      </c>
      <c r="D34" s="259" t="s">
        <v>108</v>
      </c>
      <c r="E34" s="381" t="s">
        <v>109</v>
      </c>
      <c r="F34" s="260" t="s">
        <v>343</v>
      </c>
      <c r="G34" s="260" t="s">
        <v>18</v>
      </c>
      <c r="H34" s="260" t="s">
        <v>344</v>
      </c>
      <c r="I34" s="138">
        <v>81</v>
      </c>
    </row>
    <row r="35" spans="1:9" ht="16.8">
      <c r="A35" s="474" t="s">
        <v>241</v>
      </c>
      <c r="B35" s="257">
        <v>2</v>
      </c>
      <c r="C35" s="258" t="s">
        <v>228</v>
      </c>
      <c r="D35" s="259" t="s">
        <v>125</v>
      </c>
      <c r="E35" s="381" t="s">
        <v>109</v>
      </c>
      <c r="F35" s="260" t="s">
        <v>113</v>
      </c>
      <c r="G35" s="260" t="s">
        <v>114</v>
      </c>
      <c r="H35" s="260" t="s">
        <v>274</v>
      </c>
      <c r="I35" s="138">
        <v>207</v>
      </c>
    </row>
    <row r="36" spans="1:9" ht="16.8">
      <c r="A36" s="474" t="s">
        <v>328</v>
      </c>
      <c r="B36" s="257">
        <v>2</v>
      </c>
      <c r="C36" s="258" t="s">
        <v>107</v>
      </c>
      <c r="D36" s="259" t="s">
        <v>108</v>
      </c>
      <c r="E36" s="260" t="s">
        <v>109</v>
      </c>
      <c r="F36" s="260" t="s">
        <v>113</v>
      </c>
      <c r="G36" s="260" t="s">
        <v>114</v>
      </c>
      <c r="H36" s="260" t="s">
        <v>341</v>
      </c>
      <c r="I36" s="138">
        <v>93</v>
      </c>
    </row>
    <row r="37" spans="1:9" ht="16.8">
      <c r="A37" s="474" t="s">
        <v>329</v>
      </c>
      <c r="B37" s="257">
        <v>2</v>
      </c>
      <c r="C37" s="545" t="s">
        <v>124</v>
      </c>
      <c r="D37" s="546" t="s">
        <v>108</v>
      </c>
      <c r="E37" s="547" t="s">
        <v>109</v>
      </c>
      <c r="F37" s="547" t="s">
        <v>343</v>
      </c>
      <c r="G37" s="547" t="s">
        <v>119</v>
      </c>
      <c r="H37" s="547" t="s">
        <v>277</v>
      </c>
      <c r="I37" s="548">
        <v>47</v>
      </c>
    </row>
    <row r="38" spans="1:9" ht="16.8">
      <c r="A38" s="474" t="s">
        <v>139</v>
      </c>
      <c r="B38" s="257">
        <v>2</v>
      </c>
      <c r="C38" s="258" t="s">
        <v>107</v>
      </c>
      <c r="D38" s="259" t="s">
        <v>108</v>
      </c>
      <c r="E38" s="475" t="s">
        <v>109</v>
      </c>
      <c r="F38" s="260" t="s">
        <v>122</v>
      </c>
      <c r="G38" s="260" t="s">
        <v>119</v>
      </c>
      <c r="H38" s="260" t="s">
        <v>276</v>
      </c>
      <c r="I38" s="138">
        <v>118</v>
      </c>
    </row>
    <row r="39" spans="1:9" ht="16.8">
      <c r="A39" s="474" t="s">
        <v>330</v>
      </c>
      <c r="B39" s="257">
        <v>2</v>
      </c>
      <c r="C39" s="258" t="s">
        <v>228</v>
      </c>
      <c r="D39" s="259" t="s">
        <v>108</v>
      </c>
      <c r="E39" s="381" t="s">
        <v>109</v>
      </c>
      <c r="F39" s="260" t="s">
        <v>113</v>
      </c>
      <c r="G39" s="547" t="s">
        <v>142</v>
      </c>
      <c r="H39" s="547" t="s">
        <v>344</v>
      </c>
      <c r="I39" s="138">
        <v>84</v>
      </c>
    </row>
    <row r="40" spans="1:9" ht="16.8">
      <c r="A40" s="474" t="s">
        <v>299</v>
      </c>
      <c r="B40" s="257">
        <v>2</v>
      </c>
      <c r="C40" s="258" t="s">
        <v>107</v>
      </c>
      <c r="D40" s="259" t="s">
        <v>127</v>
      </c>
      <c r="E40" s="381" t="s">
        <v>109</v>
      </c>
      <c r="F40" s="260" t="s">
        <v>113</v>
      </c>
      <c r="G40" s="260" t="s">
        <v>316</v>
      </c>
      <c r="H40" s="260" t="s">
        <v>274</v>
      </c>
      <c r="I40" s="138">
        <v>217</v>
      </c>
    </row>
    <row r="41" spans="1:9" ht="16.8">
      <c r="A41" s="474" t="s">
        <v>331</v>
      </c>
      <c r="B41" s="257">
        <v>2</v>
      </c>
      <c r="C41" s="258" t="s">
        <v>116</v>
      </c>
      <c r="D41" s="259" t="s">
        <v>127</v>
      </c>
      <c r="E41" s="381" t="s">
        <v>109</v>
      </c>
      <c r="F41" s="260" t="s">
        <v>122</v>
      </c>
      <c r="G41" s="260" t="s">
        <v>316</v>
      </c>
      <c r="H41" s="547" t="s">
        <v>338</v>
      </c>
      <c r="I41" s="138">
        <v>146</v>
      </c>
    </row>
    <row r="42" spans="1:9" ht="16.8">
      <c r="A42" s="474" t="s">
        <v>140</v>
      </c>
      <c r="B42" s="257">
        <v>2</v>
      </c>
      <c r="C42" s="258" t="s">
        <v>228</v>
      </c>
      <c r="D42" s="259" t="s">
        <v>108</v>
      </c>
      <c r="E42" s="475" t="s">
        <v>109</v>
      </c>
      <c r="F42" s="260" t="s">
        <v>122</v>
      </c>
      <c r="G42" s="260" t="s">
        <v>119</v>
      </c>
      <c r="H42" s="260" t="s">
        <v>276</v>
      </c>
      <c r="I42" s="138">
        <v>119</v>
      </c>
    </row>
    <row r="43" spans="1:9" ht="16.8">
      <c r="A43" s="474" t="s">
        <v>300</v>
      </c>
      <c r="B43" s="257">
        <v>2</v>
      </c>
      <c r="C43" s="258" t="s">
        <v>228</v>
      </c>
      <c r="D43" s="259" t="s">
        <v>125</v>
      </c>
      <c r="E43" s="381" t="s">
        <v>109</v>
      </c>
      <c r="F43" s="260" t="s">
        <v>113</v>
      </c>
      <c r="G43" s="260" t="s">
        <v>114</v>
      </c>
      <c r="H43" s="260" t="s">
        <v>274</v>
      </c>
      <c r="I43" s="138">
        <v>225</v>
      </c>
    </row>
    <row r="44" spans="1:9" ht="16.8">
      <c r="A44" s="474" t="s">
        <v>332</v>
      </c>
      <c r="B44" s="257">
        <v>2</v>
      </c>
      <c r="C44" s="258" t="s">
        <v>107</v>
      </c>
      <c r="D44" s="259" t="s">
        <v>121</v>
      </c>
      <c r="E44" s="260" t="s">
        <v>149</v>
      </c>
      <c r="F44" s="260" t="s">
        <v>235</v>
      </c>
      <c r="G44" s="260" t="s">
        <v>111</v>
      </c>
      <c r="H44" s="260" t="s">
        <v>341</v>
      </c>
      <c r="I44" s="138">
        <v>99</v>
      </c>
    </row>
    <row r="45" spans="1:9" ht="16.8">
      <c r="A45" s="474" t="s">
        <v>141</v>
      </c>
      <c r="B45" s="257">
        <v>2</v>
      </c>
      <c r="C45" s="258" t="s">
        <v>228</v>
      </c>
      <c r="D45" s="259" t="s">
        <v>108</v>
      </c>
      <c r="E45" s="475" t="s">
        <v>109</v>
      </c>
      <c r="F45" s="260" t="s">
        <v>122</v>
      </c>
      <c r="G45" s="260" t="s">
        <v>142</v>
      </c>
      <c r="H45" s="260" t="s">
        <v>276</v>
      </c>
      <c r="I45" s="138">
        <v>125</v>
      </c>
    </row>
    <row r="46" spans="1:9" ht="16.8">
      <c r="A46" s="474" t="s">
        <v>333</v>
      </c>
      <c r="B46" s="257">
        <v>2</v>
      </c>
      <c r="C46" s="258" t="s">
        <v>124</v>
      </c>
      <c r="D46" s="259" t="s">
        <v>108</v>
      </c>
      <c r="E46" s="260" t="s">
        <v>109</v>
      </c>
      <c r="F46" s="260" t="s">
        <v>113</v>
      </c>
      <c r="G46" s="260" t="s">
        <v>111</v>
      </c>
      <c r="H46" s="260" t="s">
        <v>341</v>
      </c>
      <c r="I46" s="138">
        <v>103</v>
      </c>
    </row>
    <row r="47" spans="1:9" ht="16.8">
      <c r="A47" s="474" t="s">
        <v>301</v>
      </c>
      <c r="B47" s="257">
        <v>2</v>
      </c>
      <c r="C47" s="258" t="s">
        <v>228</v>
      </c>
      <c r="D47" s="259" t="s">
        <v>125</v>
      </c>
      <c r="E47" s="381" t="s">
        <v>109</v>
      </c>
      <c r="F47" s="260" t="s">
        <v>113</v>
      </c>
      <c r="G47" s="260" t="s">
        <v>114</v>
      </c>
      <c r="H47" s="260" t="s">
        <v>274</v>
      </c>
      <c r="I47" s="138">
        <v>259</v>
      </c>
    </row>
    <row r="48" spans="1:9" ht="16.8">
      <c r="A48" s="474" t="s">
        <v>302</v>
      </c>
      <c r="B48" s="257">
        <v>2</v>
      </c>
      <c r="C48" s="258" t="s">
        <v>107</v>
      </c>
      <c r="D48" s="259" t="s">
        <v>108</v>
      </c>
      <c r="E48" s="381" t="s">
        <v>109</v>
      </c>
      <c r="F48" s="260" t="s">
        <v>110</v>
      </c>
      <c r="G48" s="260" t="s">
        <v>111</v>
      </c>
      <c r="H48" s="260" t="s">
        <v>274</v>
      </c>
      <c r="I48" s="138">
        <v>271</v>
      </c>
    </row>
    <row r="49" spans="1:9" ht="16.8">
      <c r="A49" s="474" t="s">
        <v>303</v>
      </c>
      <c r="B49" s="257">
        <v>2</v>
      </c>
      <c r="C49" s="258" t="s">
        <v>124</v>
      </c>
      <c r="D49" s="259" t="s">
        <v>127</v>
      </c>
      <c r="E49" s="381" t="s">
        <v>109</v>
      </c>
      <c r="F49" s="260" t="s">
        <v>113</v>
      </c>
      <c r="G49" s="260" t="s">
        <v>119</v>
      </c>
      <c r="H49" s="260" t="s">
        <v>274</v>
      </c>
      <c r="I49" s="138">
        <v>272</v>
      </c>
    </row>
    <row r="50" spans="1:9" ht="16.8">
      <c r="A50" s="474" t="s">
        <v>353</v>
      </c>
      <c r="B50" s="257">
        <v>2</v>
      </c>
      <c r="C50" s="258" t="s">
        <v>124</v>
      </c>
      <c r="D50" s="259" t="s">
        <v>354</v>
      </c>
      <c r="E50" s="381" t="s">
        <v>109</v>
      </c>
      <c r="F50" s="260" t="s">
        <v>113</v>
      </c>
      <c r="G50" s="260" t="s">
        <v>114</v>
      </c>
      <c r="H50" s="260" t="s">
        <v>355</v>
      </c>
      <c r="I50" s="138">
        <v>115</v>
      </c>
    </row>
    <row r="51" spans="1:9" ht="16.8">
      <c r="A51" s="474" t="s">
        <v>304</v>
      </c>
      <c r="B51" s="257">
        <v>2</v>
      </c>
      <c r="C51" s="258" t="s">
        <v>124</v>
      </c>
      <c r="D51" s="259" t="s">
        <v>121</v>
      </c>
      <c r="E51" s="381" t="s">
        <v>109</v>
      </c>
      <c r="F51" s="260" t="s">
        <v>110</v>
      </c>
      <c r="G51" s="260" t="s">
        <v>316</v>
      </c>
      <c r="H51" s="260" t="s">
        <v>274</v>
      </c>
      <c r="I51" s="138">
        <v>278</v>
      </c>
    </row>
    <row r="52" spans="1:9" ht="16.8">
      <c r="A52" s="474" t="s">
        <v>358</v>
      </c>
      <c r="B52" s="257">
        <v>2</v>
      </c>
      <c r="C52" s="258" t="s">
        <v>228</v>
      </c>
      <c r="D52" s="259" t="s">
        <v>108</v>
      </c>
      <c r="E52" s="381" t="s">
        <v>109</v>
      </c>
      <c r="F52" s="260" t="s">
        <v>122</v>
      </c>
      <c r="G52" s="260" t="s">
        <v>359</v>
      </c>
      <c r="H52" s="260" t="s">
        <v>360</v>
      </c>
      <c r="I52" s="138">
        <v>73</v>
      </c>
    </row>
    <row r="53" spans="1:9" ht="16.8">
      <c r="A53" s="474" t="s">
        <v>144</v>
      </c>
      <c r="B53" s="257">
        <v>2</v>
      </c>
      <c r="C53" s="258" t="s">
        <v>107</v>
      </c>
      <c r="D53" s="259" t="s">
        <v>108</v>
      </c>
      <c r="E53" s="475" t="s">
        <v>109</v>
      </c>
      <c r="F53" s="260" t="s">
        <v>122</v>
      </c>
      <c r="G53" s="260" t="s">
        <v>117</v>
      </c>
      <c r="H53" s="260" t="s">
        <v>276</v>
      </c>
      <c r="I53" s="138">
        <v>129</v>
      </c>
    </row>
    <row r="54" spans="1:9" ht="16.8">
      <c r="A54" s="474" t="s">
        <v>145</v>
      </c>
      <c r="B54" s="257">
        <v>2</v>
      </c>
      <c r="C54" s="258" t="s">
        <v>229</v>
      </c>
      <c r="D54" s="259" t="s">
        <v>127</v>
      </c>
      <c r="E54" s="475" t="s">
        <v>109</v>
      </c>
      <c r="F54" s="260" t="s">
        <v>122</v>
      </c>
      <c r="G54" s="260" t="s">
        <v>146</v>
      </c>
      <c r="H54" s="260" t="s">
        <v>276</v>
      </c>
      <c r="I54" s="138">
        <v>129</v>
      </c>
    </row>
    <row r="55" spans="1:9" ht="16.8">
      <c r="A55" s="474" t="s">
        <v>305</v>
      </c>
      <c r="B55" s="257">
        <v>2</v>
      </c>
      <c r="C55" s="258" t="s">
        <v>124</v>
      </c>
      <c r="D55" s="259" t="s">
        <v>108</v>
      </c>
      <c r="E55" s="381" t="s">
        <v>109</v>
      </c>
      <c r="F55" s="260" t="s">
        <v>110</v>
      </c>
      <c r="G55" s="260" t="s">
        <v>134</v>
      </c>
      <c r="H55" s="260" t="s">
        <v>274</v>
      </c>
      <c r="I55" s="138">
        <v>297</v>
      </c>
    </row>
    <row r="56" spans="1:9" ht="16.8">
      <c r="A56" s="474" t="s">
        <v>347</v>
      </c>
      <c r="B56" s="257">
        <v>2</v>
      </c>
      <c r="C56" s="258" t="s">
        <v>124</v>
      </c>
      <c r="D56" s="259" t="s">
        <v>108</v>
      </c>
      <c r="E56" s="381" t="s">
        <v>109</v>
      </c>
      <c r="F56" s="260" t="s">
        <v>122</v>
      </c>
      <c r="G56" s="260" t="s">
        <v>142</v>
      </c>
      <c r="H56" s="260" t="s">
        <v>344</v>
      </c>
      <c r="I56" s="138">
        <v>92</v>
      </c>
    </row>
    <row r="57" spans="1:9" ht="16.8">
      <c r="A57" s="267" t="s">
        <v>306</v>
      </c>
      <c r="B57" s="262">
        <v>2</v>
      </c>
      <c r="C57" s="263" t="s">
        <v>229</v>
      </c>
      <c r="D57" s="264" t="s">
        <v>127</v>
      </c>
      <c r="E57" s="265" t="s">
        <v>109</v>
      </c>
      <c r="F57" s="265" t="s">
        <v>110</v>
      </c>
      <c r="G57" s="265" t="s">
        <v>114</v>
      </c>
      <c r="H57" s="265" t="s">
        <v>274</v>
      </c>
      <c r="I57" s="543">
        <v>303</v>
      </c>
    </row>
    <row r="58" spans="1:9" ht="16.8">
      <c r="A58" s="474" t="s">
        <v>334</v>
      </c>
      <c r="B58" s="257">
        <v>3</v>
      </c>
      <c r="C58" s="258" t="s">
        <v>116</v>
      </c>
      <c r="D58" s="259" t="s">
        <v>108</v>
      </c>
      <c r="E58" s="381" t="s">
        <v>109</v>
      </c>
      <c r="F58" s="260" t="s">
        <v>122</v>
      </c>
      <c r="G58" s="260" t="s">
        <v>114</v>
      </c>
      <c r="H58" s="260" t="s">
        <v>341</v>
      </c>
      <c r="I58" s="138">
        <v>92</v>
      </c>
    </row>
    <row r="59" spans="1:9" ht="16.8">
      <c r="A59" s="474" t="s">
        <v>308</v>
      </c>
      <c r="B59" s="257">
        <v>3</v>
      </c>
      <c r="C59" s="258" t="s">
        <v>112</v>
      </c>
      <c r="D59" s="259" t="s">
        <v>108</v>
      </c>
      <c r="E59" s="381" t="s">
        <v>109</v>
      </c>
      <c r="F59" s="260" t="s">
        <v>113</v>
      </c>
      <c r="G59" s="260" t="s">
        <v>111</v>
      </c>
      <c r="H59" s="260" t="s">
        <v>274</v>
      </c>
      <c r="I59" s="138">
        <v>216</v>
      </c>
    </row>
    <row r="60" spans="1:9" ht="16.8">
      <c r="A60" s="474" t="s">
        <v>309</v>
      </c>
      <c r="B60" s="257">
        <v>3</v>
      </c>
      <c r="C60" s="258" t="s">
        <v>118</v>
      </c>
      <c r="D60" s="259" t="s">
        <v>108</v>
      </c>
      <c r="E60" s="381" t="s">
        <v>109</v>
      </c>
      <c r="F60" s="260" t="s">
        <v>113</v>
      </c>
      <c r="G60" s="260" t="s">
        <v>119</v>
      </c>
      <c r="H60" s="260" t="s">
        <v>274</v>
      </c>
      <c r="I60" s="138">
        <v>216</v>
      </c>
    </row>
    <row r="61" spans="1:9" ht="16.8">
      <c r="A61" s="474" t="s">
        <v>335</v>
      </c>
      <c r="B61" s="257">
        <v>3</v>
      </c>
      <c r="C61" s="258" t="s">
        <v>228</v>
      </c>
      <c r="D61" s="259" t="s">
        <v>127</v>
      </c>
      <c r="E61" s="381" t="s">
        <v>109</v>
      </c>
      <c r="F61" s="260" t="s">
        <v>113</v>
      </c>
      <c r="G61" s="260" t="s">
        <v>142</v>
      </c>
      <c r="H61" s="260" t="s">
        <v>276</v>
      </c>
      <c r="I61" s="138">
        <v>119</v>
      </c>
    </row>
    <row r="62" spans="1:9" ht="16.8">
      <c r="A62" s="474" t="s">
        <v>310</v>
      </c>
      <c r="B62" s="257">
        <v>3</v>
      </c>
      <c r="C62" s="258" t="s">
        <v>116</v>
      </c>
      <c r="D62" s="259" t="s">
        <v>127</v>
      </c>
      <c r="E62" s="381" t="s">
        <v>109</v>
      </c>
      <c r="F62" s="260" t="s">
        <v>110</v>
      </c>
      <c r="G62" s="260" t="s">
        <v>142</v>
      </c>
      <c r="H62" s="260" t="s">
        <v>274</v>
      </c>
      <c r="I62" s="138">
        <v>221</v>
      </c>
    </row>
    <row r="63" spans="1:9" ht="16.8">
      <c r="A63" s="474" t="s">
        <v>311</v>
      </c>
      <c r="B63" s="257">
        <v>3</v>
      </c>
      <c r="C63" s="258" t="s">
        <v>124</v>
      </c>
      <c r="D63" s="259" t="s">
        <v>108</v>
      </c>
      <c r="E63" s="381" t="s">
        <v>109</v>
      </c>
      <c r="F63" s="260" t="s">
        <v>317</v>
      </c>
      <c r="G63" s="260" t="s">
        <v>111</v>
      </c>
      <c r="H63" s="260" t="s">
        <v>274</v>
      </c>
      <c r="I63" s="138">
        <v>223</v>
      </c>
    </row>
    <row r="64" spans="1:9" ht="16.8">
      <c r="A64" s="474" t="s">
        <v>356</v>
      </c>
      <c r="B64" s="257">
        <v>3</v>
      </c>
      <c r="C64" s="258" t="s">
        <v>228</v>
      </c>
      <c r="D64" s="539" t="s">
        <v>129</v>
      </c>
      <c r="E64" s="381" t="s">
        <v>109</v>
      </c>
      <c r="F64" s="260" t="s">
        <v>113</v>
      </c>
      <c r="G64" s="260" t="s">
        <v>142</v>
      </c>
      <c r="H64" s="260" t="s">
        <v>355</v>
      </c>
      <c r="I64" s="138">
        <v>113</v>
      </c>
    </row>
    <row r="65" spans="1:9" ht="16.8">
      <c r="A65" s="474" t="s">
        <v>357</v>
      </c>
      <c r="B65" s="257">
        <v>3</v>
      </c>
      <c r="C65" s="258" t="s">
        <v>116</v>
      </c>
      <c r="D65" s="259" t="s">
        <v>354</v>
      </c>
      <c r="E65" s="381" t="s">
        <v>109</v>
      </c>
      <c r="F65" s="260" t="s">
        <v>122</v>
      </c>
      <c r="G65" s="260" t="s">
        <v>142</v>
      </c>
      <c r="H65" s="260" t="s">
        <v>355</v>
      </c>
      <c r="I65" s="138">
        <v>113</v>
      </c>
    </row>
    <row r="66" spans="1:9" ht="16.8">
      <c r="A66" s="474" t="s">
        <v>312</v>
      </c>
      <c r="B66" s="257">
        <v>3</v>
      </c>
      <c r="C66" s="258" t="s">
        <v>107</v>
      </c>
      <c r="D66" s="259" t="s">
        <v>108</v>
      </c>
      <c r="E66" s="381" t="s">
        <v>109</v>
      </c>
      <c r="F66" s="260" t="s">
        <v>113</v>
      </c>
      <c r="G66" s="260" t="s">
        <v>111</v>
      </c>
      <c r="H66" s="260" t="s">
        <v>274</v>
      </c>
      <c r="I66" s="138">
        <v>239</v>
      </c>
    </row>
    <row r="67" spans="1:9" ht="16.8">
      <c r="A67" s="474" t="s">
        <v>336</v>
      </c>
      <c r="B67" s="257">
        <v>3</v>
      </c>
      <c r="C67" s="258" t="s">
        <v>118</v>
      </c>
      <c r="D67" s="259" t="s">
        <v>345</v>
      </c>
      <c r="E67" s="381" t="s">
        <v>109</v>
      </c>
      <c r="F67" s="260" t="s">
        <v>206</v>
      </c>
      <c r="G67" s="260" t="s">
        <v>111</v>
      </c>
      <c r="H67" s="260" t="s">
        <v>346</v>
      </c>
      <c r="I67" s="138">
        <v>212</v>
      </c>
    </row>
    <row r="68" spans="1:9" ht="16.8">
      <c r="A68" s="474" t="s">
        <v>307</v>
      </c>
      <c r="B68" s="257">
        <v>3</v>
      </c>
      <c r="C68" s="258" t="s">
        <v>124</v>
      </c>
      <c r="D68" s="259" t="s">
        <v>318</v>
      </c>
      <c r="E68" s="381" t="s">
        <v>109</v>
      </c>
      <c r="F68" s="260" t="s">
        <v>319</v>
      </c>
      <c r="G68" s="260" t="s">
        <v>119</v>
      </c>
      <c r="H68" s="260" t="s">
        <v>274</v>
      </c>
      <c r="I68" s="138">
        <v>250</v>
      </c>
    </row>
    <row r="69" spans="1:9" ht="16.8">
      <c r="A69" s="474" t="s">
        <v>292</v>
      </c>
      <c r="B69" s="257">
        <v>3</v>
      </c>
      <c r="C69" s="258" t="s">
        <v>124</v>
      </c>
      <c r="D69" s="259" t="s">
        <v>318</v>
      </c>
      <c r="E69" s="381" t="s">
        <v>109</v>
      </c>
      <c r="F69" s="260" t="s">
        <v>319</v>
      </c>
      <c r="G69" s="260" t="s">
        <v>119</v>
      </c>
      <c r="H69" s="260" t="s">
        <v>274</v>
      </c>
      <c r="I69" s="138">
        <v>250</v>
      </c>
    </row>
    <row r="70" spans="1:9" ht="16.8">
      <c r="A70" s="474" t="s">
        <v>313</v>
      </c>
      <c r="B70" s="257">
        <v>3</v>
      </c>
      <c r="C70" s="538" t="s">
        <v>228</v>
      </c>
      <c r="D70" s="539" t="s">
        <v>136</v>
      </c>
      <c r="E70" s="540" t="s">
        <v>109</v>
      </c>
      <c r="F70" s="540" t="s">
        <v>110</v>
      </c>
      <c r="G70" s="540" t="s">
        <v>316</v>
      </c>
      <c r="H70" s="260" t="s">
        <v>274</v>
      </c>
      <c r="I70" s="541">
        <v>251</v>
      </c>
    </row>
    <row r="71" spans="1:9" ht="16.8">
      <c r="A71" s="474" t="s">
        <v>349</v>
      </c>
      <c r="B71" s="257">
        <v>3</v>
      </c>
      <c r="C71" s="538" t="s">
        <v>116</v>
      </c>
      <c r="D71" s="539" t="s">
        <v>127</v>
      </c>
      <c r="E71" s="540" t="s">
        <v>109</v>
      </c>
      <c r="F71" s="540" t="s">
        <v>110</v>
      </c>
      <c r="G71" s="540" t="s">
        <v>142</v>
      </c>
      <c r="H71" s="260" t="s">
        <v>341</v>
      </c>
      <c r="I71" s="541">
        <v>102</v>
      </c>
    </row>
    <row r="72" spans="1:9" ht="16.8">
      <c r="A72" s="474" t="s">
        <v>314</v>
      </c>
      <c r="B72" s="257">
        <v>3</v>
      </c>
      <c r="C72" s="258" t="s">
        <v>107</v>
      </c>
      <c r="D72" s="259" t="s">
        <v>127</v>
      </c>
      <c r="E72" s="381" t="s">
        <v>109</v>
      </c>
      <c r="F72" s="260" t="s">
        <v>206</v>
      </c>
      <c r="G72" s="260" t="s">
        <v>142</v>
      </c>
      <c r="H72" s="260" t="s">
        <v>274</v>
      </c>
      <c r="I72" s="261">
        <v>263</v>
      </c>
    </row>
    <row r="73" spans="1:9" ht="16.8">
      <c r="A73" s="474" t="s">
        <v>315</v>
      </c>
      <c r="B73" s="257">
        <v>3</v>
      </c>
      <c r="C73" s="258" t="s">
        <v>107</v>
      </c>
      <c r="D73" s="259" t="s">
        <v>108</v>
      </c>
      <c r="E73" s="381" t="s">
        <v>109</v>
      </c>
      <c r="F73" s="260" t="s">
        <v>113</v>
      </c>
      <c r="G73" s="260" t="s">
        <v>111</v>
      </c>
      <c r="H73" s="260" t="s">
        <v>274</v>
      </c>
      <c r="I73" s="138">
        <v>270</v>
      </c>
    </row>
    <row r="74" spans="1:9" ht="16.8">
      <c r="A74" s="474" t="s">
        <v>293</v>
      </c>
      <c r="B74" s="257">
        <v>3</v>
      </c>
      <c r="C74" s="258" t="s">
        <v>124</v>
      </c>
      <c r="D74" s="259" t="s">
        <v>108</v>
      </c>
      <c r="E74" s="381" t="s">
        <v>109</v>
      </c>
      <c r="F74" s="260" t="s">
        <v>113</v>
      </c>
      <c r="G74" s="260" t="s">
        <v>111</v>
      </c>
      <c r="H74" s="260" t="s">
        <v>274</v>
      </c>
      <c r="I74" s="138">
        <v>270</v>
      </c>
    </row>
    <row r="75" spans="1:9" ht="16.8">
      <c r="A75" s="474" t="s">
        <v>364</v>
      </c>
      <c r="B75" s="257">
        <v>3</v>
      </c>
      <c r="C75" s="258" t="s">
        <v>124</v>
      </c>
      <c r="D75" s="259" t="s">
        <v>127</v>
      </c>
      <c r="E75" s="381" t="s">
        <v>109</v>
      </c>
      <c r="F75" s="540" t="s">
        <v>113</v>
      </c>
      <c r="G75" s="260" t="s">
        <v>119</v>
      </c>
      <c r="H75" s="260" t="s">
        <v>365</v>
      </c>
      <c r="I75" s="138">
        <v>132</v>
      </c>
    </row>
    <row r="76" spans="1:9" ht="16.8">
      <c r="A76" s="474" t="s">
        <v>271</v>
      </c>
      <c r="B76" s="257">
        <v>3</v>
      </c>
      <c r="C76" s="258" t="s">
        <v>228</v>
      </c>
      <c r="D76" s="259" t="s">
        <v>127</v>
      </c>
      <c r="E76" s="475" t="s">
        <v>109</v>
      </c>
      <c r="F76" s="260" t="s">
        <v>122</v>
      </c>
      <c r="G76" s="260" t="s">
        <v>114</v>
      </c>
      <c r="H76" s="260" t="s">
        <v>277</v>
      </c>
      <c r="I76" s="138">
        <v>177</v>
      </c>
    </row>
    <row r="77" spans="1:9" ht="16.8">
      <c r="A77" s="474" t="s">
        <v>337</v>
      </c>
      <c r="B77" s="257">
        <v>3</v>
      </c>
      <c r="C77" s="258" t="s">
        <v>107</v>
      </c>
      <c r="D77" s="259" t="s">
        <v>108</v>
      </c>
      <c r="E77" s="260" t="s">
        <v>109</v>
      </c>
      <c r="F77" s="260" t="s">
        <v>122</v>
      </c>
      <c r="G77" s="260" t="s">
        <v>119</v>
      </c>
      <c r="H77" s="260" t="s">
        <v>341</v>
      </c>
      <c r="I77" s="138">
        <v>107</v>
      </c>
    </row>
    <row r="78" spans="1:9" ht="17.399999999999999" thickBot="1">
      <c r="A78" s="476" t="s">
        <v>147</v>
      </c>
      <c r="B78" s="469">
        <v>3</v>
      </c>
      <c r="C78" s="470" t="s">
        <v>228</v>
      </c>
      <c r="D78" s="471" t="s">
        <v>108</v>
      </c>
      <c r="E78" s="477" t="s">
        <v>109</v>
      </c>
      <c r="F78" s="472" t="s">
        <v>113</v>
      </c>
      <c r="G78" s="472" t="s">
        <v>114</v>
      </c>
      <c r="H78" s="472" t="s">
        <v>276</v>
      </c>
      <c r="I78" s="473">
        <v>129</v>
      </c>
    </row>
    <row r="79" spans="1:9" ht="16.2" thickTop="1"/>
  </sheetData>
  <sortState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showGridLines="0" workbookViewId="0"/>
  </sheetViews>
  <sheetFormatPr defaultColWidth="13" defaultRowHeight="15.6"/>
  <cols>
    <col min="1" max="1" width="19.5" style="87" bestFit="1" customWidth="1"/>
    <col min="2" max="2" width="6.19921875" style="87" bestFit="1" customWidth="1"/>
    <col min="3" max="3" width="4.09765625" style="87" bestFit="1" customWidth="1"/>
    <col min="4" max="4" width="6.296875" style="86" bestFit="1" customWidth="1"/>
    <col min="5" max="5" width="1.8984375" style="86" customWidth="1"/>
    <col min="6" max="6" width="18.59765625" style="86" bestFit="1" customWidth="1"/>
    <col min="7" max="7" width="3.5" style="86" bestFit="1" customWidth="1"/>
    <col min="8" max="8" width="3.8984375" style="86" bestFit="1" customWidth="1"/>
    <col min="9" max="9" width="3.59765625" style="86" bestFit="1" customWidth="1"/>
    <col min="10" max="10" width="3.5" style="86" bestFit="1" customWidth="1"/>
    <col min="11" max="16384" width="13" style="76"/>
  </cols>
  <sheetData>
    <row r="1" spans="1:10" ht="24" thickTop="1" thickBot="1">
      <c r="A1" s="73" t="s">
        <v>97</v>
      </c>
      <c r="B1" s="74"/>
      <c r="C1" s="74"/>
      <c r="D1" s="75"/>
      <c r="E1" s="76"/>
      <c r="F1" s="82"/>
      <c r="G1" s="352" t="s">
        <v>222</v>
      </c>
      <c r="H1" s="353"/>
      <c r="I1" s="353"/>
      <c r="J1" s="354"/>
    </row>
    <row r="2" spans="1:10" ht="18" thickTop="1" thickBot="1">
      <c r="A2" s="77" t="s">
        <v>77</v>
      </c>
      <c r="B2" s="78" t="s">
        <v>4</v>
      </c>
      <c r="C2" s="78" t="s">
        <v>100</v>
      </c>
      <c r="D2" s="79" t="s">
        <v>78</v>
      </c>
      <c r="E2" s="80"/>
      <c r="F2" s="82"/>
      <c r="G2" s="355" t="s">
        <v>217</v>
      </c>
      <c r="H2" s="356" t="s">
        <v>218</v>
      </c>
      <c r="I2" s="356" t="s">
        <v>219</v>
      </c>
      <c r="J2" s="357" t="s">
        <v>220</v>
      </c>
    </row>
    <row r="3" spans="1:10" ht="17.399999999999999" thickTop="1">
      <c r="A3" s="359" t="s">
        <v>262</v>
      </c>
      <c r="B3" s="360">
        <v>1</v>
      </c>
      <c r="C3" s="375">
        <f>SUM(10+B3+'Personal File'!$C$13)</f>
        <v>14</v>
      </c>
      <c r="D3" s="361" t="s">
        <v>381</v>
      </c>
      <c r="E3" s="80"/>
      <c r="F3" s="347" t="s">
        <v>223</v>
      </c>
      <c r="G3" s="348">
        <v>0</v>
      </c>
      <c r="H3" s="365">
        <v>0</v>
      </c>
      <c r="I3" s="365">
        <v>0</v>
      </c>
      <c r="J3" s="367">
        <v>0</v>
      </c>
    </row>
    <row r="4" spans="1:10" ht="16.8">
      <c r="A4" s="567" t="s">
        <v>239</v>
      </c>
      <c r="B4" s="371">
        <v>1</v>
      </c>
      <c r="C4" s="376">
        <f>SUM(10+B4+'Personal File'!$C$13)</f>
        <v>14</v>
      </c>
      <c r="D4" s="372" t="s">
        <v>381</v>
      </c>
      <c r="E4" s="80"/>
      <c r="F4" s="349" t="s">
        <v>225</v>
      </c>
      <c r="G4" s="350">
        <v>1</v>
      </c>
      <c r="H4" s="366">
        <v>0</v>
      </c>
      <c r="I4" s="366">
        <v>0</v>
      </c>
      <c r="J4" s="368">
        <v>0</v>
      </c>
    </row>
    <row r="5" spans="1:10" ht="16.8">
      <c r="A5" s="370" t="s">
        <v>239</v>
      </c>
      <c r="B5" s="371">
        <v>1</v>
      </c>
      <c r="C5" s="376">
        <f>SUM(10+B5+'Personal File'!$C$13)</f>
        <v>14</v>
      </c>
      <c r="D5" s="372" t="s">
        <v>381</v>
      </c>
      <c r="E5" s="80"/>
      <c r="F5" s="349" t="s">
        <v>224</v>
      </c>
      <c r="G5" s="350">
        <v>2</v>
      </c>
      <c r="H5" s="363">
        <v>1</v>
      </c>
      <c r="I5" s="363">
        <v>1</v>
      </c>
      <c r="J5" s="569">
        <v>0</v>
      </c>
    </row>
    <row r="6" spans="1:10" ht="16.8">
      <c r="A6" s="267" t="s">
        <v>131</v>
      </c>
      <c r="B6" s="104">
        <v>1</v>
      </c>
      <c r="C6" s="377">
        <f>SUM(10+B6+'Personal File'!$C$13)</f>
        <v>14</v>
      </c>
      <c r="D6" s="372" t="s">
        <v>381</v>
      </c>
      <c r="E6" s="80"/>
      <c r="F6" s="349" t="s">
        <v>226</v>
      </c>
      <c r="G6" s="350">
        <v>1</v>
      </c>
      <c r="H6" s="524">
        <v>1</v>
      </c>
      <c r="I6" s="363">
        <v>0</v>
      </c>
      <c r="J6" s="569">
        <v>0</v>
      </c>
    </row>
    <row r="7" spans="1:10" ht="17.399999999999999" thickBot="1">
      <c r="A7" s="359" t="s">
        <v>241</v>
      </c>
      <c r="B7" s="360">
        <v>2</v>
      </c>
      <c r="C7" s="375">
        <f>SUM(10+B7+'Personal File'!$C$13)</f>
        <v>15</v>
      </c>
      <c r="D7" s="361" t="s">
        <v>381</v>
      </c>
      <c r="E7" s="80"/>
      <c r="F7" s="351" t="s">
        <v>221</v>
      </c>
      <c r="G7" s="358">
        <f t="shared" ref="G7" si="0">SUM(G3:G6)</f>
        <v>4</v>
      </c>
      <c r="H7" s="364">
        <f t="shared" ref="H7" si="1">SUM(H3:H6)</f>
        <v>2</v>
      </c>
      <c r="I7" s="364">
        <f t="shared" ref="I7:J7" si="2">SUM(I3:I6)</f>
        <v>1</v>
      </c>
      <c r="J7" s="369">
        <f t="shared" si="2"/>
        <v>0</v>
      </c>
    </row>
    <row r="8" spans="1:10" ht="17.399999999999999" thickTop="1">
      <c r="A8" s="267" t="s">
        <v>402</v>
      </c>
      <c r="B8" s="104">
        <v>2</v>
      </c>
      <c r="C8" s="377">
        <f>SUM(10+B8+'Personal File'!$C$13)</f>
        <v>15</v>
      </c>
      <c r="D8" s="83" t="s">
        <v>381</v>
      </c>
      <c r="E8" s="80"/>
      <c r="F8" s="80"/>
      <c r="G8" s="80"/>
      <c r="H8" s="80"/>
      <c r="I8" s="80"/>
      <c r="J8" s="80"/>
    </row>
    <row r="9" spans="1:10" ht="17.399999999999999" thickBot="1">
      <c r="A9" s="493" t="s">
        <v>337</v>
      </c>
      <c r="B9" s="494">
        <v>3</v>
      </c>
      <c r="C9" s="495">
        <f>SUM(10+B9+'Personal File'!$C$13)</f>
        <v>16</v>
      </c>
      <c r="D9" s="496" t="s">
        <v>380</v>
      </c>
      <c r="E9" s="80"/>
      <c r="F9" s="87" t="s">
        <v>382</v>
      </c>
      <c r="G9" s="566">
        <f>0.5*SUM('Personal File'!E3:E4)</f>
        <v>6</v>
      </c>
      <c r="I9" s="80"/>
      <c r="J9" s="80"/>
    </row>
    <row r="10" spans="1:10" ht="16.8" thickTop="1" thickBot="1">
      <c r="E10" s="80"/>
      <c r="I10" s="80"/>
      <c r="J10" s="80"/>
    </row>
    <row r="11" spans="1:10" ht="24" thickTop="1" thickBot="1">
      <c r="A11" s="73" t="s">
        <v>270</v>
      </c>
      <c r="B11" s="74"/>
      <c r="C11" s="74"/>
      <c r="D11" s="75"/>
      <c r="E11" s="80"/>
      <c r="I11" s="80"/>
      <c r="J11" s="80"/>
    </row>
    <row r="12" spans="1:10" ht="23.4" thickTop="1">
      <c r="A12" s="77" t="s">
        <v>77</v>
      </c>
      <c r="B12" s="78" t="s">
        <v>4</v>
      </c>
      <c r="C12" s="78" t="s">
        <v>100</v>
      </c>
      <c r="D12" s="79" t="s">
        <v>78</v>
      </c>
      <c r="E12" s="80"/>
      <c r="F12" s="427" t="s">
        <v>252</v>
      </c>
      <c r="G12" s="428"/>
      <c r="I12" s="80"/>
      <c r="J12" s="80"/>
    </row>
    <row r="13" spans="1:10" ht="16.8">
      <c r="A13" s="359"/>
      <c r="B13" s="360">
        <v>1</v>
      </c>
      <c r="C13" s="375">
        <f>SUM(10+B13+'Personal File'!$C$13)</f>
        <v>14</v>
      </c>
      <c r="D13" s="361" t="s">
        <v>380</v>
      </c>
      <c r="E13" s="80"/>
      <c r="F13" s="557" t="s">
        <v>253</v>
      </c>
      <c r="G13" s="430">
        <f>'Personal File'!E3+'Personal File'!E4-3</f>
        <v>9</v>
      </c>
      <c r="I13" s="80"/>
      <c r="J13" s="80"/>
    </row>
    <row r="14" spans="1:10" ht="16.8">
      <c r="A14" s="370"/>
      <c r="B14" s="371">
        <v>1</v>
      </c>
      <c r="C14" s="376">
        <f>SUM(10+B14+'Personal File'!$C$13)</f>
        <v>14</v>
      </c>
      <c r="D14" s="372" t="s">
        <v>380</v>
      </c>
      <c r="E14" s="80"/>
      <c r="F14" s="557" t="s">
        <v>254</v>
      </c>
      <c r="G14" s="429">
        <f>3+'Personal File'!$C$13</f>
        <v>6</v>
      </c>
      <c r="I14" s="80"/>
      <c r="J14" s="80"/>
    </row>
    <row r="15" spans="1:10" ht="16.8">
      <c r="A15" s="370"/>
      <c r="B15" s="371">
        <v>1</v>
      </c>
      <c r="C15" s="376">
        <f>SUM(10+B15+'Personal File'!$C$13)</f>
        <v>14</v>
      </c>
      <c r="D15" s="372" t="s">
        <v>380</v>
      </c>
      <c r="E15" s="80"/>
      <c r="F15" s="558" t="s">
        <v>255</v>
      </c>
      <c r="G15" s="431">
        <f ca="1">RANDBETWEEN(1,20)</f>
        <v>5</v>
      </c>
      <c r="I15" s="80"/>
      <c r="J15" s="80"/>
    </row>
    <row r="16" spans="1:10" ht="16.8">
      <c r="A16" s="267"/>
      <c r="B16" s="104">
        <v>1</v>
      </c>
      <c r="C16" s="377">
        <f>SUM(10+B16+'Personal File'!$C$13)</f>
        <v>14</v>
      </c>
      <c r="D16" s="372" t="s">
        <v>380</v>
      </c>
      <c r="E16" s="80"/>
      <c r="F16" s="559" t="s">
        <v>256</v>
      </c>
      <c r="G16" s="429">
        <f ca="1">G15+'Personal File'!$C$13+2</f>
        <v>10</v>
      </c>
      <c r="I16" s="80"/>
      <c r="J16" s="80"/>
    </row>
    <row r="17" spans="1:10" ht="16.8">
      <c r="A17" s="359"/>
      <c r="B17" s="360">
        <v>2</v>
      </c>
      <c r="C17" s="375">
        <f>SUM(10+B17+'Personal File'!$C$13)</f>
        <v>15</v>
      </c>
      <c r="D17" s="361" t="s">
        <v>380</v>
      </c>
      <c r="E17" s="80"/>
      <c r="F17" s="560" t="s">
        <v>257</v>
      </c>
      <c r="G17" s="432">
        <f ca="1">RANDBETWEEN(1,6)+RANDBETWEEN(1,6)</f>
        <v>9</v>
      </c>
      <c r="I17" s="80"/>
      <c r="J17" s="80"/>
    </row>
    <row r="18" spans="1:10" ht="16.8">
      <c r="A18" s="267"/>
      <c r="B18" s="104">
        <v>2</v>
      </c>
      <c r="C18" s="377">
        <f>SUM(10+B18+'Personal File'!$C$13)</f>
        <v>15</v>
      </c>
      <c r="D18" s="83" t="s">
        <v>380</v>
      </c>
      <c r="E18" s="80"/>
      <c r="F18" s="561" t="s">
        <v>391</v>
      </c>
      <c r="G18" s="429">
        <f ca="1">G13+G17+'Personal File'!C13</f>
        <v>21</v>
      </c>
      <c r="I18" s="80"/>
      <c r="J18" s="80"/>
    </row>
    <row r="19" spans="1:10" ht="17.399999999999999" thickBot="1">
      <c r="A19" s="493"/>
      <c r="B19" s="494">
        <v>3</v>
      </c>
      <c r="C19" s="495">
        <f>SUM(10+B19+'Personal File'!$C$13)</f>
        <v>16</v>
      </c>
      <c r="D19" s="496" t="s">
        <v>380</v>
      </c>
      <c r="F19" s="562" t="s">
        <v>258</v>
      </c>
      <c r="G19" s="433">
        <v>1</v>
      </c>
    </row>
    <row r="20" spans="1:10" ht="16.2" thickTop="1">
      <c r="A20" s="76"/>
      <c r="B20" s="76"/>
      <c r="C20" s="76"/>
      <c r="D20" s="76"/>
    </row>
  </sheetData>
  <phoneticPr fontId="0" type="noConversion"/>
  <conditionalFormatting sqref="D3 D5:D6 D13 D15:D16">
    <cfRule type="cellIs" dxfId="40" priority="12" stopIfTrue="1" operator="equal">
      <formula>"þ"</formula>
    </cfRule>
  </conditionalFormatting>
  <conditionalFormatting sqref="D18">
    <cfRule type="cellIs" dxfId="39" priority="11" stopIfTrue="1" operator="equal">
      <formula>"þ"</formula>
    </cfRule>
  </conditionalFormatting>
  <conditionalFormatting sqref="D17">
    <cfRule type="cellIs" dxfId="38" priority="10" stopIfTrue="1" operator="equal">
      <formula>"þ"</formula>
    </cfRule>
  </conditionalFormatting>
  <conditionalFormatting sqref="D19">
    <cfRule type="cellIs" dxfId="37" priority="9" stopIfTrue="1" operator="equal">
      <formula>"þ"</formula>
    </cfRule>
  </conditionalFormatting>
  <conditionalFormatting sqref="D8">
    <cfRule type="cellIs" dxfId="36" priority="7" stopIfTrue="1" operator="equal">
      <formula>"þ"</formula>
    </cfRule>
  </conditionalFormatting>
  <conditionalFormatting sqref="D7">
    <cfRule type="cellIs" dxfId="35" priority="6" stopIfTrue="1" operator="equal">
      <formula>"þ"</formula>
    </cfRule>
  </conditionalFormatting>
  <conditionalFormatting sqref="D9">
    <cfRule type="cellIs" dxfId="34" priority="5" stopIfTrue="1" operator="equal">
      <formula>"þ"</formula>
    </cfRule>
  </conditionalFormatting>
  <conditionalFormatting sqref="D14">
    <cfRule type="cellIs" dxfId="33" priority="3" stopIfTrue="1" operator="equal">
      <formula>"þ"</formula>
    </cfRule>
  </conditionalFormatting>
  <conditionalFormatting sqref="D4">
    <cfRule type="cellIs" dxfId="32"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0"/>
  <sheetViews>
    <sheetView showGridLines="0" workbookViewId="0"/>
  </sheetViews>
  <sheetFormatPr defaultColWidth="13" defaultRowHeight="15.6"/>
  <cols>
    <col min="1" max="1" width="33.796875" style="86" bestFit="1" customWidth="1"/>
    <col min="2" max="2" width="3" style="76" customWidth="1"/>
    <col min="3" max="3" width="32.59765625" style="76" bestFit="1" customWidth="1"/>
    <col min="4" max="16384" width="13" style="76"/>
  </cols>
  <sheetData>
    <row r="1" spans="1:3" ht="22.2" thickTop="1" thickBot="1">
      <c r="A1" s="498" t="s">
        <v>99</v>
      </c>
      <c r="C1" s="498" t="s">
        <v>230</v>
      </c>
    </row>
    <row r="2" spans="1:3" ht="16.8">
      <c r="A2" s="81" t="s">
        <v>210</v>
      </c>
      <c r="B2" s="82"/>
      <c r="C2" s="85" t="s">
        <v>176</v>
      </c>
    </row>
    <row r="3" spans="1:3" ht="16.8">
      <c r="A3" s="84" t="s">
        <v>236</v>
      </c>
      <c r="C3" s="85" t="str">
        <f>CONCATENATE("Lay on Hands ",('Personal File'!E3*'Personal File'!C13)," hps")</f>
        <v>Lay on Hands 15 hps</v>
      </c>
    </row>
    <row r="4" spans="1:3" ht="16.8">
      <c r="A4" s="84" t="s">
        <v>237</v>
      </c>
      <c r="C4" s="549" t="s">
        <v>369</v>
      </c>
    </row>
    <row r="5" spans="1:3" ht="16.8">
      <c r="A5" s="84" t="s">
        <v>242</v>
      </c>
      <c r="C5" s="85" t="s">
        <v>377</v>
      </c>
    </row>
    <row r="6" spans="1:3" ht="16.8">
      <c r="A6" s="84" t="s">
        <v>246</v>
      </c>
      <c r="C6" s="373" t="str">
        <f>CONCATENATE("Smite Evil ",ROUNDUP(('Personal File'!E3+1+1)/5,0),"/day, ",'Personal File'!C13," Att, +",SUM('Personal File'!E3:E4)," Dmg")</f>
        <v>Smite Evil 2/day, +3 Att, +12 Dmg</v>
      </c>
    </row>
    <row r="7" spans="1:3" ht="17.399999999999999" thickBot="1">
      <c r="A7" s="579" t="s">
        <v>401</v>
      </c>
      <c r="C7" s="268" t="s">
        <v>163</v>
      </c>
    </row>
    <row r="8" spans="1:3" ht="18" thickTop="1" thickBot="1">
      <c r="C8" s="268" t="s">
        <v>98</v>
      </c>
    </row>
    <row r="9" spans="1:3" ht="22.2" thickTop="1" thickBot="1">
      <c r="A9" s="498" t="s">
        <v>231</v>
      </c>
      <c r="C9" s="270" t="s">
        <v>289</v>
      </c>
    </row>
    <row r="10" spans="1:3" ht="16.8">
      <c r="A10" s="373" t="s">
        <v>232</v>
      </c>
      <c r="C10" s="269" t="s">
        <v>295</v>
      </c>
    </row>
    <row r="11" spans="1:3" ht="16.8">
      <c r="A11" s="373" t="s">
        <v>294</v>
      </c>
      <c r="B11" s="82"/>
      <c r="C11" s="268" t="s">
        <v>153</v>
      </c>
    </row>
    <row r="12" spans="1:3" ht="17.399999999999999" thickBot="1">
      <c r="A12" s="374" t="s">
        <v>243</v>
      </c>
      <c r="C12" s="380" t="s">
        <v>177</v>
      </c>
    </row>
    <row r="13" spans="1:3" ht="18" thickTop="1" thickBot="1">
      <c r="A13" s="374" t="s">
        <v>383</v>
      </c>
    </row>
    <row r="14" spans="1:3" ht="22.2" thickTop="1" thickBot="1">
      <c r="A14" s="424" t="s">
        <v>247</v>
      </c>
      <c r="C14" s="521" t="s">
        <v>285</v>
      </c>
    </row>
    <row r="15" spans="1:3" ht="18" thickTop="1" thickBot="1">
      <c r="C15" s="467" t="s">
        <v>160</v>
      </c>
    </row>
    <row r="16" spans="1:3" ht="22.2" thickTop="1" thickBot="1">
      <c r="A16" s="497" t="s">
        <v>79</v>
      </c>
      <c r="C16" s="468" t="s">
        <v>161</v>
      </c>
    </row>
    <row r="17" spans="1:3" ht="17.399999999999999" thickBot="1">
      <c r="A17" s="88" t="s">
        <v>209</v>
      </c>
      <c r="C17" s="87"/>
    </row>
    <row r="18" spans="1:3" ht="16.2" thickTop="1"/>
    <row r="20" spans="1:3">
      <c r="A20" s="76"/>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
  <sheetViews>
    <sheetView showGridLines="0" zoomScaleNormal="100" workbookViewId="0"/>
  </sheetViews>
  <sheetFormatPr defaultColWidth="13" defaultRowHeight="15.6"/>
  <cols>
    <col min="1" max="1" width="37.796875" style="32" bestFit="1" customWidth="1"/>
    <col min="2" max="2" width="10.3984375" style="32" bestFit="1" customWidth="1"/>
    <col min="3" max="3" width="7.09765625" style="32" customWidth="1"/>
    <col min="4" max="4" width="8.19921875" style="32" customWidth="1"/>
    <col min="5" max="5" width="8.3984375" style="32" customWidth="1"/>
    <col min="6" max="6" width="8.3984375" style="32" bestFit="1" customWidth="1"/>
    <col min="7" max="7" width="7.8984375" style="32" bestFit="1" customWidth="1"/>
    <col min="8" max="10" width="5.59765625" style="32" customWidth="1"/>
    <col min="11" max="11" width="22.69921875" style="32" bestFit="1" customWidth="1"/>
    <col min="12" max="12" width="2" style="19" customWidth="1"/>
    <col min="13" max="13" width="5.8984375" style="19" bestFit="1" customWidth="1"/>
    <col min="14" max="16384" width="13" style="19"/>
  </cols>
  <sheetData>
    <row r="1" spans="1:13" ht="23.4" thickBot="1">
      <c r="A1" s="18" t="s">
        <v>269</v>
      </c>
      <c r="B1" s="18"/>
      <c r="C1" s="18"/>
      <c r="D1" s="18"/>
      <c r="E1" s="18"/>
      <c r="F1" s="18"/>
      <c r="G1" s="18"/>
      <c r="H1" s="18"/>
      <c r="I1" s="18"/>
      <c r="J1" s="18"/>
      <c r="K1" s="18"/>
    </row>
    <row r="2" spans="1:13" ht="16.8" thickTop="1" thickBot="1">
      <c r="A2" s="20" t="s">
        <v>6</v>
      </c>
      <c r="B2" s="21" t="s">
        <v>7</v>
      </c>
      <c r="C2" s="21" t="s">
        <v>26</v>
      </c>
      <c r="D2" s="21" t="s">
        <v>27</v>
      </c>
      <c r="E2" s="22" t="s">
        <v>69</v>
      </c>
      <c r="F2" s="21" t="s">
        <v>25</v>
      </c>
      <c r="G2" s="21" t="s">
        <v>28</v>
      </c>
      <c r="H2" s="23" t="s">
        <v>138</v>
      </c>
      <c r="I2" s="24" t="s">
        <v>159</v>
      </c>
      <c r="J2" s="23" t="s">
        <v>85</v>
      </c>
      <c r="K2" s="25" t="s">
        <v>5</v>
      </c>
      <c r="M2" s="277" t="s">
        <v>185</v>
      </c>
    </row>
    <row r="3" spans="1:13">
      <c r="A3" s="400" t="s">
        <v>376</v>
      </c>
      <c r="B3" s="401" t="s">
        <v>397</v>
      </c>
      <c r="C3" s="488" t="str">
        <f>CONCATENATE("+",'Personal File'!$C$8*2," + 1")</f>
        <v>+10 + 1</v>
      </c>
      <c r="D3" s="402" t="s">
        <v>186</v>
      </c>
      <c r="E3" s="425" t="s">
        <v>251</v>
      </c>
      <c r="F3" s="403" t="s">
        <v>211</v>
      </c>
      <c r="G3" s="421">
        <v>8</v>
      </c>
      <c r="H3" s="422" t="str">
        <f>CONCATENATE("+",'Personal File'!$B$6+'Personal File'!$C$8+D3+1)</f>
        <v>+19</v>
      </c>
      <c r="I3" s="404">
        <f t="shared" ref="I3:I15" ca="1" si="0">RANDBETWEEN(1,20)</f>
        <v>20</v>
      </c>
      <c r="J3" s="405">
        <f t="shared" ref="J3:J15" ca="1" si="1">I3+RIGHT(H3,2)</f>
        <v>39</v>
      </c>
      <c r="K3" s="456" t="s">
        <v>392</v>
      </c>
      <c r="M3" s="406">
        <v>21550</v>
      </c>
    </row>
    <row r="4" spans="1:13">
      <c r="A4" s="412" t="s">
        <v>400</v>
      </c>
      <c r="B4" s="413" t="s">
        <v>397</v>
      </c>
      <c r="C4" s="489" t="str">
        <f>CONCATENATE("+",'Personal File'!$C$8*2," + 1")</f>
        <v>+10 + 1</v>
      </c>
      <c r="D4" s="414" t="s">
        <v>186</v>
      </c>
      <c r="E4" s="482" t="s">
        <v>251</v>
      </c>
      <c r="F4" s="416" t="s">
        <v>211</v>
      </c>
      <c r="G4" s="485"/>
      <c r="H4" s="419" t="str">
        <f t="shared" ref="H4:H5" si="2">CONCATENATE("+",H3-5)</f>
        <v>+14</v>
      </c>
      <c r="I4" s="418">
        <f t="shared" ca="1" si="0"/>
        <v>7</v>
      </c>
      <c r="J4" s="419">
        <f t="shared" ref="J4" ca="1" si="3">I4+RIGHT(H4,2)</f>
        <v>21</v>
      </c>
      <c r="K4" s="484" t="s">
        <v>393</v>
      </c>
      <c r="M4" s="407"/>
    </row>
    <row r="5" spans="1:13">
      <c r="A5" s="412" t="s">
        <v>281</v>
      </c>
      <c r="B5" s="413" t="s">
        <v>397</v>
      </c>
      <c r="C5" s="489" t="str">
        <f>CONCATENATE("+",'Personal File'!$C$8*2," + 1")</f>
        <v>+10 + 1</v>
      </c>
      <c r="D5" s="414" t="s">
        <v>186</v>
      </c>
      <c r="E5" s="482" t="s">
        <v>251</v>
      </c>
      <c r="F5" s="416" t="s">
        <v>211</v>
      </c>
      <c r="G5" s="485"/>
      <c r="H5" s="483" t="str">
        <f t="shared" si="2"/>
        <v>+9</v>
      </c>
      <c r="I5" s="418">
        <f t="shared" ca="1" si="0"/>
        <v>4</v>
      </c>
      <c r="J5" s="419">
        <f t="shared" ca="1" si="1"/>
        <v>13</v>
      </c>
      <c r="K5" s="420"/>
      <c r="M5" s="407"/>
    </row>
    <row r="6" spans="1:13">
      <c r="A6" s="382" t="s">
        <v>282</v>
      </c>
      <c r="B6" s="383" t="s">
        <v>397</v>
      </c>
      <c r="C6" s="490" t="str">
        <f>CONCATENATE("+",'Personal File'!$C$8*2," + 1")</f>
        <v>+10 + 1</v>
      </c>
      <c r="D6" s="384" t="s">
        <v>186</v>
      </c>
      <c r="E6" s="426" t="s">
        <v>251</v>
      </c>
      <c r="F6" s="386" t="s">
        <v>211</v>
      </c>
      <c r="G6" s="411"/>
      <c r="H6" s="410" t="str">
        <f>CONCATENATE("+",'Personal File'!$B$6+'Personal File'!$C$8+D6+1)</f>
        <v>+19</v>
      </c>
      <c r="I6" s="387">
        <f t="shared" ca="1" si="0"/>
        <v>16</v>
      </c>
      <c r="J6" s="388">
        <f t="shared" ref="J6" ca="1" si="4">I6+RIGHT(H6,2)</f>
        <v>35</v>
      </c>
      <c r="K6" s="389"/>
      <c r="M6" s="407"/>
    </row>
    <row r="7" spans="1:13">
      <c r="A7" s="390" t="s">
        <v>204</v>
      </c>
      <c r="B7" s="391" t="s">
        <v>398</v>
      </c>
      <c r="C7" s="491" t="str">
        <f>CONCATENATE("+",'Personal File'!$C$8*2," - 1")</f>
        <v>+10 - 1</v>
      </c>
      <c r="D7" s="392" t="s">
        <v>186</v>
      </c>
      <c r="E7" s="393" t="s">
        <v>165</v>
      </c>
      <c r="F7" s="394" t="s">
        <v>166</v>
      </c>
      <c r="G7" s="395">
        <v>10</v>
      </c>
      <c r="H7" s="396" t="str">
        <f>CONCATENATE("+",'Personal File'!$B$6+'Personal File'!$C$8+D7)</f>
        <v>+18</v>
      </c>
      <c r="I7" s="397">
        <f t="shared" ca="1" si="0"/>
        <v>14</v>
      </c>
      <c r="J7" s="398">
        <f t="shared" ca="1" si="1"/>
        <v>32</v>
      </c>
      <c r="K7" s="399" t="s">
        <v>213</v>
      </c>
      <c r="M7" s="423">
        <v>405</v>
      </c>
    </row>
    <row r="8" spans="1:13">
      <c r="A8" s="412" t="s">
        <v>400</v>
      </c>
      <c r="B8" s="413" t="s">
        <v>398</v>
      </c>
      <c r="C8" s="489" t="str">
        <f>CONCATENATE("+",'Personal File'!$C$8*2," - 1")</f>
        <v>+10 - 1</v>
      </c>
      <c r="D8" s="414" t="s">
        <v>186</v>
      </c>
      <c r="E8" s="415" t="s">
        <v>165</v>
      </c>
      <c r="F8" s="416" t="s">
        <v>166</v>
      </c>
      <c r="G8" s="486"/>
      <c r="H8" s="419" t="str">
        <f t="shared" ref="H8:H13" si="5">CONCATENATE("+",H7-5)</f>
        <v>+13</v>
      </c>
      <c r="I8" s="418">
        <f t="shared" ca="1" si="0"/>
        <v>1</v>
      </c>
      <c r="J8" s="419">
        <f t="shared" ca="1" si="1"/>
        <v>14</v>
      </c>
      <c r="K8" s="420"/>
      <c r="M8" s="407"/>
    </row>
    <row r="9" spans="1:13">
      <c r="A9" s="412" t="s">
        <v>281</v>
      </c>
      <c r="B9" s="413" t="s">
        <v>398</v>
      </c>
      <c r="C9" s="489" t="str">
        <f>CONCATENATE("+",'Personal File'!$C$8*2," - 1")</f>
        <v>+10 - 1</v>
      </c>
      <c r="D9" s="414" t="s">
        <v>186</v>
      </c>
      <c r="E9" s="415" t="s">
        <v>165</v>
      </c>
      <c r="F9" s="416" t="s">
        <v>166</v>
      </c>
      <c r="G9" s="486"/>
      <c r="H9" s="483" t="str">
        <f t="shared" si="5"/>
        <v>+8</v>
      </c>
      <c r="I9" s="418">
        <f t="shared" ca="1" si="0"/>
        <v>18</v>
      </c>
      <c r="J9" s="419">
        <f t="shared" ref="J9:J10" ca="1" si="6">I9+RIGHT(H9,2)</f>
        <v>26</v>
      </c>
      <c r="K9" s="420"/>
      <c r="M9" s="487"/>
    </row>
    <row r="10" spans="1:13">
      <c r="A10" s="382" t="s">
        <v>282</v>
      </c>
      <c r="B10" s="383" t="s">
        <v>398</v>
      </c>
      <c r="C10" s="490" t="str">
        <f>CONCATENATE("+",'Personal File'!$C$8*2," - 1")</f>
        <v>+10 - 1</v>
      </c>
      <c r="D10" s="384" t="s">
        <v>186</v>
      </c>
      <c r="E10" s="385" t="s">
        <v>165</v>
      </c>
      <c r="F10" s="386" t="s">
        <v>166</v>
      </c>
      <c r="G10" s="409"/>
      <c r="H10" s="410" t="str">
        <f>CONCATENATE("+",'Personal File'!$B$6+'Personal File'!$C$8+D10)</f>
        <v>+18</v>
      </c>
      <c r="I10" s="387">
        <f t="shared" ca="1" si="0"/>
        <v>9</v>
      </c>
      <c r="J10" s="388">
        <f t="shared" ca="1" si="6"/>
        <v>27</v>
      </c>
      <c r="K10" s="389"/>
      <c r="M10" s="487"/>
    </row>
    <row r="11" spans="1:13">
      <c r="A11" s="390" t="s">
        <v>179</v>
      </c>
      <c r="B11" s="391" t="s">
        <v>396</v>
      </c>
      <c r="C11" s="491" t="str">
        <f>CONCATENATE("+",'Personal File'!$C$8*2)</f>
        <v>+10</v>
      </c>
      <c r="D11" s="392">
        <v>0</v>
      </c>
      <c r="E11" s="393" t="s">
        <v>207</v>
      </c>
      <c r="F11" s="394" t="s">
        <v>208</v>
      </c>
      <c r="G11" s="395" t="s">
        <v>189</v>
      </c>
      <c r="H11" s="396" t="str">
        <f>CONCATENATE("+",'Personal File'!$B$6+'Personal File'!$C$8+D11)</f>
        <v>+17</v>
      </c>
      <c r="I11" s="397">
        <f t="shared" ca="1" si="0"/>
        <v>5</v>
      </c>
      <c r="J11" s="398">
        <f t="shared" ca="1" si="1"/>
        <v>22</v>
      </c>
      <c r="K11" s="399"/>
      <c r="M11" s="290">
        <v>10</v>
      </c>
    </row>
    <row r="12" spans="1:13">
      <c r="A12" s="412" t="s">
        <v>400</v>
      </c>
      <c r="B12" s="413" t="s">
        <v>396</v>
      </c>
      <c r="C12" s="489" t="str">
        <f>CONCATENATE("+",'Personal File'!$C$8*2)</f>
        <v>+10</v>
      </c>
      <c r="D12" s="414" t="s">
        <v>64</v>
      </c>
      <c r="E12" s="415" t="s">
        <v>207</v>
      </c>
      <c r="F12" s="416" t="s">
        <v>208</v>
      </c>
      <c r="G12" s="486"/>
      <c r="H12" s="419" t="str">
        <f t="shared" si="5"/>
        <v>+12</v>
      </c>
      <c r="I12" s="418">
        <f t="shared" ca="1" si="0"/>
        <v>12</v>
      </c>
      <c r="J12" s="419">
        <f t="shared" ca="1" si="1"/>
        <v>24</v>
      </c>
      <c r="K12" s="420"/>
      <c r="M12" s="407"/>
    </row>
    <row r="13" spans="1:13">
      <c r="A13" s="412" t="s">
        <v>281</v>
      </c>
      <c r="B13" s="413" t="s">
        <v>396</v>
      </c>
      <c r="C13" s="489" t="str">
        <f>CONCATENATE("+",'Personal File'!$C$8*2)</f>
        <v>+10</v>
      </c>
      <c r="D13" s="414" t="s">
        <v>64</v>
      </c>
      <c r="E13" s="415" t="s">
        <v>207</v>
      </c>
      <c r="F13" s="416" t="s">
        <v>208</v>
      </c>
      <c r="G13" s="486"/>
      <c r="H13" s="483" t="str">
        <f t="shared" si="5"/>
        <v>+7</v>
      </c>
      <c r="I13" s="418">
        <f t="shared" ca="1" si="0"/>
        <v>14</v>
      </c>
      <c r="J13" s="419">
        <f t="shared" ref="J13:J14" ca="1" si="7">I13+RIGHT(H13,2)</f>
        <v>21</v>
      </c>
      <c r="K13" s="420"/>
      <c r="M13" s="487"/>
    </row>
    <row r="14" spans="1:13">
      <c r="A14" s="382" t="s">
        <v>282</v>
      </c>
      <c r="B14" s="383" t="s">
        <v>396</v>
      </c>
      <c r="C14" s="490" t="str">
        <f>CONCATENATE("+",'Personal File'!$C$8*2)</f>
        <v>+10</v>
      </c>
      <c r="D14" s="384" t="s">
        <v>64</v>
      </c>
      <c r="E14" s="385" t="s">
        <v>207</v>
      </c>
      <c r="F14" s="386" t="s">
        <v>208</v>
      </c>
      <c r="G14" s="409"/>
      <c r="H14" s="410" t="str">
        <f>CONCATENATE("+",'Personal File'!$B$6+'Personal File'!$C$8+D14)</f>
        <v>+17</v>
      </c>
      <c r="I14" s="387">
        <f t="shared" ca="1" si="0"/>
        <v>5</v>
      </c>
      <c r="J14" s="388">
        <f t="shared" ca="1" si="7"/>
        <v>22</v>
      </c>
      <c r="K14" s="389"/>
      <c r="M14" s="487"/>
    </row>
    <row r="15" spans="1:13" ht="16.2" thickBot="1">
      <c r="A15" s="273" t="s">
        <v>244</v>
      </c>
      <c r="B15" s="26" t="s">
        <v>216</v>
      </c>
      <c r="C15" s="27" t="s">
        <v>216</v>
      </c>
      <c r="D15" s="26">
        <v>0</v>
      </c>
      <c r="E15" s="28" t="s">
        <v>216</v>
      </c>
      <c r="F15" s="26" t="s">
        <v>216</v>
      </c>
      <c r="G15" s="29">
        <v>0</v>
      </c>
      <c r="H15" s="30" t="str">
        <f>CONCATENATE("+",'Personal File'!$B$6+'Personal File'!$C$8+D15)</f>
        <v>+17</v>
      </c>
      <c r="I15" s="378">
        <f t="shared" ca="1" si="0"/>
        <v>9</v>
      </c>
      <c r="J15" s="379">
        <f t="shared" ca="1" si="1"/>
        <v>26</v>
      </c>
      <c r="K15" s="31"/>
      <c r="M15" s="408"/>
    </row>
    <row r="16" spans="1:13" ht="16.8" thickTop="1" thickBot="1"/>
    <row r="17" spans="1:13" ht="16.8" thickTop="1" thickBot="1">
      <c r="A17" s="437" t="s">
        <v>9</v>
      </c>
      <c r="B17" s="438" t="s">
        <v>10</v>
      </c>
      <c r="C17" s="438" t="s">
        <v>26</v>
      </c>
      <c r="D17" s="438" t="s">
        <v>27</v>
      </c>
      <c r="E17" s="439" t="s">
        <v>69</v>
      </c>
      <c r="F17" s="438" t="s">
        <v>11</v>
      </c>
      <c r="G17" s="438" t="s">
        <v>28</v>
      </c>
      <c r="H17" s="440" t="s">
        <v>138</v>
      </c>
      <c r="I17" s="441" t="s">
        <v>159</v>
      </c>
      <c r="J17" s="440" t="s">
        <v>85</v>
      </c>
      <c r="K17" s="442" t="s">
        <v>5</v>
      </c>
      <c r="M17" s="277" t="s">
        <v>185</v>
      </c>
    </row>
    <row r="18" spans="1:13">
      <c r="A18" s="412" t="s">
        <v>280</v>
      </c>
      <c r="B18" s="413" t="s">
        <v>396</v>
      </c>
      <c r="C18" s="457" t="s">
        <v>283</v>
      </c>
      <c r="D18" s="457" t="s">
        <v>186</v>
      </c>
      <c r="E18" s="413" t="s">
        <v>207</v>
      </c>
      <c r="F18" s="458" t="s">
        <v>267</v>
      </c>
      <c r="G18" s="417">
        <v>3</v>
      </c>
      <c r="H18" s="396" t="str">
        <f>CONCATENATE("+",'Personal File'!$B$6+'Personal File'!$C$9+D18)</f>
        <v>+13</v>
      </c>
      <c r="I18" s="397">
        <f ca="1">RANDBETWEEN(1,20)</f>
        <v>5</v>
      </c>
      <c r="J18" s="398">
        <f t="shared" ref="J18" ca="1" si="8">I18+RIGHT(H18,2)</f>
        <v>18</v>
      </c>
      <c r="K18" s="459"/>
      <c r="M18" s="423">
        <v>700</v>
      </c>
    </row>
    <row r="19" spans="1:13">
      <c r="A19" s="412" t="s">
        <v>400</v>
      </c>
      <c r="B19" s="413" t="s">
        <v>396</v>
      </c>
      <c r="C19" s="457" t="s">
        <v>283</v>
      </c>
      <c r="D19" s="457" t="s">
        <v>186</v>
      </c>
      <c r="E19" s="413" t="s">
        <v>207</v>
      </c>
      <c r="F19" s="458" t="s">
        <v>267</v>
      </c>
      <c r="G19" s="486"/>
      <c r="H19" s="419" t="str">
        <f t="shared" ref="H19:H21" si="9">CONCATENATE("+",H18-5)</f>
        <v>+8</v>
      </c>
      <c r="I19" s="418">
        <f t="shared" ref="I19:I21" ca="1" si="10">RANDBETWEEN(1,20)</f>
        <v>10</v>
      </c>
      <c r="J19" s="419">
        <f t="shared" ref="J19:J21" ca="1" si="11">I19+RIGHT(H19,2)</f>
        <v>18</v>
      </c>
      <c r="K19" s="459"/>
      <c r="M19" s="487"/>
    </row>
    <row r="20" spans="1:13">
      <c r="A20" s="412" t="s">
        <v>281</v>
      </c>
      <c r="B20" s="413" t="s">
        <v>396</v>
      </c>
      <c r="C20" s="457" t="s">
        <v>283</v>
      </c>
      <c r="D20" s="457" t="s">
        <v>186</v>
      </c>
      <c r="E20" s="413" t="s">
        <v>207</v>
      </c>
      <c r="F20" s="458" t="s">
        <v>267</v>
      </c>
      <c r="G20" s="486"/>
      <c r="H20" s="483" t="str">
        <f t="shared" si="9"/>
        <v>+3</v>
      </c>
      <c r="I20" s="418">
        <f t="shared" ca="1" si="10"/>
        <v>19</v>
      </c>
      <c r="J20" s="419">
        <f t="shared" ca="1" si="11"/>
        <v>22</v>
      </c>
      <c r="K20" s="459"/>
      <c r="M20" s="487"/>
    </row>
    <row r="21" spans="1:13">
      <c r="A21" s="412" t="s">
        <v>282</v>
      </c>
      <c r="B21" s="413" t="s">
        <v>396</v>
      </c>
      <c r="C21" s="457" t="s">
        <v>283</v>
      </c>
      <c r="D21" s="457" t="s">
        <v>186</v>
      </c>
      <c r="E21" s="413" t="s">
        <v>207</v>
      </c>
      <c r="F21" s="458" t="s">
        <v>267</v>
      </c>
      <c r="G21" s="409"/>
      <c r="H21" s="410" t="str">
        <f t="shared" si="9"/>
        <v>+-2</v>
      </c>
      <c r="I21" s="387">
        <f t="shared" ca="1" si="10"/>
        <v>1</v>
      </c>
      <c r="J21" s="388">
        <f t="shared" ca="1" si="11"/>
        <v>-1</v>
      </c>
      <c r="K21" s="459"/>
      <c r="M21" s="487"/>
    </row>
    <row r="22" spans="1:13" ht="16.2" thickBot="1">
      <c r="A22" s="443" t="s">
        <v>250</v>
      </c>
      <c r="B22" s="28" t="s">
        <v>399</v>
      </c>
      <c r="C22" s="444" t="s">
        <v>283</v>
      </c>
      <c r="D22" s="445" t="s">
        <v>64</v>
      </c>
      <c r="E22" s="446" t="s">
        <v>205</v>
      </c>
      <c r="F22" s="447" t="s">
        <v>206</v>
      </c>
      <c r="G22" s="448">
        <v>6</v>
      </c>
      <c r="H22" s="448" t="str">
        <f>CONCATENATE("+",'Personal File'!$B$6+'Personal File'!$C$9+D22)</f>
        <v>+12</v>
      </c>
      <c r="I22" s="378">
        <f ca="1">RANDBETWEEN(1,20)</f>
        <v>6</v>
      </c>
      <c r="J22" s="379">
        <f t="shared" ref="J22" ca="1" si="12">I22+RIGHT(H22,2)</f>
        <v>18</v>
      </c>
      <c r="K22" s="449"/>
      <c r="M22" s="297">
        <v>3</v>
      </c>
    </row>
    <row r="23" spans="1:13" ht="16.8" thickTop="1" thickBot="1">
      <c r="D23" s="35"/>
      <c r="E23" s="35"/>
      <c r="G23" s="36"/>
      <c r="H23" s="36"/>
      <c r="I23" s="36"/>
      <c r="J23" s="36"/>
    </row>
    <row r="24" spans="1:13" ht="16.8" thickTop="1" thickBot="1">
      <c r="A24" s="20" t="s">
        <v>73</v>
      </c>
      <c r="B24" s="21" t="s">
        <v>19</v>
      </c>
      <c r="C24" s="21" t="s">
        <v>35</v>
      </c>
      <c r="D24" s="21" t="s">
        <v>85</v>
      </c>
      <c r="E24" s="21" t="s">
        <v>86</v>
      </c>
      <c r="F24" s="21" t="s">
        <v>87</v>
      </c>
      <c r="G24" s="21" t="s">
        <v>28</v>
      </c>
      <c r="H24" s="37" t="s">
        <v>5</v>
      </c>
      <c r="I24" s="38"/>
      <c r="J24" s="38"/>
      <c r="K24" s="39"/>
      <c r="M24" s="277" t="s">
        <v>185</v>
      </c>
    </row>
    <row r="25" spans="1:13">
      <c r="A25" s="508" t="s">
        <v>372</v>
      </c>
      <c r="B25" s="509">
        <f>8+3</f>
        <v>11</v>
      </c>
      <c r="C25" s="510">
        <v>8</v>
      </c>
      <c r="D25" s="509">
        <v>-5</v>
      </c>
      <c r="E25" s="511">
        <v>0.35</v>
      </c>
      <c r="F25" s="509" t="s">
        <v>214</v>
      </c>
      <c r="G25" s="512">
        <v>50</v>
      </c>
      <c r="H25" s="550" t="s">
        <v>378</v>
      </c>
      <c r="I25" s="551"/>
      <c r="J25" s="551"/>
      <c r="K25" s="552"/>
      <c r="L25" s="553"/>
      <c r="M25" s="284">
        <v>10650</v>
      </c>
    </row>
    <row r="26" spans="1:13">
      <c r="A26" s="513" t="s">
        <v>182</v>
      </c>
      <c r="B26" s="514" t="s">
        <v>216</v>
      </c>
      <c r="C26" s="515" t="s">
        <v>216</v>
      </c>
      <c r="D26" s="514" t="s">
        <v>216</v>
      </c>
      <c r="E26" s="516" t="s">
        <v>216</v>
      </c>
      <c r="F26" s="514" t="s">
        <v>216</v>
      </c>
      <c r="G26" s="517">
        <v>0</v>
      </c>
      <c r="H26" s="518" t="s">
        <v>373</v>
      </c>
      <c r="I26" s="519"/>
      <c r="J26" s="519"/>
      <c r="K26" s="520"/>
      <c r="M26" s="492">
        <v>500</v>
      </c>
    </row>
    <row r="27" spans="1:13">
      <c r="A27" s="499" t="s">
        <v>215</v>
      </c>
      <c r="B27" s="500">
        <v>3</v>
      </c>
      <c r="C27" s="501">
        <v>0</v>
      </c>
      <c r="D27" s="500">
        <v>0</v>
      </c>
      <c r="E27" s="502">
        <v>0.15</v>
      </c>
      <c r="F27" s="500" t="s">
        <v>216</v>
      </c>
      <c r="G27" s="503">
        <v>5</v>
      </c>
      <c r="H27" s="504"/>
      <c r="I27" s="505"/>
      <c r="J27" s="505"/>
      <c r="K27" s="506"/>
      <c r="M27" s="423">
        <v>9257</v>
      </c>
    </row>
    <row r="28" spans="1:13" ht="16.2" thickBot="1">
      <c r="A28" s="272" t="s">
        <v>264</v>
      </c>
      <c r="B28" s="33" t="s">
        <v>216</v>
      </c>
      <c r="C28" s="33" t="s">
        <v>216</v>
      </c>
      <c r="D28" s="33" t="s">
        <v>216</v>
      </c>
      <c r="E28" s="41" t="s">
        <v>216</v>
      </c>
      <c r="F28" s="346" t="s">
        <v>216</v>
      </c>
      <c r="G28" s="34">
        <v>0</v>
      </c>
      <c r="H28" s="507" t="s">
        <v>373</v>
      </c>
      <c r="I28" s="42"/>
      <c r="J28" s="42"/>
      <c r="K28" s="43"/>
      <c r="M28" s="297">
        <v>500</v>
      </c>
    </row>
    <row r="29" spans="1:13" ht="16.8" thickTop="1" thickBot="1"/>
    <row r="30" spans="1:13" ht="16.8" thickTop="1" thickBot="1">
      <c r="A30" s="44"/>
      <c r="B30" s="36"/>
      <c r="D30" s="45" t="s">
        <v>74</v>
      </c>
      <c r="E30" s="46"/>
      <c r="F30" s="37" t="s">
        <v>8</v>
      </c>
      <c r="G30" s="21" t="s">
        <v>28</v>
      </c>
      <c r="H30" s="23" t="s">
        <v>138</v>
      </c>
      <c r="I30" s="23"/>
      <c r="J30" s="38"/>
      <c r="K30" s="47" t="s">
        <v>5</v>
      </c>
      <c r="M30" s="277" t="s">
        <v>185</v>
      </c>
    </row>
    <row r="31" spans="1:13">
      <c r="A31" s="44"/>
      <c r="B31" s="36"/>
      <c r="D31" s="460" t="s">
        <v>268</v>
      </c>
      <c r="E31" s="48"/>
      <c r="F31" s="49">
        <v>50</v>
      </c>
      <c r="G31" s="50">
        <f>F31/20</f>
        <v>2.5</v>
      </c>
      <c r="H31" s="51" t="s">
        <v>64</v>
      </c>
      <c r="I31" s="51"/>
      <c r="J31" s="40"/>
      <c r="K31" s="52"/>
      <c r="M31" s="284">
        <v>0</v>
      </c>
    </row>
    <row r="32" spans="1:13" ht="16.2" thickBot="1">
      <c r="D32" s="53"/>
      <c r="E32" s="54"/>
      <c r="F32" s="55"/>
      <c r="G32" s="56"/>
      <c r="H32" s="57"/>
      <c r="I32" s="57"/>
      <c r="J32" s="58"/>
      <c r="K32" s="59"/>
      <c r="M32" s="297"/>
    </row>
    <row r="33" spans="4:13" ht="16.8" thickTop="1" thickBot="1"/>
    <row r="34" spans="4:13" ht="16.8" thickTop="1" thickBot="1">
      <c r="D34" s="45" t="s">
        <v>183</v>
      </c>
      <c r="E34" s="38"/>
      <c r="F34" s="38"/>
      <c r="G34" s="38"/>
      <c r="H34" s="275" t="s">
        <v>8</v>
      </c>
      <c r="I34" s="275" t="s">
        <v>4</v>
      </c>
      <c r="J34" s="275" t="s">
        <v>184</v>
      </c>
      <c r="K34" s="39" t="s">
        <v>83</v>
      </c>
      <c r="L34" s="276"/>
      <c r="M34" s="277" t="s">
        <v>185</v>
      </c>
    </row>
    <row r="35" spans="4:13">
      <c r="D35" s="278" t="s">
        <v>263</v>
      </c>
      <c r="E35" s="279"/>
      <c r="F35" s="279"/>
      <c r="G35" s="280"/>
      <c r="H35" s="281">
        <v>0</v>
      </c>
      <c r="I35" s="282">
        <v>2</v>
      </c>
      <c r="J35" s="282">
        <v>4</v>
      </c>
      <c r="K35" s="283"/>
      <c r="L35" s="276"/>
      <c r="M35" s="284">
        <f>250*H35</f>
        <v>0</v>
      </c>
    </row>
    <row r="36" spans="4:13">
      <c r="D36" s="285" t="s">
        <v>265</v>
      </c>
      <c r="E36" s="286"/>
      <c r="F36" s="286"/>
      <c r="G36" s="287"/>
      <c r="H36" s="288">
        <v>1</v>
      </c>
      <c r="I36" s="17">
        <v>1</v>
      </c>
      <c r="J36" s="17">
        <v>1</v>
      </c>
      <c r="K36" s="289" t="s">
        <v>266</v>
      </c>
      <c r="L36" s="276"/>
      <c r="M36" s="290">
        <v>750</v>
      </c>
    </row>
    <row r="37" spans="4:13" ht="16.2" thickBot="1">
      <c r="D37" s="291" t="s">
        <v>284</v>
      </c>
      <c r="E37" s="292"/>
      <c r="F37" s="292"/>
      <c r="G37" s="293"/>
      <c r="H37" s="294" t="s">
        <v>186</v>
      </c>
      <c r="I37" s="295">
        <v>2</v>
      </c>
      <c r="J37" s="295">
        <v>4</v>
      </c>
      <c r="K37" s="296"/>
      <c r="L37" s="276"/>
      <c r="M37" s="297">
        <f>H37*300</f>
        <v>300</v>
      </c>
    </row>
    <row r="38" spans="4:13" ht="16.2" thickTop="1"/>
  </sheetData>
  <phoneticPr fontId="0" type="noConversion"/>
  <conditionalFormatting sqref="I22">
    <cfRule type="cellIs" dxfId="31" priority="35" operator="equal">
      <formula>20</formula>
    </cfRule>
    <cfRule type="cellIs" dxfId="30" priority="36" operator="equal">
      <formula>1</formula>
    </cfRule>
  </conditionalFormatting>
  <conditionalFormatting sqref="I11:I12">
    <cfRule type="cellIs" dxfId="29" priority="33" operator="equal">
      <formula>20</formula>
    </cfRule>
    <cfRule type="cellIs" dxfId="28" priority="34" operator="equal">
      <formula>1</formula>
    </cfRule>
  </conditionalFormatting>
  <conditionalFormatting sqref="I15">
    <cfRule type="cellIs" dxfId="27" priority="31" operator="equal">
      <formula>20</formula>
    </cfRule>
    <cfRule type="cellIs" dxfId="26" priority="32" operator="equal">
      <formula>1</formula>
    </cfRule>
  </conditionalFormatting>
  <conditionalFormatting sqref="I11:I12">
    <cfRule type="cellIs" dxfId="25" priority="29" operator="equal">
      <formula>20</formula>
    </cfRule>
    <cfRule type="cellIs" dxfId="24" priority="30" operator="equal">
      <formula>1</formula>
    </cfRule>
  </conditionalFormatting>
  <conditionalFormatting sqref="I7:I8">
    <cfRule type="cellIs" dxfId="23" priority="27" operator="equal">
      <formula>20</formula>
    </cfRule>
    <cfRule type="cellIs" dxfId="22" priority="28" operator="equal">
      <formula>1</formula>
    </cfRule>
  </conditionalFormatting>
  <conditionalFormatting sqref="I3 I5">
    <cfRule type="cellIs" dxfId="21" priority="25" operator="equal">
      <formula>20</formula>
    </cfRule>
    <cfRule type="cellIs" dxfId="20" priority="26" operator="equal">
      <formula>1</formula>
    </cfRule>
  </conditionalFormatting>
  <conditionalFormatting sqref="I18">
    <cfRule type="cellIs" dxfId="19" priority="17" operator="equal">
      <formula>20</formula>
    </cfRule>
    <cfRule type="cellIs" dxfId="18" priority="18" operator="equal">
      <formula>1</formula>
    </cfRule>
  </conditionalFormatting>
  <conditionalFormatting sqref="I6">
    <cfRule type="cellIs" dxfId="17" priority="15" operator="equal">
      <formula>20</formula>
    </cfRule>
    <cfRule type="cellIs" dxfId="16" priority="16" operator="equal">
      <formula>1</formula>
    </cfRule>
  </conditionalFormatting>
  <conditionalFormatting sqref="I4">
    <cfRule type="cellIs" dxfId="15" priority="13" operator="equal">
      <formula>20</formula>
    </cfRule>
    <cfRule type="cellIs" dxfId="14" priority="14" operator="equal">
      <formula>1</formula>
    </cfRule>
  </conditionalFormatting>
  <conditionalFormatting sqref="I9">
    <cfRule type="cellIs" dxfId="13" priority="11" operator="equal">
      <formula>20</formula>
    </cfRule>
    <cfRule type="cellIs" dxfId="12" priority="12" operator="equal">
      <formula>1</formula>
    </cfRule>
  </conditionalFormatting>
  <conditionalFormatting sqref="I13">
    <cfRule type="cellIs" dxfId="11" priority="9" operator="equal">
      <formula>20</formula>
    </cfRule>
    <cfRule type="cellIs" dxfId="10" priority="10" operator="equal">
      <formula>1</formula>
    </cfRule>
  </conditionalFormatting>
  <conditionalFormatting sqref="I13">
    <cfRule type="cellIs" dxfId="9" priority="7" operator="equal">
      <formula>20</formula>
    </cfRule>
    <cfRule type="cellIs" dxfId="8" priority="8" operator="equal">
      <formula>1</formula>
    </cfRule>
  </conditionalFormatting>
  <conditionalFormatting sqref="I10">
    <cfRule type="cellIs" dxfId="7" priority="5" operator="equal">
      <formula>20</formula>
    </cfRule>
    <cfRule type="cellIs" dxfId="6" priority="6" operator="equal">
      <formula>1</formula>
    </cfRule>
  </conditionalFormatting>
  <conditionalFormatting sqref="I14">
    <cfRule type="cellIs" dxfId="5" priority="3" operator="equal">
      <formula>20</formula>
    </cfRule>
    <cfRule type="cellIs" dxfId="4" priority="4" operator="equal">
      <formula>1</formula>
    </cfRule>
  </conditionalFormatting>
  <conditionalFormatting sqref="I19:I21">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workbookViewId="0"/>
  </sheetViews>
  <sheetFormatPr defaultColWidth="13" defaultRowHeight="15.6"/>
  <cols>
    <col min="1" max="1" width="27.5" style="32" bestFit="1" customWidth="1"/>
    <col min="2" max="2" width="4.69921875" style="32" bestFit="1" customWidth="1"/>
    <col min="3" max="3" width="4.3984375" style="36" bestFit="1" customWidth="1"/>
    <col min="4" max="4" width="14.5" style="19" bestFit="1" customWidth="1"/>
    <col min="5" max="5" width="15.19921875" style="19" bestFit="1" customWidth="1"/>
    <col min="6" max="6" width="2.69921875" style="19" customWidth="1"/>
    <col min="7" max="7" width="8.296875" style="19" bestFit="1" customWidth="1"/>
    <col min="8" max="16384" width="13" style="19"/>
  </cols>
  <sheetData>
    <row r="1" spans="1:7" ht="23.4" thickBot="1">
      <c r="A1" s="18" t="s">
        <v>80</v>
      </c>
      <c r="B1" s="18"/>
      <c r="C1" s="60"/>
      <c r="D1" s="18"/>
      <c r="E1" s="18"/>
    </row>
    <row r="2" spans="1:7" s="32" customFormat="1" ht="16.8" thickTop="1" thickBot="1">
      <c r="A2" s="61" t="s">
        <v>81</v>
      </c>
      <c r="B2" s="61" t="s">
        <v>8</v>
      </c>
      <c r="C2" s="62" t="s">
        <v>28</v>
      </c>
      <c r="D2" s="63" t="s">
        <v>82</v>
      </c>
      <c r="E2" s="64" t="s">
        <v>83</v>
      </c>
      <c r="G2" s="298" t="s">
        <v>185</v>
      </c>
    </row>
    <row r="3" spans="1:7">
      <c r="A3" s="238" t="s">
        <v>178</v>
      </c>
      <c r="B3" s="453">
        <v>1</v>
      </c>
      <c r="C3" s="66">
        <v>0</v>
      </c>
      <c r="D3" s="67"/>
      <c r="E3" s="68"/>
      <c r="G3" s="299">
        <v>25</v>
      </c>
    </row>
    <row r="4" spans="1:7">
      <c r="A4" s="65" t="s">
        <v>351</v>
      </c>
      <c r="B4" s="451">
        <v>1</v>
      </c>
      <c r="C4" s="70" t="s">
        <v>162</v>
      </c>
      <c r="D4" s="67"/>
      <c r="E4" s="68"/>
      <c r="G4" s="343" t="s">
        <v>216</v>
      </c>
    </row>
    <row r="5" spans="1:7">
      <c r="A5" s="65" t="s">
        <v>157</v>
      </c>
      <c r="B5" s="450">
        <v>1</v>
      </c>
      <c r="C5" s="66">
        <v>0.5</v>
      </c>
      <c r="D5" s="71"/>
      <c r="E5" s="72"/>
      <c r="G5" s="345">
        <v>0.5</v>
      </c>
    </row>
    <row r="6" spans="1:7">
      <c r="A6" s="65" t="s">
        <v>370</v>
      </c>
      <c r="B6" s="450">
        <v>4</v>
      </c>
      <c r="C6" s="274">
        <v>0</v>
      </c>
      <c r="D6" s="71"/>
      <c r="E6" s="72"/>
      <c r="G6" s="299">
        <f>1000*B6</f>
        <v>4000</v>
      </c>
    </row>
    <row r="7" spans="1:7">
      <c r="A7" s="573" t="s">
        <v>395</v>
      </c>
      <c r="B7" s="574">
        <v>1</v>
      </c>
      <c r="C7" s="574">
        <v>0.5</v>
      </c>
      <c r="D7" s="70"/>
      <c r="E7" s="575"/>
      <c r="F7" s="576"/>
      <c r="G7" s="577">
        <v>750</v>
      </c>
    </row>
    <row r="8" spans="1:7">
      <c r="A8" s="65" t="s">
        <v>278</v>
      </c>
      <c r="B8" s="450">
        <v>1</v>
      </c>
      <c r="C8" s="274">
        <v>0</v>
      </c>
      <c r="D8" s="71"/>
      <c r="E8" s="72"/>
      <c r="G8" s="299">
        <v>4000</v>
      </c>
    </row>
    <row r="9" spans="1:7">
      <c r="A9" s="65" t="s">
        <v>261</v>
      </c>
      <c r="B9" s="450">
        <v>1</v>
      </c>
      <c r="C9" s="274">
        <v>1</v>
      </c>
      <c r="D9" s="71"/>
      <c r="E9" s="72"/>
      <c r="G9" s="299">
        <v>4000</v>
      </c>
    </row>
    <row r="10" spans="1:7">
      <c r="A10" s="65" t="s">
        <v>180</v>
      </c>
      <c r="B10" s="450">
        <v>1</v>
      </c>
      <c r="C10" s="274">
        <v>2</v>
      </c>
      <c r="D10" s="71"/>
      <c r="E10" s="72"/>
      <c r="G10" s="299">
        <v>4000</v>
      </c>
    </row>
    <row r="11" spans="1:7" ht="16.2" thickBot="1">
      <c r="A11" s="342" t="s">
        <v>181</v>
      </c>
      <c r="B11" s="452">
        <v>1</v>
      </c>
      <c r="C11" s="229">
        <v>0</v>
      </c>
      <c r="D11" s="230"/>
      <c r="E11" s="231"/>
      <c r="G11" s="300">
        <v>4000</v>
      </c>
    </row>
    <row r="12" spans="1:7" ht="24" thickTop="1" thickBot="1">
      <c r="A12" s="18" t="s">
        <v>84</v>
      </c>
      <c r="B12" s="18"/>
      <c r="C12" s="232"/>
      <c r="D12" s="18"/>
      <c r="E12" s="233"/>
    </row>
    <row r="13" spans="1:7" ht="16.8" thickTop="1" thickBot="1">
      <c r="A13" s="61" t="s">
        <v>81</v>
      </c>
      <c r="B13" s="61" t="s">
        <v>8</v>
      </c>
      <c r="C13" s="62" t="s">
        <v>28</v>
      </c>
      <c r="D13" s="63" t="s">
        <v>82</v>
      </c>
      <c r="E13" s="64" t="s">
        <v>83</v>
      </c>
      <c r="G13" s="298" t="s">
        <v>185</v>
      </c>
    </row>
    <row r="14" spans="1:7">
      <c r="A14" s="69" t="s">
        <v>158</v>
      </c>
      <c r="B14" s="451">
        <v>1</v>
      </c>
      <c r="C14" s="66">
        <v>0</v>
      </c>
      <c r="D14" s="234"/>
      <c r="E14" s="68"/>
      <c r="G14" s="299">
        <v>0</v>
      </c>
    </row>
    <row r="15" spans="1:7">
      <c r="A15" s="481" t="s">
        <v>279</v>
      </c>
      <c r="B15" s="478">
        <v>1</v>
      </c>
      <c r="C15" s="274">
        <v>5</v>
      </c>
      <c r="D15" s="479"/>
      <c r="E15" s="72"/>
      <c r="G15" s="480">
        <v>3000</v>
      </c>
    </row>
    <row r="16" spans="1:7" ht="16.2" thickBot="1">
      <c r="A16" s="342" t="s">
        <v>287</v>
      </c>
      <c r="B16" s="452">
        <v>1</v>
      </c>
      <c r="C16" s="229">
        <v>0.2</v>
      </c>
      <c r="D16" s="568" t="s">
        <v>390</v>
      </c>
      <c r="E16" s="231"/>
      <c r="G16" s="300" t="s">
        <v>288</v>
      </c>
    </row>
    <row r="17" spans="1:7" ht="24" thickTop="1" thickBot="1">
      <c r="A17" s="191"/>
      <c r="B17" s="191"/>
      <c r="D17" s="237" t="s">
        <v>187</v>
      </c>
      <c r="E17" s="233"/>
    </row>
    <row r="18" spans="1:7" ht="16.8" thickTop="1" thickBot="1">
      <c r="A18" s="61" t="s">
        <v>81</v>
      </c>
      <c r="B18" s="61" t="s">
        <v>8</v>
      </c>
      <c r="C18" s="62" t="s">
        <v>28</v>
      </c>
      <c r="D18" s="63" t="s">
        <v>82</v>
      </c>
      <c r="E18" s="64" t="s">
        <v>83</v>
      </c>
      <c r="G18" s="298" t="s">
        <v>185</v>
      </c>
    </row>
    <row r="19" spans="1:7">
      <c r="A19" s="238" t="s">
        <v>155</v>
      </c>
      <c r="B19" s="453">
        <v>1</v>
      </c>
      <c r="C19" s="239">
        <v>8</v>
      </c>
      <c r="D19" s="234"/>
      <c r="E19" s="68"/>
      <c r="G19" s="299">
        <v>0</v>
      </c>
    </row>
    <row r="20" spans="1:7">
      <c r="A20" s="69" t="s">
        <v>156</v>
      </c>
      <c r="B20" s="451">
        <v>1</v>
      </c>
      <c r="C20" s="66">
        <v>30</v>
      </c>
      <c r="D20" s="234"/>
      <c r="E20" s="68"/>
      <c r="G20" s="299">
        <v>0</v>
      </c>
    </row>
    <row r="21" spans="1:7">
      <c r="A21" s="65" t="s">
        <v>188</v>
      </c>
      <c r="B21" s="450">
        <v>1</v>
      </c>
      <c r="C21" s="66">
        <v>10</v>
      </c>
      <c r="D21" s="240"/>
      <c r="E21" s="68"/>
      <c r="G21" s="343"/>
    </row>
    <row r="22" spans="1:7" ht="16.2" thickBot="1">
      <c r="A22" s="235"/>
      <c r="B22" s="454"/>
      <c r="C22" s="229"/>
      <c r="D22" s="236"/>
      <c r="E22" s="231"/>
      <c r="G22" s="300"/>
    </row>
    <row r="23" spans="1:7" ht="23.4" thickTop="1">
      <c r="A23" s="191" t="s">
        <v>164</v>
      </c>
      <c r="B23" s="36">
        <f>SUM(C19:C22)</f>
        <v>48</v>
      </c>
      <c r="C23" s="19"/>
      <c r="D23" s="241"/>
      <c r="E23" s="233"/>
    </row>
    <row r="24" spans="1:7">
      <c r="E24" s="191" t="s">
        <v>212</v>
      </c>
      <c r="G24" s="344">
        <f>SUM(Martial!M3:M37,Equipment!G3:G22)</f>
        <v>68400.5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13.296875" style="191" bestFit="1" customWidth="1"/>
    <col min="2" max="2" width="10.5" style="340" customWidth="1"/>
    <col min="3" max="3" width="5.8984375" style="340" customWidth="1"/>
    <col min="4" max="4" width="13.69921875" style="191" bestFit="1" customWidth="1"/>
    <col min="5" max="5" width="9.59765625" style="340" bestFit="1" customWidth="1"/>
    <col min="6" max="6" width="15.19921875" style="191" bestFit="1" customWidth="1"/>
    <col min="7" max="7" width="6.8984375" style="340" bestFit="1" customWidth="1"/>
    <col min="8" max="16384" width="13" style="276"/>
  </cols>
  <sheetData>
    <row r="1" spans="1:7" ht="29.4" thickTop="1" thickBot="1">
      <c r="A1" s="301" t="s">
        <v>238</v>
      </c>
      <c r="B1" s="302"/>
      <c r="C1" s="302"/>
      <c r="D1" s="303"/>
      <c r="E1" s="304"/>
      <c r="F1" s="305"/>
      <c r="G1" s="306" t="s">
        <v>201</v>
      </c>
    </row>
    <row r="2" spans="1:7" ht="17.399999999999999" thickTop="1">
      <c r="A2" s="201" t="s">
        <v>0</v>
      </c>
      <c r="B2" s="341" t="s">
        <v>203</v>
      </c>
      <c r="C2" s="307"/>
      <c r="D2" s="203" t="s">
        <v>1</v>
      </c>
      <c r="E2" s="204" t="s">
        <v>191</v>
      </c>
      <c r="F2" s="203" t="s">
        <v>192</v>
      </c>
      <c r="G2" s="308" t="s">
        <v>202</v>
      </c>
    </row>
    <row r="3" spans="1:7" ht="17.399999999999999" thickBot="1">
      <c r="A3" s="309" t="s">
        <v>193</v>
      </c>
      <c r="B3" s="310" t="s">
        <v>194</v>
      </c>
      <c r="C3" s="311"/>
      <c r="D3" s="312"/>
      <c r="E3" s="313"/>
      <c r="F3" s="312" t="s">
        <v>195</v>
      </c>
      <c r="G3" s="314" t="s">
        <v>128</v>
      </c>
    </row>
    <row r="4" spans="1:7" ht="17.399999999999999" thickTop="1">
      <c r="A4" s="209" t="s">
        <v>2</v>
      </c>
      <c r="B4" s="315">
        <v>19</v>
      </c>
      <c r="C4" s="316" t="str">
        <f t="shared" ref="C4:C9" si="0">IF(B4&gt;9.9,CONCATENATE("+",ROUNDDOWN((B4-10)/2,0)),ROUNDUP((B4-10)/2,0))</f>
        <v>+4</v>
      </c>
      <c r="D4" s="317" t="s">
        <v>16</v>
      </c>
      <c r="E4" s="318">
        <v>45</v>
      </c>
      <c r="F4" s="319">
        <v>45</v>
      </c>
      <c r="G4" s="320"/>
    </row>
    <row r="5" spans="1:7" ht="17.399999999999999" thickBot="1">
      <c r="A5" s="212" t="s">
        <v>3</v>
      </c>
      <c r="B5" s="321">
        <v>13</v>
      </c>
      <c r="C5" s="322" t="str">
        <f t="shared" si="0"/>
        <v>+1</v>
      </c>
      <c r="D5" s="323" t="s">
        <v>196</v>
      </c>
      <c r="E5" s="324">
        <v>10</v>
      </c>
      <c r="F5" s="325">
        <v>22</v>
      </c>
      <c r="G5" s="326"/>
    </row>
    <row r="6" spans="1:7" ht="17.399999999999999" thickTop="1">
      <c r="A6" s="216" t="s">
        <v>14</v>
      </c>
      <c r="B6" s="321">
        <v>17</v>
      </c>
      <c r="C6" s="322" t="str">
        <f t="shared" si="0"/>
        <v>+3</v>
      </c>
      <c r="D6" s="327" t="s">
        <v>197</v>
      </c>
      <c r="E6" s="328">
        <v>5</v>
      </c>
      <c r="F6" s="329"/>
      <c r="G6" s="326"/>
    </row>
    <row r="7" spans="1:7" ht="16.8">
      <c r="A7" s="330" t="s">
        <v>15</v>
      </c>
      <c r="B7" s="321">
        <v>6</v>
      </c>
      <c r="C7" s="322">
        <f t="shared" si="0"/>
        <v>-2</v>
      </c>
      <c r="D7" s="327" t="s">
        <v>198</v>
      </c>
      <c r="E7" s="331">
        <v>10</v>
      </c>
      <c r="F7" s="332"/>
      <c r="G7" s="326"/>
    </row>
    <row r="8" spans="1:7" ht="16.8">
      <c r="A8" s="221" t="s">
        <v>17</v>
      </c>
      <c r="B8" s="321">
        <v>11</v>
      </c>
      <c r="C8" s="333" t="str">
        <f t="shared" si="0"/>
        <v>+0</v>
      </c>
      <c r="D8" s="334" t="s">
        <v>199</v>
      </c>
      <c r="E8" s="331">
        <v>5</v>
      </c>
      <c r="F8" s="332"/>
      <c r="G8" s="326"/>
    </row>
    <row r="9" spans="1:7" ht="17.399999999999999" thickBot="1">
      <c r="A9" s="223" t="s">
        <v>13</v>
      </c>
      <c r="B9" s="335">
        <v>4</v>
      </c>
      <c r="C9" s="336">
        <f t="shared" si="0"/>
        <v>-3</v>
      </c>
      <c r="D9" s="337" t="s">
        <v>200</v>
      </c>
      <c r="E9" s="338">
        <v>4</v>
      </c>
      <c r="F9" s="332"/>
      <c r="G9" s="326"/>
    </row>
    <row r="10" spans="1:7" ht="17.399999999999999" thickTop="1">
      <c r="A10" s="201"/>
      <c r="B10" s="208"/>
      <c r="C10" s="208"/>
      <c r="D10" s="208"/>
      <c r="E10" s="206"/>
      <c r="F10" s="339"/>
      <c r="G10" s="326"/>
    </row>
    <row r="11" spans="1:7" ht="16.8">
      <c r="A11" s="225"/>
      <c r="B11" s="208"/>
      <c r="C11" s="208"/>
      <c r="D11" s="208"/>
      <c r="E11" s="206"/>
      <c r="F11" s="208"/>
      <c r="G11" s="206"/>
    </row>
    <row r="12" spans="1:7" ht="17.399999999999999" thickBot="1">
      <c r="A12" s="226"/>
      <c r="B12" s="227"/>
      <c r="C12" s="227"/>
      <c r="D12" s="227"/>
      <c r="E12" s="228"/>
      <c r="F12" s="227"/>
      <c r="G12" s="228"/>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Personal File</vt:lpstr>
      <vt:lpstr>Skills</vt:lpstr>
      <vt:lpstr>Sune</vt:lpstr>
      <vt:lpstr>Spells</vt:lpstr>
      <vt:lpstr>Feats</vt:lpstr>
      <vt:lpstr>Martial</vt:lpstr>
      <vt:lpstr>Equipment</vt:lpstr>
      <vt:lpstr>Mount</vt:lpstr>
      <vt:lpstr>Feats!OLE_LINK1</vt:lpstr>
      <vt:lpstr>Mount!Print_Area</vt:lpstr>
      <vt:lpstr>'Personal File'!Print_Area</vt:lpstr>
      <vt:lpstr>Skills!Print_Area</vt:lpstr>
      <vt:lpstr>Sune!Print_Area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2019-06-07T11:23:32Z</dcterms:modified>
</cp:coreProperties>
</file>