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Spellbook" sheetId="21" r:id="rId3"/>
    <sheet name="Warmage" sheetId="24" r:id="rId4"/>
    <sheet name="Spells" sheetId="22"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6">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4">Spells!#REF!</definedName>
    <definedName name="_xlnm.Print_Area" localSheetId="3">Warmage!$A$1:$I$4</definedName>
  </definedNames>
  <calcPr calcId="145621"/>
</workbook>
</file>

<file path=xl/calcChain.xml><?xml version="1.0" encoding="utf-8"?>
<calcChain xmlns="http://schemas.openxmlformats.org/spreadsheetml/2006/main">
  <c r="B8" i="4" l="1"/>
  <c r="B11" i="4" l="1"/>
  <c r="B10" i="4"/>
  <c r="C3" i="22" l="1"/>
  <c r="C4" i="22"/>
  <c r="C5" i="22"/>
  <c r="C6" i="22"/>
  <c r="C16" i="22"/>
  <c r="C17" i="22"/>
  <c r="C8" i="22"/>
  <c r="C7" i="22"/>
  <c r="C18" i="22"/>
  <c r="C15" i="22"/>
  <c r="C9" i="22"/>
  <c r="C10" i="22"/>
  <c r="C11" i="22"/>
  <c r="C12" i="22"/>
  <c r="C13" i="22"/>
  <c r="C14" i="22"/>
  <c r="C20" i="22"/>
  <c r="C23" i="22"/>
  <c r="C22" i="22"/>
  <c r="C21" i="22"/>
  <c r="C19" i="22"/>
  <c r="C26" i="22"/>
  <c r="C24" i="22"/>
  <c r="C25" i="22"/>
  <c r="C28" i="22"/>
  <c r="C27" i="22"/>
  <c r="C31" i="22"/>
  <c r="C29" i="22"/>
  <c r="C30" i="22"/>
  <c r="C32" i="22"/>
  <c r="C33" i="22"/>
  <c r="C34" i="22"/>
  <c r="E3" i="22" l="1"/>
  <c r="E4" i="22"/>
  <c r="E5" i="22"/>
  <c r="E6" i="22"/>
  <c r="E16" i="22"/>
  <c r="E17" i="22"/>
  <c r="E8" i="22"/>
  <c r="E7" i="22"/>
  <c r="E18" i="22"/>
  <c r="E15" i="22"/>
  <c r="E9" i="22"/>
  <c r="E10" i="22"/>
  <c r="E11" i="22"/>
  <c r="E12" i="22"/>
  <c r="E13" i="22"/>
  <c r="E14" i="22"/>
  <c r="E20" i="22"/>
  <c r="E23" i="22"/>
  <c r="E22" i="22"/>
  <c r="E21" i="22"/>
  <c r="E19" i="22"/>
  <c r="E26" i="22"/>
  <c r="E24" i="22"/>
  <c r="E25" i="22"/>
  <c r="E28" i="22"/>
  <c r="E27" i="22"/>
  <c r="E31" i="22"/>
  <c r="E29" i="22"/>
  <c r="E30" i="22"/>
  <c r="E32" i="22"/>
  <c r="E33" i="22"/>
  <c r="E34" i="22"/>
  <c r="B30" i="22" l="1"/>
  <c r="I3" i="6"/>
  <c r="I4" i="6"/>
  <c r="B24" i="22"/>
  <c r="B23" i="22"/>
  <c r="B14" i="22"/>
  <c r="B13" i="22"/>
  <c r="B12" i="22"/>
  <c r="B11" i="22"/>
  <c r="B10" i="22"/>
  <c r="B9" i="22"/>
  <c r="B7" i="22"/>
  <c r="B8" i="22"/>
  <c r="I6" i="22" l="1"/>
  <c r="J6" i="22"/>
  <c r="K6" i="22"/>
  <c r="L6" i="22"/>
  <c r="M6" i="22"/>
  <c r="M14" i="22" l="1"/>
  <c r="L14" i="22"/>
  <c r="K14" i="22"/>
  <c r="M5" i="22" l="1"/>
  <c r="L5" i="22"/>
  <c r="B5" i="15" l="1"/>
  <c r="B4" i="15"/>
  <c r="B3" i="15"/>
  <c r="E59" i="15" l="1"/>
  <c r="M22" i="6" l="1"/>
  <c r="M23" i="6"/>
  <c r="M24" i="6"/>
  <c r="M25" i="6"/>
  <c r="M26" i="6"/>
  <c r="M27" i="6"/>
  <c r="J5" i="22" l="1"/>
  <c r="J14" i="22"/>
  <c r="I17" i="22"/>
  <c r="M17" i="22" s="1"/>
  <c r="K17" i="22" l="1"/>
  <c r="H57" i="15"/>
  <c r="B12" i="4" l="1"/>
  <c r="I9" i="6" l="1"/>
  <c r="I8" i="6"/>
  <c r="I10" i="6"/>
  <c r="H9" i="6" l="1"/>
  <c r="J9" i="6" s="1"/>
  <c r="K5" i="22" l="1"/>
  <c r="I5" i="6" l="1"/>
  <c r="B59" i="15" l="1"/>
  <c r="H38" i="15"/>
  <c r="I5" i="22" l="1"/>
  <c r="I18" i="22" l="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K18" i="22" l="1"/>
  <c r="H10" i="6" s="1"/>
  <c r="J10" i="6" s="1"/>
  <c r="M18" i="22"/>
  <c r="G20" i="19"/>
  <c r="G26" i="19" s="1"/>
  <c r="C20" i="19"/>
  <c r="C25" i="19" s="1"/>
  <c r="H4" i="15" l="1"/>
  <c r="H3" i="15"/>
  <c r="I14" i="22" l="1"/>
  <c r="H5" i="15" l="1"/>
  <c r="H55" i="15" l="1"/>
  <c r="C11" i="19" l="1"/>
  <c r="E11" i="4" s="1"/>
  <c r="C10" i="4" l="1"/>
  <c r="H4" i="6" l="1"/>
  <c r="J4" i="6" s="1"/>
  <c r="H3" i="6"/>
  <c r="J3" i="6" s="1"/>
  <c r="H5" i="6"/>
  <c r="J5" i="6" s="1"/>
  <c r="D9" i="15"/>
  <c r="C5" i="6"/>
  <c r="E9" i="15" l="1"/>
  <c r="G9" i="15"/>
  <c r="I9" i="15" s="1"/>
  <c r="C12" i="4"/>
  <c r="E12" i="4" s="1"/>
  <c r="D3" i="15" l="1"/>
  <c r="D10" i="15"/>
  <c r="C11" i="4"/>
  <c r="E13" i="4" s="1"/>
  <c r="C13" i="4"/>
  <c r="C14" i="4"/>
  <c r="D5" i="15" s="1"/>
  <c r="C15" i="4"/>
  <c r="L25" i="22" l="1"/>
  <c r="L22" i="22"/>
  <c r="L23" i="22"/>
  <c r="L24" i="22"/>
  <c r="E15" i="4"/>
  <c r="E14" i="4" s="1"/>
  <c r="D48" i="15"/>
  <c r="D44" i="15"/>
  <c r="D51" i="15"/>
  <c r="D47" i="15"/>
  <c r="D43" i="15"/>
  <c r="D50" i="15"/>
  <c r="D46" i="15"/>
  <c r="D45" i="15"/>
  <c r="D49" i="15"/>
  <c r="D8" i="15"/>
  <c r="D15" i="15"/>
  <c r="D13" i="15"/>
  <c r="G3" i="15"/>
  <c r="I3" i="15" s="1"/>
  <c r="E3" i="15"/>
  <c r="E10" i="15"/>
  <c r="G10" i="15"/>
  <c r="I10" i="15" s="1"/>
  <c r="D4" i="15"/>
  <c r="H8" i="6"/>
  <c r="J8"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+1 Small
</t>
        </r>
        <r>
          <rPr>
            <i/>
            <sz val="12"/>
            <color indexed="81"/>
            <rFont val="Times New Roman"/>
            <family val="1"/>
          </rPr>
          <t>haste +1        bless +1
shaken -2</t>
        </r>
      </text>
    </comment>
    <comment ref="E8" authorId="0">
      <text>
        <r>
          <rPr>
            <i/>
            <sz val="12"/>
            <color indexed="81"/>
            <rFont val="Times New Roman"/>
            <family val="1"/>
          </rPr>
          <t xml:space="preserve">Heart of Air:  </t>
        </r>
        <r>
          <rPr>
            <sz val="12"/>
            <color indexed="81"/>
            <rFont val="Times New Roman"/>
            <family val="1"/>
          </rPr>
          <t xml:space="preserve">+10’ to flight speed
</t>
        </r>
        <r>
          <rPr>
            <i/>
            <sz val="12"/>
            <color indexed="81"/>
            <rFont val="Times New Roman"/>
            <family val="1"/>
          </rPr>
          <t xml:space="preserve">Heart of Fire:  </t>
        </r>
        <r>
          <rPr>
            <sz val="12"/>
            <color indexed="81"/>
            <rFont val="Times New Roman"/>
            <family val="1"/>
          </rPr>
          <t>+10’ to land speed</t>
        </r>
      </text>
    </comment>
    <comment ref="E9" authorId="0">
      <text>
        <r>
          <rPr>
            <sz val="12"/>
            <color indexed="81"/>
            <rFont val="Times New Roman"/>
            <family val="1"/>
          </rPr>
          <t>Next level at 78,000 XPs</t>
        </r>
      </text>
    </comment>
    <comment ref="B10" authorId="0">
      <text>
        <r>
          <rPr>
            <sz val="12"/>
            <color indexed="81"/>
            <rFont val="Times New Roman"/>
            <family val="1"/>
          </rPr>
          <t xml:space="preserve">+4 </t>
        </r>
        <r>
          <rPr>
            <i/>
            <sz val="12"/>
            <color indexed="81"/>
            <rFont val="Times New Roman"/>
            <family val="1"/>
          </rPr>
          <t>bull’s strength
elation +2</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
elation +2</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[(5 * 4 Ultimate Magus) * 75%]
+ (10 * 2 Con)</t>
        </r>
      </text>
    </comment>
    <comment ref="E13" authorId="0">
      <text>
        <r>
          <rPr>
            <i/>
            <sz val="12"/>
            <color indexed="81"/>
            <rFont val="Times New Roman"/>
            <family val="1"/>
          </rPr>
          <t>+4 shield
+1 haste
+3 shield of faith</t>
        </r>
      </text>
    </comment>
    <comment ref="E15"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Vest of Resistance +3</t>
        </r>
      </text>
    </comment>
    <comment ref="F4" authorId="0">
      <text>
        <r>
          <rPr>
            <i/>
            <sz val="12"/>
            <color indexed="81"/>
            <rFont val="Times New Roman"/>
            <family val="1"/>
          </rPr>
          <t>Vest of Resistance +3
nightshield +3
haste +1</t>
        </r>
      </text>
    </comment>
    <comment ref="F5" authorId="0">
      <text>
        <r>
          <rPr>
            <i/>
            <sz val="12"/>
            <color indexed="81"/>
            <rFont val="Times New Roman"/>
            <family val="1"/>
          </rPr>
          <t>Vest of Resistance +3</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2" authorId="0">
      <text>
        <r>
          <rPr>
            <sz val="12"/>
            <color indexed="81"/>
            <rFont val="Times New Roman"/>
            <family val="1"/>
          </rPr>
          <t>Skill Focus +2</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4" authorId="0">
      <text>
        <r>
          <rPr>
            <sz val="12"/>
            <color indexed="81"/>
            <rFont val="Times New Roman"/>
            <family val="1"/>
          </rPr>
          <t>Cured leather</t>
        </r>
      </text>
    </comment>
    <comment ref="D36" authorId="0">
      <text>
        <r>
          <rPr>
            <sz val="12"/>
            <color indexed="81"/>
            <rFont val="Times New Roman"/>
            <family val="1"/>
          </rPr>
          <t>horse hair</t>
        </r>
      </text>
    </comment>
    <comment ref="D38" authorId="0">
      <text>
        <r>
          <rPr>
            <sz val="12"/>
            <color indexed="81"/>
            <rFont val="Times New Roman"/>
            <family val="1"/>
          </rPr>
          <t>Powdered Iron</t>
        </r>
      </text>
    </comment>
    <comment ref="D41" authorId="0">
      <text>
        <r>
          <rPr>
            <sz val="12"/>
            <color indexed="81"/>
            <rFont val="Times New Roman"/>
            <family val="1"/>
          </rPr>
          <t>Drop of mercury</t>
        </r>
      </text>
    </comment>
    <comment ref="D42" authorId="0">
      <text>
        <r>
          <rPr>
            <sz val="12"/>
            <color indexed="81"/>
            <rFont val="Times New Roman"/>
            <family val="1"/>
          </rPr>
          <t>piece of string &amp; bit of wood</t>
        </r>
      </text>
    </comment>
    <comment ref="D43" authorId="0">
      <text>
        <r>
          <rPr>
            <sz val="12"/>
            <color indexed="81"/>
            <rFont val="Times New Roman"/>
            <family val="1"/>
          </rPr>
          <t>Broken eggshell</t>
        </r>
      </text>
    </comment>
    <comment ref="D46" authorId="0">
      <text>
        <r>
          <rPr>
            <sz val="12"/>
            <color indexed="81"/>
            <rFont val="Times New Roman"/>
            <family val="1"/>
          </rPr>
          <t>Pinch of cat fur</t>
        </r>
      </text>
    </comment>
    <comment ref="D47" authorId="0">
      <text>
        <r>
          <rPr>
            <sz val="12"/>
            <color indexed="81"/>
            <rFont val="Times New Roman"/>
            <family val="1"/>
          </rPr>
          <t>tallow, bringstone, powdered iron</t>
        </r>
      </text>
    </comment>
    <comment ref="D48" authorId="0">
      <text>
        <r>
          <rPr>
            <sz val="12"/>
            <color indexed="81"/>
            <rFont val="Times New Roman"/>
            <family val="1"/>
          </rPr>
          <t>copper wire &amp; magnet</t>
        </r>
      </text>
    </comment>
    <comment ref="D49" authorId="0">
      <text>
        <r>
          <rPr>
            <sz val="12"/>
            <color indexed="81"/>
            <rFont val="Times New Roman"/>
            <family val="1"/>
          </rPr>
          <t>Salt</t>
        </r>
      </text>
    </comment>
    <comment ref="D52" authorId="0">
      <text>
        <r>
          <rPr>
            <sz val="12"/>
            <color indexed="81"/>
            <rFont val="Times New Roman"/>
            <family val="1"/>
          </rPr>
          <t>Pendulum</t>
        </r>
      </text>
    </comment>
    <comment ref="D58" authorId="0">
      <text>
        <r>
          <rPr>
            <sz val="12"/>
            <color indexed="81"/>
            <rFont val="Times New Roman"/>
            <family val="1"/>
          </rPr>
          <t>Prism, lens, or monocle</t>
        </r>
      </text>
    </comment>
    <comment ref="D59" authorId="0">
      <text>
        <r>
          <rPr>
            <sz val="12"/>
            <rFont val="Times New Roman"/>
            <family val="1"/>
          </rPr>
          <t>Bag and candle</t>
        </r>
      </text>
    </comment>
    <comment ref="D62" authorId="0">
      <text>
        <r>
          <rPr>
            <sz val="12"/>
            <color indexed="81"/>
            <rFont val="Times New Roman"/>
            <family val="1"/>
          </rPr>
          <t>Bat guano &amp; sulfur</t>
        </r>
      </text>
    </comment>
    <comment ref="D63" authorId="0">
      <text>
        <r>
          <rPr>
            <sz val="12"/>
            <color indexed="81"/>
            <rFont val="Times New Roman"/>
            <family val="1"/>
          </rPr>
          <t>Bird's wing feather</t>
        </r>
      </text>
    </comment>
    <comment ref="D64" authorId="0">
      <text>
        <r>
          <rPr>
            <sz val="12"/>
            <color indexed="81"/>
            <rFont val="Times New Roman"/>
            <family val="1"/>
          </rPr>
          <t>Pork rind or butter</t>
        </r>
      </text>
    </comment>
    <comment ref="D65" authorId="0">
      <text>
        <r>
          <rPr>
            <sz val="12"/>
            <color indexed="81"/>
            <rFont val="Times New Roman"/>
            <family val="1"/>
          </rPr>
          <t>tiny platinum shield worth 25 gps</t>
        </r>
      </text>
    </comment>
    <comment ref="D67" authorId="0">
      <text>
        <r>
          <rPr>
            <sz val="12"/>
            <color indexed="81"/>
            <rFont val="Times New Roman"/>
            <family val="1"/>
          </rPr>
          <t>Roots</t>
        </r>
      </text>
    </comment>
    <comment ref="D69" authorId="0">
      <text>
        <r>
          <rPr>
            <sz val="12"/>
            <color indexed="81"/>
            <rFont val="Times New Roman"/>
            <family val="1"/>
          </rPr>
          <t>Fur AND rod of amber or crystal</t>
        </r>
      </text>
    </comment>
    <comment ref="D70" authorId="0">
      <text>
        <r>
          <rPr>
            <sz val="12"/>
            <color indexed="81"/>
            <rFont val="Times New Roman"/>
            <family val="1"/>
          </rPr>
          <t>Metal object with which to outline circle</t>
        </r>
      </text>
    </comment>
    <comment ref="D73" authorId="0">
      <text>
        <r>
          <rPr>
            <sz val="12"/>
            <color indexed="81"/>
            <rFont val="Times New Roman"/>
            <family val="1"/>
          </rPr>
          <t>Glass marble</t>
        </r>
      </text>
    </comment>
    <comment ref="D74" authorId="0">
      <text>
        <r>
          <rPr>
            <sz val="12"/>
            <color indexed="81"/>
            <rFont val="Times New Roman"/>
            <family val="1"/>
          </rPr>
          <t>Molasses</t>
        </r>
      </text>
    </comment>
    <comment ref="D75" authorId="0">
      <text>
        <r>
          <rPr>
            <sz val="12"/>
            <color indexed="81"/>
            <rFont val="Times New Roman"/>
            <family val="1"/>
          </rPr>
          <t>rotten egg or skunk cabbage leaves</t>
        </r>
      </text>
    </comment>
    <comment ref="D76" authorId="0">
      <text>
        <r>
          <rPr>
            <sz val="12"/>
            <rFont val="Times New Roman"/>
            <family val="1"/>
          </rPr>
          <t>Bag and candle</t>
        </r>
      </text>
    </comment>
    <comment ref="D79" authorId="0">
      <text>
        <r>
          <rPr>
            <sz val="12"/>
            <color indexed="81"/>
            <rFont val="Times New Roman"/>
            <family val="1"/>
          </rPr>
          <t>claw from a displacer beast</t>
        </r>
      </text>
    </comment>
    <comment ref="D83" authorId="0">
      <text>
        <r>
          <rPr>
            <sz val="12"/>
            <color indexed="81"/>
            <rFont val="Times New Roman"/>
            <family val="1"/>
          </rPr>
          <t>rotten egg or skunk cabbage leaves</t>
        </r>
      </text>
    </comment>
    <comment ref="D84" authorId="0">
      <text>
        <r>
          <rPr>
            <sz val="12"/>
            <color indexed="81"/>
            <rFont val="Times New Roman"/>
            <family val="1"/>
          </rPr>
          <t>pebble found in a node</t>
        </r>
      </text>
    </comment>
    <comment ref="D85" authorId="0">
      <text/>
    </comment>
    <comment ref="D87" authorId="0">
      <text>
        <r>
          <rPr>
            <sz val="12"/>
            <color indexed="81"/>
            <rFont val="Times New Roman"/>
            <family val="1"/>
          </rPr>
          <t>Powdered gem</t>
        </r>
      </text>
    </comment>
  </commentList>
</comments>
</file>

<file path=xl/comments4.xml><?xml version="1.0" encoding="utf-8"?>
<comments xmlns="http://schemas.openxmlformats.org/spreadsheetml/2006/main">
  <authors>
    <author>Alexis Álvarez</author>
  </authors>
  <commentList>
    <comment ref="D5" authorId="0">
      <text>
        <r>
          <rPr>
            <sz val="12"/>
            <color indexed="81"/>
            <rFont val="Times New Roman"/>
            <family val="1"/>
          </rPr>
          <t>Phosphorescent moss</t>
        </r>
      </text>
    </comment>
    <comment ref="D7" authorId="0">
      <text>
        <r>
          <rPr>
            <sz val="12"/>
            <color indexed="81"/>
            <rFont val="Times New Roman"/>
            <family val="1"/>
          </rPr>
          <t>Ink and weapon of choice</t>
        </r>
      </text>
    </comment>
    <comment ref="D10" authorId="0">
      <text>
        <r>
          <rPr>
            <sz val="12"/>
            <color indexed="81"/>
            <rFont val="Times New Roman"/>
            <family val="1"/>
          </rPr>
          <t>pebble incribed with a sytlized fist</t>
        </r>
      </text>
    </comment>
    <comment ref="D11" authorId="0">
      <text>
        <r>
          <rPr>
            <sz val="12"/>
            <color indexed="81"/>
            <rFont val="Times New Roman"/>
            <family val="1"/>
          </rPr>
          <t>5 GP worth of jade</t>
        </r>
      </text>
    </comment>
    <comment ref="D22" authorId="0">
      <text>
        <r>
          <rPr>
            <sz val="12"/>
            <color indexed="81"/>
            <rFont val="Times New Roman"/>
            <family val="1"/>
          </rPr>
          <t>Phosphorous, sulfur, or other combustible powder</t>
        </r>
      </text>
    </comment>
    <comment ref="D23" authorId="0">
      <text>
        <r>
          <rPr>
            <sz val="12"/>
            <color indexed="81"/>
            <rFont val="Times New Roman"/>
            <family val="1"/>
          </rPr>
          <t>½ lb. gold dust
(25-GP value)</t>
        </r>
      </text>
    </comment>
    <comment ref="D24" authorId="0">
      <text>
        <r>
          <rPr>
            <sz val="12"/>
            <color indexed="81"/>
            <rFont val="Times New Roman"/>
            <family val="1"/>
          </rPr>
          <t>bit of sulfur</t>
        </r>
      </text>
    </comment>
    <comment ref="D25" authorId="0">
      <text>
        <r>
          <rPr>
            <sz val="12"/>
            <color indexed="81"/>
            <rFont val="Times New Roman"/>
            <family val="1"/>
          </rPr>
          <t>drop of water or piece of ice</t>
        </r>
      </text>
    </comment>
    <comment ref="D26" authorId="0">
      <text>
        <r>
          <rPr>
            <sz val="12"/>
            <color indexed="81"/>
            <rFont val="Times New Roman"/>
            <family val="1"/>
          </rPr>
          <t>Powdered rhubarb leaf and adder's stomach</t>
        </r>
      </text>
    </comment>
    <comment ref="D27" authorId="0">
      <text>
        <r>
          <rPr>
            <sz val="12"/>
            <color indexed="81"/>
            <rFont val="Times New Roman"/>
            <family val="1"/>
          </rPr>
          <t>Fire source</t>
        </r>
      </text>
    </comment>
    <comment ref="D29" authorId="0">
      <text/>
    </comment>
    <comment ref="D31" authorId="0">
      <text>
        <r>
          <rPr>
            <sz val="12"/>
            <color indexed="81"/>
            <rFont val="Times New Roman"/>
            <family val="1"/>
          </rPr>
          <t>phosphorous (warm) or glowworm (chill)</t>
        </r>
      </text>
    </comment>
    <comment ref="D32" authorId="0">
      <text>
        <r>
          <rPr>
            <sz val="12"/>
            <color indexed="81"/>
            <rFont val="Times New Roman"/>
            <family val="1"/>
          </rPr>
          <t>Bat guano &amp; sulfur</t>
        </r>
      </text>
    </comment>
    <comment ref="D33" authorId="0">
      <text>
        <r>
          <rPr>
            <sz val="12"/>
            <color indexed="81"/>
            <rFont val="Times New Roman"/>
            <family val="1"/>
          </rPr>
          <t>Bat guano &amp; sulfur</t>
        </r>
      </text>
    </comment>
    <comment ref="D35" authorId="0">
      <text>
        <r>
          <rPr>
            <sz val="12"/>
            <color indexed="81"/>
            <rFont val="Times New Roman"/>
            <family val="1"/>
          </rPr>
          <t>Roots</t>
        </r>
      </text>
    </comment>
    <comment ref="D36" authorId="0">
      <text>
        <r>
          <rPr>
            <sz val="12"/>
            <color indexed="81"/>
            <rFont val="Times New Roman"/>
            <family val="1"/>
          </rPr>
          <t>pinch of dust &amp; a few drops of water</t>
        </r>
      </text>
    </comment>
    <comment ref="D37" authorId="0">
      <text>
        <r>
          <rPr>
            <sz val="12"/>
            <color indexed="81"/>
            <rFont val="Times New Roman"/>
            <family val="1"/>
          </rPr>
          <t>Fur AND rod of amber or crystal</t>
        </r>
      </text>
    </comment>
    <comment ref="D38" authorId="0">
      <text>
        <r>
          <rPr>
            <sz val="12"/>
            <color indexed="81"/>
            <rFont val="Times New Roman"/>
            <family val="1"/>
          </rPr>
          <t>small dagger</t>
        </r>
      </text>
    </comment>
    <comment ref="D39" authorId="0">
      <text>
        <r>
          <rPr>
            <sz val="12"/>
            <color indexed="81"/>
            <rFont val="Times New Roman"/>
            <family val="1"/>
          </rPr>
          <t>pinch of dust &amp; few drops of water</t>
        </r>
      </text>
    </comment>
    <comment ref="D40" authorId="0">
      <text>
        <r>
          <rPr>
            <sz val="12"/>
            <color indexed="81"/>
            <rFont val="Times New Roman"/>
            <family val="1"/>
          </rPr>
          <t>rotten egg or skunk cabbage leaves</t>
        </r>
      </text>
    </comment>
    <comment ref="D41" authorId="0">
      <text/>
    </comment>
    <comment ref="D54" authorId="0">
      <text>
        <r>
          <rPr>
            <sz val="12"/>
            <color indexed="81"/>
            <rFont val="Times New Roman"/>
            <family val="1"/>
          </rPr>
          <t>two small iron rods</t>
        </r>
      </text>
    </comment>
    <comment ref="D56" authorId="0">
      <text>
        <r>
          <rPr>
            <sz val="12"/>
            <color indexed="81"/>
            <rFont val="Times New Roman"/>
            <family val="1"/>
          </rPr>
          <t>pebble found in a node</t>
        </r>
      </text>
    </comment>
    <comment ref="D57" authorId="0">
      <text>
        <r>
          <rPr>
            <sz val="12"/>
            <color indexed="81"/>
            <rFont val="Times New Roman"/>
            <family val="1"/>
          </rPr>
          <t>bone from fiendish creature</t>
        </r>
      </text>
    </comment>
    <comment ref="D58" authorId="0">
      <text>
        <r>
          <rPr>
            <sz val="12"/>
            <color indexed="81"/>
            <rFont val="Times New Roman"/>
            <family val="1"/>
          </rPr>
          <t>bit of sulfur</t>
        </r>
      </text>
    </comment>
  </commentList>
</comments>
</file>

<file path=xl/comments5.xml><?xml version="1.0" encoding="utf-8"?>
<comments xmlns="http://schemas.openxmlformats.org/spreadsheetml/2006/main">
  <authors>
    <author>Alexis Álvarez</author>
  </authors>
  <commentList>
    <comment ref="B2" authorId="0">
      <text>
        <r>
          <rPr>
            <sz val="12"/>
            <rFont val="Times New Roman"/>
            <family val="1"/>
          </rPr>
          <t xml:space="preserve">Choose a school of magic to which you already have applied the Spell Focus feat.  Your spells of that school are now even more potent than before.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This bonus stacks with the bonus from Spell Focus.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to which you already have applied the Spell Focus feat.
PHB 94</t>
        </r>
      </text>
    </comment>
    <comment ref="C2" authorId="0">
      <text>
        <r>
          <rPr>
            <b/>
            <sz val="12"/>
            <color indexed="81"/>
            <rFont val="Times New Roman"/>
            <family val="1"/>
          </rPr>
          <t xml:space="preserve">Price (Item Level):  </t>
        </r>
        <r>
          <rPr>
            <sz val="12"/>
            <color indexed="81"/>
            <rFont val="Times New Roman"/>
            <family val="1"/>
          </rPr>
          <t xml:space="preserve">21,000 gp (15th)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Mystical sigils line the hems of this bulky, thick-shouldered robe.  Minuscule gems adorn the cuffs, collar, and hems.
A robe of arcane might grants you a +4 armor bonus to AC.
In addition, each robe is attuned to one of the eight schools of magic, chosen during creation (and identifiable with a successful DC 20 Spellcraft check).  When casting a spell from that school, you gain a +1 competence bonus to your caster level.
MIC 129</t>
        </r>
      </text>
    </comment>
    <comment ref="J5" authorId="0">
      <text>
        <r>
          <rPr>
            <sz val="12"/>
            <rFont val="Times New Roman"/>
            <family val="1"/>
          </rPr>
          <t>Ring of Wizardry</t>
        </r>
      </text>
    </comment>
    <comment ref="A9" authorId="0">
      <text>
        <r>
          <rPr>
            <sz val="12"/>
            <rFont val="Times New Roman"/>
            <family val="1"/>
          </rPr>
          <t>Ring of Wizardry</t>
        </r>
      </text>
    </comment>
    <comment ref="A10" authorId="0">
      <text>
        <r>
          <rPr>
            <sz val="12"/>
            <rFont val="Times New Roman"/>
            <family val="1"/>
          </rPr>
          <t>Ring of Wizardry</t>
        </r>
      </text>
    </comment>
    <comment ref="A11" authorId="0">
      <text>
        <r>
          <rPr>
            <sz val="12"/>
            <rFont val="Times New Roman"/>
            <family val="1"/>
          </rPr>
          <t>Ring of Wizardry</t>
        </r>
      </text>
    </comment>
    <comment ref="A12" authorId="0">
      <text>
        <r>
          <rPr>
            <sz val="12"/>
            <rFont val="Times New Roman"/>
            <family val="1"/>
          </rPr>
          <t>Ring of Wizardry</t>
        </r>
      </text>
    </comment>
    <comment ref="A13" authorId="0">
      <text>
        <r>
          <rPr>
            <sz val="12"/>
            <rFont val="Times New Roman"/>
            <family val="1"/>
          </rPr>
          <t>Ring of Wizardry</t>
        </r>
      </text>
    </comment>
    <comment ref="A14" authorId="0">
      <text>
        <r>
          <rPr>
            <sz val="12"/>
            <rFont val="Times New Roman"/>
            <family val="1"/>
          </rPr>
          <t>Ring of Wizardry</t>
        </r>
      </text>
    </comment>
    <comment ref="J14" authorId="0">
      <text>
        <r>
          <rPr>
            <sz val="12"/>
            <rFont val="Times New Roman"/>
            <family val="1"/>
          </rPr>
          <t>Ring of Wizardry</t>
        </r>
      </text>
    </comment>
  </commentList>
</comments>
</file>

<file path=xl/comments6.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school of magic to which you already have applied the Spell Focus feat.  Your spells of that school are now even more potent than before.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This bonus stacks with the bonus from Spell Focus.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to which you already have applied the Spell Focus feat.
PHB 94</t>
        </r>
      </text>
    </comment>
    <comment ref="A5" authorId="0">
      <text>
        <r>
          <rPr>
            <sz val="12"/>
            <rFont val="Times New Roman"/>
            <family val="1"/>
          </rPr>
          <t xml:space="preserve">You are quick and certain in your efforts to defeat the arcane defenses and spells of others.
</t>
        </r>
        <r>
          <rPr>
            <b/>
            <sz val="12"/>
            <color indexed="81"/>
            <rFont val="Times New Roman"/>
            <family val="1"/>
          </rPr>
          <t xml:space="preserve">Prerequisite:  </t>
        </r>
        <r>
          <rPr>
            <sz val="12"/>
            <rFont val="Times New Roman"/>
            <family val="1"/>
          </rPr>
          <t xml:space="preserve">Ability to cast arcane spells or use spelllike abilities (including invocations).
</t>
        </r>
        <r>
          <rPr>
            <b/>
            <sz val="12"/>
            <color indexed="81"/>
            <rFont val="Times New Roman"/>
            <family val="1"/>
          </rPr>
          <t xml:space="preserve">Benefits:  </t>
        </r>
        <r>
          <rPr>
            <sz val="12"/>
            <rFont val="Times New Roman"/>
            <family val="1"/>
          </rPr>
          <t>You can take 10 on caster level checks (as if the caster level check was a skill check).
Complete Arcane 73</t>
        </r>
      </text>
    </comment>
    <comment ref="A6"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1½ times its normal damage (roll 1d4+1 and multiply the result by 1½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C14" authorId="0">
      <text>
        <r>
          <rPr>
            <sz val="12"/>
            <rFont val="Times New Roman"/>
            <family val="1"/>
          </rPr>
          <t>At 1st level, your caster level for all arcane spells increases by 1. It increases again at 4th level, 7th level, and 10th level (to a maximum of +4).
Complete Mage 78</t>
        </r>
      </text>
    </comment>
    <comment ref="C15"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8" authorId="0">
      <text>
        <r>
          <rPr>
            <sz val="12"/>
            <rFont val="Times New Roman"/>
            <family val="1"/>
          </rPr>
          <t xml:space="preserve">You can modify an energy-based spell to use another type of energy instead.
</t>
        </r>
        <r>
          <rPr>
            <b/>
            <sz val="12"/>
            <color indexed="81"/>
            <rFont val="Times New Roman"/>
            <family val="1"/>
          </rPr>
          <t xml:space="preserve">Prerequisites:  </t>
        </r>
        <r>
          <rPr>
            <sz val="12"/>
            <rFont val="Times New Roman"/>
            <family val="1"/>
          </rPr>
          <t xml:space="preserve">Knowledge (arcana) 5 ranks, any metamagic feat.
</t>
        </r>
        <r>
          <rPr>
            <b/>
            <sz val="12"/>
            <color indexed="81"/>
            <rFont val="Times New Roman"/>
            <family val="1"/>
          </rPr>
          <t xml:space="preserve">Benefit:  </t>
        </r>
        <r>
          <rPr>
            <sz val="12"/>
            <rFont val="Times New Roman"/>
            <family val="1"/>
          </rPr>
          <t xml:space="preserve">Choose one type of energy (acid, cold, electricity, or fire).  You can then modify any spell with an energy descriptor to use the chosen type of energy instead.  An energy substituted spell uses a spell slot of the spell’s normal level.  The spell’s descriptor changes to the new energy type—for example, a fireball composed of cold energy is an evocation [cold] spell.
</t>
        </r>
        <r>
          <rPr>
            <b/>
            <sz val="12"/>
            <color indexed="81"/>
            <rFont val="Times New Roman"/>
            <family val="1"/>
          </rPr>
          <t xml:space="preserve">Special:  </t>
        </r>
        <r>
          <rPr>
            <sz val="12"/>
            <rFont val="Times New Roman"/>
            <family val="1"/>
          </rPr>
          <t>You can gain this feat multiple times, choosing a different type of energy each time.
Complete Mage 79</t>
        </r>
      </text>
    </comment>
  </commentList>
</comments>
</file>

<file path=xl/comments7.xml><?xml version="1.0" encoding="utf-8"?>
<comments xmlns="http://schemas.openxmlformats.org/spreadsheetml/2006/main">
  <authors>
    <author>Alexis Álvarez</author>
  </authors>
  <commentList>
    <comment ref="D12"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1,000 gp (4th) (+1); 4,000 (8th) (+2); 9,000 (12th) (+3); 16,000 (14th) (+4); 25,000 (15th) (+5)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Caster Level:</t>
        </r>
        <r>
          <rPr>
            <sz val="12"/>
            <color indexed="81"/>
            <rFont val="Times New Roman"/>
            <family val="1"/>
          </rPr>
          <t xml:space="preserve">  10th
</t>
        </r>
        <r>
          <rPr>
            <b/>
            <sz val="12"/>
            <color indexed="81"/>
            <rFont val="Times New Roman"/>
            <family val="1"/>
          </rPr>
          <t xml:space="preserve">Aura:  </t>
        </r>
        <r>
          <rPr>
            <sz val="12"/>
            <color indexed="81"/>
            <rFont val="Times New Roman"/>
            <family val="1"/>
          </rPr>
          <t xml:space="preserve">Moderate; (DC 20)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This elegantly styled white leather vest is edged in silver piping and has silver buttons.
A vest of resistance offers magical protection in the form of a +1 to +5 resistance bonus on saving throws.
MIC 147</t>
        </r>
      </text>
    </comment>
    <comment ref="A6" authorId="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Each of these jet black bracers is set with an oval of tiny, ruby-red stones.
Bracers of the entangling blast allow you to reduce the damage dealt by your magic to ensnare those affected by it.  When you activate these bracers, the next spell you cast or spell-like ability you use deals only half its normal damage; however, any creature damaged by the spell becomes entangled for 1d3 rounds, taking an additional 1 point of damage per level of the spell each round on your turn.  This damage is of the same type as normally dealt by the spell (or your choice if the spell deals more than one type of damage).  These bracers have no effect on a spell or spell-like ability that doesn’t deal damage.
This ability functions three times per day.
MIC 80</t>
        </r>
      </text>
    </comment>
    <comment ref="A7" authorId="0">
      <text>
        <r>
          <rPr>
            <b/>
            <sz val="12"/>
            <color indexed="81"/>
            <rFont val="Times New Roman"/>
            <family val="1"/>
          </rPr>
          <t xml:space="preserve">Price (Item Level):  </t>
        </r>
        <r>
          <rPr>
            <sz val="12"/>
            <color indexed="81"/>
            <rFont val="Times New Roman"/>
            <family val="1"/>
          </rPr>
          <t xml:space="preserve">15,000 gp (14th)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11th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This golden circlet is engraved with dozens of different symbols and runes.
A circlet of rapid casting allows you to cast a small number of spells each day more quickly.  This circlet has 3 charges, which are renewed each day at dawn.  Spending 1 or more charges allows you to cast a single spell as part of the same swift action you used to activate the circlet.  This spell must be one that normally has a casting time of no longer than 1 standard action.  Doing this expends the prepared spell or spell slot as if you had cast the spell normally.
1 charge: Cast a single spell of up to 2nd level.
2 charges: Cast a single spell of up to 3rd level.
3 charges: Cast a single spell of up to 4th level.
MIC 86</t>
        </r>
      </text>
    </comment>
    <comment ref="A8" authorId="0">
      <text>
        <r>
          <rPr>
            <b/>
            <sz val="12"/>
            <color indexed="81"/>
            <rFont val="Times New Roman"/>
            <family val="1"/>
          </rPr>
          <t xml:space="preserve">Price (Item Level):  </t>
        </r>
        <r>
          <rPr>
            <sz val="12"/>
            <color indexed="81"/>
            <rFont val="Times New Roman"/>
            <family val="1"/>
          </rPr>
          <t xml:space="preserve">21,000 gp (15th)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1 lb.
Mystical sigils line the hems of this bulky, thick-shouldered robe.  Minuscule gems adorn the cuffs, collar, and hems.
A robe of arcane might grants you a +4 armor bonus to AC.
In addition, each robe is attuned to one of the eight schools of magic, chosen during creation (and identifiable with a successful DC 20 Spellcraft check).  When casting a spell from that school, you gain a +1 competence bonus to your caster level.
MIC 129</t>
        </r>
      </text>
    </comment>
    <comment ref="A9"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10"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 ref="A22"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<sst xmlns="http://schemas.openxmlformats.org/spreadsheetml/2006/main" count="1567" uniqueCount="473">
  <si>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</si>
  <si>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</si>
  <si>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</si>
  <si>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</si>
  <si>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</si>
  <si>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</si>
  <si>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</si>
  <si>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</si>
  <si>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</si>
  <si>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</si>
  <si>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</si>
  <si>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</si>
  <si>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</si>
  <si>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</si>
  <si>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</si>
  <si>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</si>
  <si>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</si>
  <si>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</si>
  <si>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</si>
  <si>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</si>
  <si>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</si>
  <si>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</si>
  <si>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</si>
  <si>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</si>
  <si>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</si>
  <si>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</si>
  <si>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</si>
  <si>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</si>
  <si>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</si>
  <si>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</si>
  <si>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</si>
  <si>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</si>
  <si>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</si>
  <si>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</si>
  <si>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</si>
  <si>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</si>
  <si>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</si>
  <si>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</si>
  <si>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</si>
  <si>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</si>
  <si>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</si>
  <si>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</si>
  <si>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</si>
  <si>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</si>
  <si>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</si>
  <si>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</si>
  <si>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</si>
  <si>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</si>
  <si>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</si>
  <si>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</si>
  <si>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</si>
  <si>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</si>
  <si>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</si>
  <si>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</si>
  <si>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</si>
  <si>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</si>
  <si>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</si>
  <si>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</si>
  <si>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</si>
  <si>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</si>
  <si>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</si>
  <si>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</si>
  <si>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</si>
  <si>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</si>
  <si>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</si>
  <si>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</si>
  <si>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</si>
  <si>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</si>
  <si>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</si>
  <si>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</si>
  <si>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</si>
  <si>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</si>
  <si>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</si>
  <si>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</si>
  <si>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</si>
  <si>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</si>
  <si>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</si>
  <si>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</si>
  <si>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</si>
  <si>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</si>
  <si>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</si>
  <si>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</si>
  <si>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</si>
  <si>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</si>
  <si>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</si>
  <si>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</si>
  <si>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</si>
  <si>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</si>
  <si>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</si>
  <si>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</si>
  <si>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</si>
  <si>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</si>
  <si>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</si>
  <si>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</si>
  <si>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</si>
  <si>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</si>
  <si>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</si>
  <si>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</si>
  <si>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</si>
  <si>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</si>
  <si>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</si>
  <si>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</si>
  <si>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</si>
  <si>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</si>
  <si>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</si>
  <si>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</si>
  <si>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</si>
  <si>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</si>
  <si>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</si>
  <si>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</si>
  <si>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</si>
  <si>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</si>
  <si>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</si>
  <si>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</si>
  <si>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</si>
  <si>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</si>
  <si>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</si>
  <si>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</si>
  <si>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</si>
  <si>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</si>
  <si>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</si>
  <si>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</si>
  <si>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</si>
  <si>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</si>
  <si>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</si>
  <si>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</si>
  <si>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1d3</t>
  </si>
  <si>
    <t>Gold Pieces</t>
  </si>
  <si>
    <t>CLev</t>
  </si>
  <si>
    <t>Knowledge:  Nature</t>
  </si>
  <si>
    <t>Knowledge:  Nobility &amp; Royalty</t>
  </si>
  <si>
    <t>FF AC:</t>
  </si>
  <si>
    <t>Whisper</t>
  </si>
  <si>
    <t>Darkvision 60’</t>
  </si>
  <si>
    <t>Low-light Vision</t>
  </si>
  <si>
    <t>Kithre</t>
  </si>
  <si>
    <t>Neutral Good</t>
  </si>
  <si>
    <t>Male</t>
  </si>
  <si>
    <t>Mage Hand</t>
  </si>
  <si>
    <t>Message</t>
  </si>
  <si>
    <t>Silence (on self)</t>
  </si>
  <si>
    <t>Scribe Scroll</t>
  </si>
  <si>
    <t>Summon Familiar</t>
  </si>
  <si>
    <t>Wizard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</si>
  <si>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</si>
  <si>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</si>
  <si>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</si>
  <si>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</si>
  <si>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</si>
  <si>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</si>
  <si>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</si>
  <si>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</si>
  <si>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</si>
  <si>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</si>
  <si>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</si>
  <si>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</si>
  <si>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</si>
  <si>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</si>
  <si>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</si>
  <si>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</si>
  <si>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</si>
  <si>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</si>
  <si>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</si>
  <si>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</si>
  <si>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</si>
  <si>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</si>
  <si>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</si>
  <si>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</si>
  <si>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</si>
  <si>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</si>
  <si>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</si>
  <si>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</si>
  <si>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</si>
  <si>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</si>
  <si>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</si>
  <si>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</si>
  <si>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</si>
  <si>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</si>
  <si>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</si>
  <si>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</si>
  <si>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</si>
  <si>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</si>
  <si>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</si>
  <si>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</si>
  <si>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</si>
  <si>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</si>
  <si>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</si>
  <si>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</si>
  <si>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</si>
  <si>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</si>
  <si>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</si>
  <si>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</si>
  <si>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</si>
  <si>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</si>
  <si>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</si>
  <si>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</si>
  <si>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</si>
  <si>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</si>
  <si>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</si>
  <si>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</si>
  <si>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</si>
  <si>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</si>
  <si>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</si>
  <si>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</si>
  <si>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</si>
  <si>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</si>
  <si>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</si>
  <si>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</si>
  <si>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</si>
  <si>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</si>
  <si>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</si>
  <si>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</si>
  <si>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</si>
  <si>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</si>
  <si>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</si>
  <si>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</si>
  <si>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</si>
  <si>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</si>
  <si>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</si>
  <si>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</si>
  <si>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</si>
  <si>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</si>
  <si>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</si>
  <si>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</si>
  <si>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</si>
  <si>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</si>
  <si>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</si>
  <si>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</si>
  <si>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</si>
  <si>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</si>
  <si>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</si>
  <si>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</si>
  <si>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</si>
  <si>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</si>
  <si>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 of 100-lb limit</t>
  </si>
  <si>
    <t>Frayed</t>
  </si>
  <si>
    <t>Evoker</t>
  </si>
  <si>
    <t>Evoker 1</t>
  </si>
  <si>
    <t>Evoker 2</t>
  </si>
  <si>
    <t>Evoker 3</t>
  </si>
  <si>
    <t>Evoker Bonus</t>
  </si>
  <si>
    <t>Evoker Features</t>
  </si>
  <si>
    <t>Warmage</t>
  </si>
  <si>
    <t>Master Specialist</t>
  </si>
  <si>
    <t>Ultimate Magus</t>
  </si>
  <si>
    <t>1st:  Extend Spell</t>
  </si>
  <si>
    <t>3rd:  Spell Focus (Evocation)</t>
  </si>
  <si>
    <t>Skill Focus (Spellcraft)</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</si>
  <si>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</si>
  <si>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</si>
  <si>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</si>
  <si>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</si>
  <si>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</si>
  <si>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</si>
  <si>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</si>
  <si>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</si>
  <si>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</si>
  <si>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</si>
  <si>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</si>
  <si>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</si>
  <si>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</si>
  <si>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</si>
  <si>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</si>
  <si>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</si>
  <si>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</si>
  <si>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</si>
  <si>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</si>
  <si>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</si>
  <si>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Charisma Bonus</t>
  </si>
  <si>
    <t>Warmage Spells</t>
  </si>
  <si>
    <t>Warmage Spells by Level</t>
  </si>
  <si>
    <t>Evoker Spells by Level</t>
  </si>
  <si>
    <t>Base</t>
  </si>
  <si>
    <t>Spell Effects</t>
  </si>
  <si>
    <t>CL</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</si>
  <si>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</si>
  <si>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</si>
  <si>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</si>
  <si>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</si>
  <si>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</si>
  <si>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</si>
  <si>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</si>
  <si>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</si>
  <si>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</si>
  <si>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</si>
  <si>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</si>
  <si>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</si>
  <si>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</si>
  <si>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</si>
  <si>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</si>
  <si>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</si>
  <si>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</si>
  <si>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</si>
  <si>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</si>
  <si>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</si>
  <si>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</si>
  <si>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</si>
  <si>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</si>
  <si>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</si>
  <si>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</si>
  <si>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</si>
  <si>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</si>
  <si>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</si>
  <si>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</si>
  <si>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</si>
  <si>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</si>
  <si>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</si>
  <si>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</si>
  <si>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</si>
  <si>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</si>
  <si>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</si>
  <si>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</si>
  <si>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</si>
  <si>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</si>
  <si>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</si>
  <si>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</si>
  <si>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</si>
  <si>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</si>
  <si>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</si>
  <si>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</si>
  <si>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</si>
  <si>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</si>
  <si>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Sonic Blast</t>
  </si>
  <si>
    <t>Blast of Force</t>
  </si>
  <si>
    <t>Lightning Bolt</t>
  </si>
  <si>
    <t>120’</t>
  </si>
  <si>
    <t>19-20, x2</t>
  </si>
  <si>
    <t>Prcg/Slsh</t>
  </si>
  <si>
    <t>SF</t>
  </si>
  <si>
    <t>Ultimate Magus 3</t>
  </si>
  <si>
    <t>Augmented Casting</t>
  </si>
  <si>
    <t>Heart of Earth</t>
  </si>
  <si>
    <t>Vortex of Teeth</t>
  </si>
  <si>
    <t>Ring of Wizardry I</t>
  </si>
  <si>
    <t>Dimension Door</t>
  </si>
  <si>
    <t>Invisibility, Greater</t>
  </si>
  <si>
    <t>Ultimate Magus 4</t>
  </si>
  <si>
    <t>Expanded Spell Knowledge (1st:  Blast of Force)</t>
  </si>
  <si>
    <t>Bypass Spell Resistance</t>
  </si>
  <si>
    <t>Warmage Features</t>
  </si>
  <si>
    <t>Armored Mage (Light)</t>
  </si>
  <si>
    <t xml:space="preserve">Warmage Edge </t>
  </si>
  <si>
    <t>Simple Weapons, Light Armor</t>
  </si>
  <si>
    <t>Ultimate Magus 5</t>
  </si>
  <si>
    <t>Displacer Form</t>
  </si>
  <si>
    <t>Force Missiles</t>
  </si>
  <si>
    <t>Jet of Steam</t>
  </si>
  <si>
    <t>Arcane Turmoil</t>
  </si>
  <si>
    <t>Heart of Air</t>
  </si>
  <si>
    <t>Luminous Swarm</t>
  </si>
  <si>
    <t>Chain Missile</t>
  </si>
  <si>
    <t>Resonating Bolt</t>
  </si>
  <si>
    <t>Scintillating Sphere</t>
  </si>
  <si>
    <t>Ultimate Magus Features</t>
  </si>
  <si>
    <t>Master Specialist Features</t>
  </si>
  <si>
    <t>Glitterdust Scrolls</t>
  </si>
  <si>
    <t>Heart of Water Scrolls</t>
  </si>
  <si>
    <t>Daylight Scrolls</t>
  </si>
  <si>
    <t>Heart of Earth Scrolls</t>
  </si>
  <si>
    <t>Heart of Air Scrolls</t>
  </si>
  <si>
    <t>See Invisibility Scrolls</t>
  </si>
  <si>
    <t>Metamagic Wand of Silence, Lesser</t>
  </si>
  <si>
    <t>30’ line</t>
  </si>
  <si>
    <t>Profession:  Sailor</t>
  </si>
  <si>
    <t>5 rounds</t>
  </si>
  <si>
    <t>5th-level Feat:  Energy Substitution</t>
  </si>
  <si>
    <t>four</t>
  </si>
  <si>
    <t>six</t>
  </si>
  <si>
    <t>Memorized Evoker Spells</t>
  </si>
  <si>
    <t>Disrupt Undead</t>
  </si>
  <si>
    <t>Accuracy</t>
  </si>
  <si>
    <t>Burning Hands</t>
  </si>
  <si>
    <t>15’</t>
  </si>
  <si>
    <t>Chill Touch</t>
  </si>
  <si>
    <t>Fist of Stone</t>
  </si>
  <si>
    <t>Hail of Stone</t>
  </si>
  <si>
    <t>Orb of Acid, Lesser</t>
  </si>
  <si>
    <t>Orb of Cold, Lesser</t>
  </si>
  <si>
    <t>Orb of Fire, Lesser</t>
  </si>
  <si>
    <t>Orb of Sound, Lesser</t>
  </si>
  <si>
    <t>Orb of Electricity, Lesser</t>
  </si>
  <si>
    <t>Shocking Grasp</t>
  </si>
  <si>
    <t>True Strike</t>
  </si>
  <si>
    <t>V F</t>
  </si>
  <si>
    <t>special</t>
  </si>
  <si>
    <t>Blades of Fire</t>
  </si>
  <si>
    <t>Swift</t>
  </si>
  <si>
    <t>Continual Flame</t>
  </si>
  <si>
    <t>Fire Trap</t>
  </si>
  <si>
    <t>Perm.</t>
  </si>
  <si>
    <t>Fireburst</t>
  </si>
  <si>
    <t>5’</t>
  </si>
  <si>
    <t>Ice Knife</t>
  </si>
  <si>
    <t>V S M F</t>
  </si>
  <si>
    <t>Shatter</t>
  </si>
  <si>
    <t>Whirling Blade</t>
  </si>
  <si>
    <t>Fire Shield</t>
  </si>
  <si>
    <t>Flame Arrow</t>
  </si>
  <si>
    <t>Ice Storm</t>
  </si>
  <si>
    <t>1 full round</t>
  </si>
  <si>
    <t>Ring of Blades</t>
  </si>
  <si>
    <t>Sleet Storm</t>
  </si>
  <si>
    <t>Blast of Flame</t>
  </si>
  <si>
    <t>Contagion</t>
  </si>
  <si>
    <t>Orb of Acid</t>
  </si>
  <si>
    <t>Orb of Cold</t>
  </si>
  <si>
    <t>Orb of Fire</t>
  </si>
  <si>
    <t>Orb of Force</t>
  </si>
  <si>
    <t>Orb of Sound</t>
  </si>
  <si>
    <t>Orb of Electricity</t>
  </si>
  <si>
    <t>Phantasmal Killer</t>
  </si>
  <si>
    <t>Shout</t>
  </si>
  <si>
    <t>Wall of Fire</t>
  </si>
  <si>
    <t>Necromancy</t>
  </si>
  <si>
    <t>NPC</t>
  </si>
  <si>
    <t>Melf’s Acid Arrow</t>
  </si>
  <si>
    <t>Evard’s Black Tentacles</t>
  </si>
  <si>
    <t>Perform:  [type]</t>
  </si>
  <si>
    <t>Dagger +1</t>
  </si>
  <si>
    <t>1</t>
  </si>
  <si>
    <t>Folding Boat/Ship</t>
  </si>
  <si>
    <t>Scarab figurine</t>
  </si>
  <si>
    <t>Equity:</t>
  </si>
  <si>
    <t>Ultimate Magus 6</t>
  </si>
  <si>
    <t>Ultimate Magus 7</t>
  </si>
  <si>
    <t>12th:  Empower Spell</t>
  </si>
  <si>
    <r>
      <t>20</t>
    </r>
    <r>
      <rPr>
        <sz val="13"/>
        <rFont val="Times New Roman"/>
        <family val="1"/>
      </rPr>
      <t>/</t>
    </r>
    <r>
      <rPr>
        <sz val="13"/>
        <color indexed="51"/>
        <rFont val="Times New Roman"/>
        <family val="1"/>
      </rPr>
      <t>40</t>
    </r>
    <r>
      <rPr>
        <sz val="13"/>
        <rFont val="Times New Roman"/>
        <family val="1"/>
      </rPr>
      <t>/</t>
    </r>
    <r>
      <rPr>
        <sz val="13"/>
        <color indexed="10"/>
        <rFont val="Times New Roman"/>
        <family val="1"/>
      </rPr>
      <t>60</t>
    </r>
  </si>
  <si>
    <t>Expanded Spell Knowledge (2nd:  Haste)</t>
  </si>
  <si>
    <t>Arcane Spell Power +3</t>
  </si>
  <si>
    <t>9th:  Arcane Mastery</t>
  </si>
  <si>
    <t>Prismatic Ray</t>
  </si>
  <si>
    <t>Fireburst, Greater</t>
  </si>
  <si>
    <t>Fire Shield, Mass</t>
  </si>
  <si>
    <t>Cone of Cold</t>
  </si>
  <si>
    <t>Cloudkill</t>
  </si>
  <si>
    <t>Arc of Lightning</t>
  </si>
  <si>
    <t>Conc + 1rnd/lvl</t>
  </si>
  <si>
    <t>30’ cone</t>
  </si>
  <si>
    <t>25’ + 5’/2lvl</t>
  </si>
  <si>
    <t>100’ +10’/lvl</t>
  </si>
  <si>
    <t>60’ cone</t>
  </si>
  <si>
    <t>d20srd.org</t>
  </si>
  <si>
    <t>Blacklight*</t>
  </si>
  <si>
    <t>1d4+1 rounds</t>
  </si>
  <si>
    <t>Pyrotechnics</t>
  </si>
  <si>
    <t>Sending</t>
  </si>
  <si>
    <t>Teleport</t>
  </si>
  <si>
    <t>Wall of Force</t>
  </si>
  <si>
    <t>Vest of Resistance +3</t>
  </si>
  <si>
    <t>Bracers of the Entangling Blast</t>
  </si>
  <si>
    <t>Circlet of Rapid Casting</t>
  </si>
  <si>
    <t>Robe of Arcane Might (Evocation)</t>
  </si>
  <si>
    <t>12 hours</t>
  </si>
  <si>
    <t>Blast of Force*</t>
  </si>
  <si>
    <t>6th:  Greater Spell Focus:  Evocation</t>
  </si>
  <si>
    <t>Dagger +1, 2nd Attack</t>
  </si>
  <si>
    <t>NOT YET AVAILABLE</t>
  </si>
  <si>
    <t>Scorching Ray [Energy Substitute: Electricity]</t>
  </si>
  <si>
    <t>Invisibility Greater</t>
  </si>
  <si>
    <t>Fireball [Energy Substitute: Electricity]</t>
  </si>
  <si>
    <t>Tenser’s Floating Disk</t>
  </si>
  <si>
    <t>AC:</t>
  </si>
  <si>
    <t>XP:</t>
  </si>
  <si>
    <t>Speed:</t>
  </si>
  <si>
    <t>Robe</t>
  </si>
  <si>
    <t>GSF</t>
  </si>
  <si>
    <t>30’ + 10’</t>
  </si>
  <si>
    <t>q</t>
  </si>
  <si>
    <t>þ</t>
  </si>
  <si>
    <r>
      <t xml:space="preserve">+1 </t>
    </r>
    <r>
      <rPr>
        <i/>
        <sz val="13"/>
        <rFont val="Times New Roman"/>
        <family val="1"/>
      </rPr>
      <t>haste</t>
    </r>
  </si>
  <si>
    <t>Ranged Touch Spell</t>
  </si>
  <si>
    <t>Metamagic Rod of Sculpting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</si>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</sst>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2"/>
      <color theme="0"/>
      <name val="Times New Roman"/>
      <family val="1"/>
    </font>
    <font>
      <sz val="13"/>
      <color rgb="FFFF000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18"/>
      <color rgb="FFFF0000"/>
      <name val="Times New Roman"/>
      <family val="1"/>
    </font>
    <font>
      <sz val="12"/>
      <color rgb="FF9966FF"/>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rgb="FF00FF00"/>
        <bgColor indexed="64"/>
      </patternFill>
    </fill>
    <fill>
      <patternFill patternType="solid">
        <fgColor rgb="FF6600CC"/>
        <bgColor indexed="64"/>
      </patternFill>
    </fill>
    <fill>
      <patternFill patternType="solid">
        <fgColor rgb="FFCCFFCC"/>
        <bgColor indexed="55"/>
      </patternFill>
    </fill>
    <fill>
      <patternFill patternType="solid">
        <fgColor rgb="FF9966FF"/>
        <bgColor indexed="64"/>
      </patternFill>
    </fill>
    <fill>
      <patternFill patternType="solid">
        <fgColor rgb="FFFFFF00"/>
        <bgColor indexed="64"/>
      </patternFill>
    </fill>
  </fills>
  <borders count="14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hair">
        <color indexed="64"/>
      </left>
      <right/>
      <top style="hair">
        <color indexed="64"/>
      </top>
      <bottom/>
      <diagonal/>
    </border>
    <border>
      <left style="thin">
        <color indexed="64"/>
      </left>
      <right style="thin">
        <color indexed="64"/>
      </right>
      <top style="medium">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double">
        <color indexed="64"/>
      </left>
      <right style="double">
        <color indexed="64"/>
      </right>
      <top/>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55">
    <xf numFmtId="0" fontId="0" fillId="0" borderId="0" xfId="0"/>
    <xf numFmtId="0" fontId="12" fillId="3" borderId="76"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9" borderId="35" xfId="0" applyNumberFormat="1" applyFont="1" applyFill="1" applyBorder="1" applyAlignment="1">
      <alignment horizontal="center" vertical="center" wrapText="1"/>
    </xf>
    <xf numFmtId="0" fontId="12" fillId="3" borderId="77" xfId="0" applyFont="1" applyFill="1" applyBorder="1" applyAlignment="1">
      <alignment horizontal="center" vertical="center"/>
    </xf>
    <xf numFmtId="0" fontId="4" fillId="0" borderId="0" xfId="0" applyFont="1" applyBorder="1" applyAlignment="1">
      <alignment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5" xfId="2" applyFont="1" applyFill="1" applyBorder="1" applyAlignment="1">
      <alignment horizontal="center" vertical="center" shrinkToFit="1"/>
    </xf>
    <xf numFmtId="0" fontId="2" fillId="0" borderId="84" xfId="0" applyFont="1" applyFill="1" applyBorder="1" applyAlignment="1">
      <alignment horizontal="center" vertical="center"/>
    </xf>
    <xf numFmtId="0" fontId="2" fillId="0" borderId="84" xfId="0" quotePrefix="1" applyFont="1" applyFill="1" applyBorder="1" applyAlignment="1">
      <alignment horizontal="center" vertical="center" wrapText="1"/>
    </xf>
    <xf numFmtId="49" fontId="2" fillId="0" borderId="84" xfId="2" applyNumberFormat="1" applyFont="1" applyFill="1" applyBorder="1" applyAlignment="1">
      <alignment horizontal="center" vertical="center"/>
    </xf>
    <xf numFmtId="0" fontId="2" fillId="0" borderId="84" xfId="0" applyFont="1" applyFill="1" applyBorder="1" applyAlignment="1">
      <alignment horizontal="center" vertical="center" shrinkToFit="1"/>
    </xf>
    <xf numFmtId="164" fontId="2" fillId="0" borderId="84" xfId="0" applyNumberFormat="1"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5" fillId="0" borderId="88" xfId="0" quotePrefix="1" applyFont="1" applyFill="1" applyBorder="1" applyAlignment="1">
      <alignment horizontal="center" vertical="center" wrapText="1"/>
    </xf>
    <xf numFmtId="49" fontId="2" fillId="0" borderId="88" xfId="2" applyNumberFormat="1" applyFont="1" applyFill="1" applyBorder="1" applyAlignment="1">
      <alignment horizontal="center" vertical="center"/>
    </xf>
    <xf numFmtId="0" fontId="2" fillId="0" borderId="88" xfId="0" applyFont="1" applyFill="1" applyBorder="1" applyAlignment="1">
      <alignment horizontal="center" vertical="center" shrinkToFit="1"/>
    </xf>
    <xf numFmtId="164" fontId="2" fillId="0" borderId="88" xfId="0" applyNumberFormat="1" applyFont="1" applyFill="1" applyBorder="1" applyAlignment="1">
      <alignment horizontal="center" vertical="center"/>
    </xf>
    <xf numFmtId="0" fontId="2" fillId="0" borderId="86" xfId="0" quotePrefix="1" applyFont="1" applyBorder="1" applyAlignment="1">
      <alignment horizontal="center" vertical="center"/>
    </xf>
    <xf numFmtId="1" fontId="5" fillId="0" borderId="89" xfId="0" applyNumberFormat="1" applyFont="1" applyFill="1" applyBorder="1" applyAlignment="1">
      <alignment horizontal="center" vertical="center"/>
    </xf>
    <xf numFmtId="0" fontId="2" fillId="0" borderId="109"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3" xfId="0" applyFont="1" applyBorder="1" applyAlignment="1">
      <alignment horizontal="center" vertical="center" shrinkToFit="1"/>
    </xf>
    <xf numFmtId="0" fontId="2" fillId="0" borderId="97"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6" xfId="0" applyFont="1" applyFill="1" applyBorder="1" applyAlignment="1">
      <alignment horizontal="center" vertical="center" shrinkToFit="1"/>
    </xf>
    <xf numFmtId="0" fontId="2" fillId="0" borderId="70"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4"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3"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07" xfId="0" applyFont="1" applyFill="1" applyBorder="1" applyAlignment="1">
      <alignment horizontal="center" vertical="center" shrinkToFit="1"/>
    </xf>
    <xf numFmtId="0" fontId="2" fillId="0" borderId="98" xfId="0" applyFont="1" applyBorder="1" applyAlignment="1">
      <alignment horizontal="center" vertical="center" shrinkToFit="1"/>
    </xf>
    <xf numFmtId="164" fontId="5" fillId="0" borderId="98" xfId="0" applyNumberFormat="1" applyFont="1" applyBorder="1" applyAlignment="1">
      <alignment horizontal="center" vertical="center" shrinkToFit="1"/>
    </xf>
    <xf numFmtId="0" fontId="5" fillId="0" borderId="98" xfId="0" applyFont="1" applyBorder="1" applyAlignment="1">
      <alignment horizontal="left" vertical="center"/>
    </xf>
    <xf numFmtId="0" fontId="2" fillId="0" borderId="108" xfId="0" applyFont="1" applyBorder="1" applyAlignment="1">
      <alignment horizontal="left" vertical="center" shrinkToFit="1"/>
    </xf>
    <xf numFmtId="0" fontId="2" fillId="0" borderId="94"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9" borderId="89" xfId="0" applyNumberFormat="1" applyFont="1" applyFill="1" applyBorder="1" applyAlignment="1">
      <alignment horizontal="center" vertical="center"/>
    </xf>
    <xf numFmtId="1" fontId="2" fillId="0" borderId="89"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1"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2" fillId="0" borderId="88" xfId="0" quotePrefix="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164" fontId="2" fillId="0" borderId="92" xfId="0" applyNumberFormat="1" applyFont="1" applyFill="1" applyBorder="1" applyAlignment="1">
      <alignment horizontal="centerContinuous" vertical="center"/>
    </xf>
    <xf numFmtId="0" fontId="5" fillId="0" borderId="90"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9" xfId="0"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85" xfId="0" applyFont="1" applyFill="1" applyBorder="1" applyAlignment="1">
      <alignment horizontal="centerContinuous" vertical="center"/>
    </xf>
    <xf numFmtId="49" fontId="2" fillId="0" borderId="85" xfId="0" applyNumberFormat="1" applyFont="1" applyFill="1" applyBorder="1" applyAlignment="1">
      <alignment horizontal="center" vertical="center"/>
    </xf>
    <xf numFmtId="49" fontId="2" fillId="0" borderId="85" xfId="0" applyNumberFormat="1" applyFont="1" applyFill="1" applyBorder="1" applyAlignment="1">
      <alignment horizontal="centerContinuous" vertical="center"/>
    </xf>
    <xf numFmtId="49" fontId="2" fillId="0" borderId="101" xfId="0" applyNumberFormat="1"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5" fillId="0" borderId="104" xfId="0" applyFont="1" applyFill="1" applyBorder="1" applyAlignment="1">
      <alignment horizontal="centerContinuous" vertical="center"/>
    </xf>
    <xf numFmtId="0" fontId="5" fillId="0" borderId="89"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9" xfId="0" applyNumberFormat="1" applyFont="1" applyFill="1" applyBorder="1" applyAlignment="1">
      <alignment horizontal="centerContinuous" vertical="center"/>
    </xf>
    <xf numFmtId="49" fontId="2" fillId="0" borderId="92" xfId="0" applyNumberFormat="1" applyFont="1" applyFill="1" applyBorder="1" applyAlignment="1">
      <alignment horizontal="centerContinuous" vertical="center"/>
    </xf>
    <xf numFmtId="0" fontId="21" fillId="7" borderId="95" xfId="0" applyFont="1" applyFill="1" applyBorder="1" applyAlignment="1">
      <alignment horizontal="center" vertical="center"/>
    </xf>
    <xf numFmtId="0" fontId="21" fillId="7" borderId="96"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3" xfId="0" applyFont="1" applyFill="1" applyBorder="1" applyAlignment="1">
      <alignment horizontal="center" vertical="center" shrinkToFit="1"/>
    </xf>
    <xf numFmtId="0" fontId="39" fillId="0" borderId="54"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3" xfId="0" applyFont="1" applyFill="1" applyBorder="1" applyAlignment="1">
      <alignment horizontal="centerContinuous" vertical="center"/>
    </xf>
    <xf numFmtId="0" fontId="7" fillId="0" borderId="80"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80" xfId="0" quotePrefix="1" applyFont="1" applyFill="1" applyBorder="1" applyAlignment="1">
      <alignment horizontal="centerContinuous" vertical="center"/>
    </xf>
    <xf numFmtId="0" fontId="7" fillId="0" borderId="54"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0"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1" borderId="76" xfId="5" applyFont="1" applyFill="1" applyBorder="1" applyAlignment="1">
      <alignment horizontal="centerContinuous" vertical="center" wrapText="1"/>
    </xf>
    <xf numFmtId="0" fontId="12" fillId="11" borderId="36" xfId="5" applyFont="1" applyFill="1" applyBorder="1" applyAlignment="1">
      <alignment horizontal="center" vertical="center" wrapText="1"/>
    </xf>
    <xf numFmtId="0" fontId="21" fillId="11"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7"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9"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7" xfId="0" applyFont="1" applyFill="1" applyBorder="1" applyAlignment="1">
      <alignment vertical="center"/>
    </xf>
    <xf numFmtId="0" fontId="6" fillId="0" borderId="58" xfId="0" applyFont="1" applyFill="1" applyBorder="1" applyAlignment="1">
      <alignment horizontal="center" vertical="center"/>
    </xf>
    <xf numFmtId="0" fontId="7" fillId="0" borderId="58" xfId="0" applyFont="1" applyFill="1" applyBorder="1" applyAlignment="1">
      <alignment horizontal="center" vertical="center"/>
    </xf>
    <xf numFmtId="0" fontId="44" fillId="0" borderId="58" xfId="0" applyFont="1" applyFill="1" applyBorder="1" applyAlignment="1">
      <alignment horizontal="center" vertical="center" wrapText="1"/>
    </xf>
    <xf numFmtId="1" fontId="7" fillId="0" borderId="58" xfId="0" applyNumberFormat="1" applyFont="1" applyFill="1" applyBorder="1" applyAlignment="1">
      <alignment horizontal="center" vertical="center" wrapText="1"/>
    </xf>
    <xf numFmtId="0" fontId="45" fillId="9" borderId="58" xfId="0" applyNumberFormat="1" applyFont="1" applyFill="1" applyBorder="1" applyAlignment="1">
      <alignment horizontal="center" vertical="center"/>
    </xf>
    <xf numFmtId="49" fontId="7" fillId="0" borderId="58"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5" xfId="0" applyNumberFormat="1" applyFont="1" applyFill="1" applyBorder="1" applyAlignment="1">
      <alignment horizontal="center" vertical="center"/>
    </xf>
    <xf numFmtId="0" fontId="13" fillId="0" borderId="45" xfId="0" applyNumberFormat="1" applyFont="1" applyFill="1" applyBorder="1" applyAlignment="1">
      <alignment horizontal="center" vertical="center"/>
    </xf>
    <xf numFmtId="49" fontId="7" fillId="0" borderId="45" xfId="0" applyNumberFormat="1" applyFont="1" applyFill="1" applyBorder="1" applyAlignment="1">
      <alignment horizontal="center" vertical="center"/>
    </xf>
    <xf numFmtId="0" fontId="45" fillId="9"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4" xfId="0" applyFont="1" applyFill="1" applyBorder="1" applyAlignment="1">
      <alignment horizontal="right" vertical="center"/>
    </xf>
    <xf numFmtId="0" fontId="43"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5" fillId="2" borderId="110"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2" xfId="0" applyFont="1" applyFill="1" applyBorder="1" applyAlignment="1">
      <alignment horizontal="right" vertical="center"/>
    </xf>
    <xf numFmtId="0" fontId="6" fillId="4" borderId="105" xfId="0" applyFont="1" applyFill="1" applyBorder="1" applyAlignment="1">
      <alignment horizontal="right" vertical="center"/>
    </xf>
    <xf numFmtId="49" fontId="7" fillId="0" borderId="74"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6"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2" fillId="0" borderId="38" xfId="0" applyFont="1" applyBorder="1" applyAlignment="1">
      <alignment horizontal="left" vertical="center"/>
    </xf>
    <xf numFmtId="0" fontId="2" fillId="0" borderId="114" xfId="0" applyFont="1" applyFill="1" applyBorder="1" applyAlignment="1">
      <alignment horizontal="centerContinuous" vertical="center" shrinkToFit="1"/>
    </xf>
    <xf numFmtId="0" fontId="21" fillId="0" borderId="115" xfId="0" applyFont="1" applyFill="1" applyBorder="1" applyAlignment="1">
      <alignment horizontal="centerContinuous" vertical="center"/>
    </xf>
    <xf numFmtId="0" fontId="2" fillId="0" borderId="116" xfId="0" applyFont="1" applyFill="1" applyBorder="1" applyAlignment="1">
      <alignment horizontal="center" vertical="center"/>
    </xf>
    <xf numFmtId="0" fontId="2" fillId="0" borderId="117" xfId="0" applyFont="1" applyFill="1" applyBorder="1" applyAlignment="1">
      <alignment horizontal="centerContinuous" vertical="center"/>
    </xf>
    <xf numFmtId="0" fontId="2" fillId="0" borderId="118"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2" fillId="0" borderId="103" xfId="0" applyFont="1" applyFill="1" applyBorder="1" applyAlignment="1">
      <alignment horizontal="centerContinuous" vertical="center" shrinkToFit="1"/>
    </xf>
    <xf numFmtId="0" fontId="21" fillId="0" borderId="92"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2" fillId="0" borderId="90" xfId="0" applyFont="1" applyFill="1" applyBorder="1" applyAlignment="1">
      <alignment horizontal="centerContinuous" vertical="center"/>
    </xf>
    <xf numFmtId="1" fontId="5" fillId="0" borderId="117" xfId="0" applyNumberFormat="1" applyFont="1" applyFill="1" applyBorder="1" applyAlignment="1">
      <alignment horizontal="center" vertical="center"/>
    </xf>
    <xf numFmtId="1" fontId="48" fillId="9" borderId="117" xfId="0" applyNumberFormat="1" applyFont="1" applyFill="1" applyBorder="1" applyAlignment="1">
      <alignment horizontal="center" vertical="center"/>
    </xf>
    <xf numFmtId="1" fontId="2" fillId="0" borderId="117"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3"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83" xfId="0"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8"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52" fillId="0" borderId="1" xfId="0" applyFont="1" applyFill="1" applyBorder="1" applyAlignment="1">
      <alignment vertical="center"/>
    </xf>
    <xf numFmtId="0" fontId="6" fillId="0" borderId="25" xfId="0" applyFont="1" applyFill="1" applyBorder="1" applyAlignment="1">
      <alignment horizontal="center" vertical="center"/>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3" fillId="0" borderId="1" xfId="0" applyFont="1" applyFill="1" applyBorder="1" applyAlignment="1">
      <alignment vertical="center"/>
    </xf>
    <xf numFmtId="0" fontId="7" fillId="0" borderId="63"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4" fillId="0" borderId="0" xfId="0" applyFont="1" applyBorder="1" applyAlignment="1">
      <alignment horizontal="right"/>
    </xf>
    <xf numFmtId="0" fontId="2" fillId="0" borderId="0" xfId="0" applyFont="1" applyBorder="1" applyAlignment="1"/>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4" fillId="0" borderId="31" xfId="0" applyFont="1" applyBorder="1" applyAlignment="1">
      <alignment horizontal="centerContinuous" vertical="center" wrapText="1"/>
    </xf>
    <xf numFmtId="0" fontId="55" fillId="0" borderId="31" xfId="0" applyFont="1" applyBorder="1" applyAlignment="1">
      <alignment horizontal="centerContinuous" vertical="center" wrapText="1"/>
    </xf>
    <xf numFmtId="0" fontId="56"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45" fillId="9"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5"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0" borderId="27" xfId="0" applyNumberFormat="1" applyFont="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9" fontId="2" fillId="0" borderId="0" xfId="2" applyFont="1" applyBorder="1" applyAlignment="1">
      <alignment horizontal="center"/>
    </xf>
    <xf numFmtId="0" fontId="5" fillId="0" borderId="0" xfId="0" applyFont="1" applyFill="1" applyBorder="1" applyAlignment="1">
      <alignment horizontal="center" vertical="center"/>
    </xf>
    <xf numFmtId="1" fontId="48" fillId="9" borderId="84" xfId="0" applyNumberFormat="1" applyFont="1" applyFill="1" applyBorder="1" applyAlignment="1">
      <alignment horizontal="center" vertical="center"/>
    </xf>
    <xf numFmtId="1" fontId="48" fillId="9" borderId="81" xfId="0" applyNumberFormat="1" applyFont="1" applyFill="1" applyBorder="1" applyAlignment="1">
      <alignment horizontal="center" vertical="center"/>
    </xf>
    <xf numFmtId="1" fontId="48" fillId="9" borderId="88" xfId="0" applyNumberFormat="1" applyFont="1" applyFill="1" applyBorder="1" applyAlignment="1">
      <alignment horizontal="center" vertical="center"/>
    </xf>
    <xf numFmtId="0" fontId="57" fillId="13" borderId="123" xfId="0" applyFont="1" applyFill="1" applyBorder="1" applyAlignment="1">
      <alignment horizontal="center" vertical="center"/>
    </xf>
    <xf numFmtId="0" fontId="57" fillId="13" borderId="81" xfId="0" applyFont="1" applyFill="1" applyBorder="1" applyAlignment="1">
      <alignment horizontal="center" vertical="center"/>
    </xf>
    <xf numFmtId="0" fontId="57" fillId="13" borderId="81" xfId="0" quotePrefix="1" applyFont="1" applyFill="1" applyBorder="1" applyAlignment="1">
      <alignment horizontal="center" vertical="center" wrapText="1"/>
    </xf>
    <xf numFmtId="49" fontId="57" fillId="13" borderId="81" xfId="2" applyNumberFormat="1" applyFont="1" applyFill="1" applyBorder="1" applyAlignment="1">
      <alignment horizontal="center" vertical="center"/>
    </xf>
    <xf numFmtId="0" fontId="57" fillId="13" borderId="81" xfId="0" applyFont="1" applyFill="1" applyBorder="1" applyAlignment="1">
      <alignment horizontal="center" vertical="center" shrinkToFit="1"/>
    </xf>
    <xf numFmtId="164" fontId="57" fillId="13" borderId="81" xfId="0" applyNumberFormat="1" applyFont="1" applyFill="1" applyBorder="1" applyAlignment="1">
      <alignment horizontal="center" vertical="center"/>
    </xf>
    <xf numFmtId="1" fontId="57" fillId="13" borderId="82" xfId="0" applyNumberFormat="1" applyFont="1" applyFill="1" applyBorder="1" applyAlignment="1">
      <alignment horizontal="center" vertical="center"/>
    </xf>
    <xf numFmtId="0" fontId="57" fillId="13" borderId="87" xfId="0" applyFont="1" applyFill="1" applyBorder="1" applyAlignment="1">
      <alignment horizontal="center" vertical="center"/>
    </xf>
    <xf numFmtId="0" fontId="57" fillId="13" borderId="88" xfId="0" applyFont="1" applyFill="1" applyBorder="1" applyAlignment="1">
      <alignment horizontal="center" vertical="center"/>
    </xf>
    <xf numFmtId="49" fontId="57" fillId="13" borderId="88" xfId="0" applyNumberFormat="1" applyFont="1" applyFill="1" applyBorder="1" applyAlignment="1">
      <alignment horizontal="center" vertical="center"/>
    </xf>
    <xf numFmtId="164" fontId="57" fillId="13" borderId="88" xfId="0" applyNumberFormat="1" applyFont="1" applyFill="1" applyBorder="1" applyAlignment="1">
      <alignment horizontal="center" vertical="center"/>
    </xf>
    <xf numFmtId="1" fontId="57" fillId="13" borderId="89" xfId="0" applyNumberFormat="1" applyFont="1" applyFill="1" applyBorder="1" applyAlignment="1">
      <alignment horizontal="center" vertical="center"/>
    </xf>
    <xf numFmtId="0" fontId="57" fillId="13" borderId="124" xfId="0" quotePrefix="1" applyFont="1" applyFill="1" applyBorder="1" applyAlignment="1">
      <alignment horizontal="center" vertical="center"/>
    </xf>
    <xf numFmtId="0" fontId="57" fillId="13" borderId="109" xfId="0" applyFont="1" applyFill="1" applyBorder="1" applyAlignment="1">
      <alignment horizontal="center" vertical="center"/>
    </xf>
    <xf numFmtId="1" fontId="57" fillId="13" borderId="34" xfId="0" applyNumberFormat="1" applyFont="1" applyFill="1" applyBorder="1" applyAlignment="1">
      <alignment horizontal="center" vertical="center"/>
    </xf>
    <xf numFmtId="1" fontId="57" fillId="13" borderId="46" xfId="0" applyNumberFormat="1" applyFont="1" applyFill="1" applyBorder="1" applyAlignment="1">
      <alignment horizontal="center" vertical="center"/>
    </xf>
    <xf numFmtId="0" fontId="58" fillId="0" borderId="34" xfId="0" applyFont="1" applyFill="1" applyBorder="1" applyAlignment="1">
      <alignment horizontal="center" vertical="center" shrinkToFit="1"/>
    </xf>
    <xf numFmtId="0" fontId="58" fillId="0" borderId="54"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1" borderId="36" xfId="0" applyFont="1" applyFill="1" applyBorder="1" applyAlignment="1">
      <alignment horizontal="center" vertical="center" wrapText="1"/>
    </xf>
    <xf numFmtId="0" fontId="12" fillId="11" borderId="77"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3"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1" fontId="5" fillId="0" borderId="125"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4" borderId="26" xfId="0" applyNumberFormat="1" applyFont="1" applyFill="1" applyBorder="1" applyAlignment="1">
      <alignment horizontal="center" vertical="center"/>
    </xf>
    <xf numFmtId="9" fontId="2" fillId="0" borderId="88" xfId="0" applyNumberFormat="1" applyFont="1" applyFill="1" applyBorder="1" applyAlignment="1">
      <alignment horizontal="center" vertical="center"/>
    </xf>
    <xf numFmtId="0" fontId="2" fillId="0" borderId="126" xfId="0" applyFont="1" applyBorder="1" applyAlignment="1">
      <alignment horizontal="center" vertical="center" shrinkToFit="1"/>
    </xf>
    <xf numFmtId="164" fontId="2" fillId="0" borderId="98" xfId="0" applyNumberFormat="1" applyFont="1" applyBorder="1" applyAlignment="1">
      <alignment horizontal="center" vertical="center" shrinkToFit="1"/>
    </xf>
    <xf numFmtId="0" fontId="2" fillId="0" borderId="127" xfId="0" applyFont="1" applyBorder="1" applyAlignment="1">
      <alignment horizontal="left" vertical="center"/>
    </xf>
    <xf numFmtId="1" fontId="2" fillId="0" borderId="125"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9" fillId="5" borderId="27" xfId="2" applyNumberFormat="1" applyFont="1" applyFill="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xf>
    <xf numFmtId="49" fontId="7" fillId="0" borderId="58" xfId="0" applyNumberFormat="1" applyFont="1" applyBorder="1" applyAlignment="1">
      <alignment horizontal="center" vertical="center"/>
    </xf>
    <xf numFmtId="0" fontId="59" fillId="5" borderId="32" xfId="2" applyNumberFormat="1" applyFont="1" applyFill="1" applyBorder="1" applyAlignment="1">
      <alignment horizontal="center" vertical="center" shrinkToFit="1"/>
    </xf>
    <xf numFmtId="49" fontId="7" fillId="0" borderId="58" xfId="0" applyNumberFormat="1"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59"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6" xfId="0" applyFont="1" applyBorder="1" applyAlignment="1">
      <alignment horizontal="right" vertical="center"/>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10" borderId="68" xfId="0" applyFont="1" applyFill="1" applyBorder="1" applyAlignment="1">
      <alignment horizontal="center" vertical="center" wrapText="1"/>
    </xf>
    <xf numFmtId="0" fontId="7" fillId="10" borderId="69"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70" xfId="0" applyFont="1" applyBorder="1" applyAlignment="1">
      <alignment horizontal="center" vertic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6" fillId="0" borderId="46" xfId="0" applyFont="1" applyBorder="1" applyAlignment="1">
      <alignment horizontal="right" vertical="center"/>
    </xf>
    <xf numFmtId="0" fontId="6" fillId="7" borderId="71" xfId="0" applyFont="1" applyFill="1" applyBorder="1" applyAlignment="1">
      <alignment horizontal="center" vertical="center" wrapText="1"/>
    </xf>
    <xf numFmtId="0" fontId="6" fillId="10" borderId="40"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60" fillId="0" borderId="60" xfId="0" applyFont="1" applyBorder="1" applyAlignment="1">
      <alignment horizontal="centerContinuous" vertical="center" wrapText="1"/>
    </xf>
    <xf numFmtId="0" fontId="6" fillId="0" borderId="60" xfId="0" applyFont="1" applyBorder="1" applyAlignment="1">
      <alignment horizontal="centerContinuous" vertical="center" wrapText="1"/>
    </xf>
    <xf numFmtId="0" fontId="6" fillId="0" borderId="61" xfId="0" applyFont="1" applyBorder="1" applyAlignment="1">
      <alignment horizontal="centerContinuous" vertical="center" wrapText="1"/>
    </xf>
    <xf numFmtId="0" fontId="7" fillId="0" borderId="79"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19" xfId="0" applyFont="1" applyBorder="1" applyAlignment="1">
      <alignment horizontal="center"/>
    </xf>
    <xf numFmtId="0" fontId="7" fillId="0" borderId="120" xfId="0" applyFont="1" applyBorder="1" applyAlignment="1">
      <alignment horizontal="centerContinuous" wrapText="1"/>
    </xf>
    <xf numFmtId="0" fontId="6" fillId="0" borderId="121" xfId="0" applyFont="1" applyFill="1" applyBorder="1" applyAlignment="1">
      <alignment horizontal="centerContinuous" wrapText="1"/>
    </xf>
    <xf numFmtId="0" fontId="7" fillId="0" borderId="120" xfId="0" applyFont="1" applyFill="1" applyBorder="1" applyAlignment="1">
      <alignment horizontal="centerContinuous" wrapText="1"/>
    </xf>
    <xf numFmtId="0" fontId="7" fillId="0" borderId="122" xfId="0" applyFont="1" applyFill="1" applyBorder="1" applyAlignment="1">
      <alignment horizontal="centerContinuous" wrapText="1"/>
    </xf>
    <xf numFmtId="0" fontId="7" fillId="0" borderId="0" xfId="0" applyFont="1" applyFill="1" applyBorder="1" applyAlignment="1">
      <alignment vertical="center"/>
    </xf>
    <xf numFmtId="0" fontId="6" fillId="0" borderId="16" xfId="0" applyFont="1" applyBorder="1" applyAlignment="1">
      <alignment horizontal="center"/>
    </xf>
    <xf numFmtId="0" fontId="7" fillId="0" borderId="9" xfId="0" applyFont="1" applyBorder="1" applyAlignment="1">
      <alignment horizontal="centerContinuous" wrapText="1"/>
    </xf>
    <xf numFmtId="0" fontId="6" fillId="0" borderId="45" xfId="0" applyFont="1" applyFill="1" applyBorder="1" applyAlignment="1">
      <alignment horizontal="centerContinuous" wrapText="1"/>
    </xf>
    <xf numFmtId="0" fontId="7" fillId="0" borderId="9" xfId="0" applyFont="1" applyFill="1" applyBorder="1" applyAlignment="1">
      <alignment horizontal="centerContinuous" wrapText="1"/>
    </xf>
    <xf numFmtId="0" fontId="7" fillId="0" borderId="10" xfId="0" applyFont="1" applyFill="1" applyBorder="1" applyAlignment="1">
      <alignment horizontal="centerContinuous" wrapText="1"/>
    </xf>
    <xf numFmtId="0" fontId="61" fillId="9" borderId="57" xfId="0" applyFont="1" applyFill="1" applyBorder="1" applyAlignment="1">
      <alignment horizontal="centerContinuous" vertical="center" wrapText="1"/>
    </xf>
    <xf numFmtId="0" fontId="61" fillId="9" borderId="78" xfId="0" applyFont="1" applyFill="1" applyBorder="1" applyAlignment="1">
      <alignment horizontal="center" vertical="center" wrapText="1"/>
    </xf>
    <xf numFmtId="0" fontId="61" fillId="9" borderId="62" xfId="0" applyFont="1" applyFill="1" applyBorder="1" applyAlignment="1">
      <alignment horizontal="center" vertical="center" wrapText="1"/>
    </xf>
    <xf numFmtId="0" fontId="61" fillId="9" borderId="63" xfId="0" applyFont="1" applyFill="1" applyBorder="1" applyAlignment="1">
      <alignment horizontal="center" vertical="center" wrapText="1"/>
    </xf>
    <xf numFmtId="0" fontId="61" fillId="9" borderId="72" xfId="0" applyFont="1" applyFill="1" applyBorder="1" applyAlignment="1">
      <alignment horizontal="center"/>
    </xf>
    <xf numFmtId="0" fontId="61" fillId="9" borderId="111" xfId="0" applyFont="1" applyFill="1" applyBorder="1" applyAlignment="1">
      <alignment horizontal="centerContinuous"/>
    </xf>
    <xf numFmtId="0" fontId="61" fillId="9" borderId="112" xfId="0" applyFont="1" applyFill="1" applyBorder="1" applyAlignment="1">
      <alignment horizontal="centerContinuous"/>
    </xf>
    <xf numFmtId="0" fontId="61" fillId="9" borderId="113" xfId="0" applyFont="1" applyFill="1" applyBorder="1" applyAlignment="1">
      <alignment horizontal="centerContinuous"/>
    </xf>
    <xf numFmtId="0" fontId="61" fillId="9" borderId="71" xfId="0" applyFont="1" applyFill="1" applyBorder="1" applyAlignment="1">
      <alignment horizontal="center" vertical="center" wrapText="1"/>
    </xf>
    <xf numFmtId="0" fontId="62" fillId="0" borderId="59" xfId="0" applyFont="1" applyBorder="1" applyAlignment="1">
      <alignment horizontal="centerContinuous" vertical="center" wrapText="1"/>
    </xf>
    <xf numFmtId="165" fontId="2" fillId="0" borderId="0" xfId="0" applyNumberFormat="1" applyFont="1" applyBorder="1" applyAlignment="1">
      <alignment vertical="center"/>
    </xf>
    <xf numFmtId="9" fontId="7" fillId="0" borderId="51" xfId="2" applyFont="1" applyFill="1" applyBorder="1" applyAlignment="1">
      <alignment horizontal="center" vertical="center" shrinkToFit="1"/>
    </xf>
    <xf numFmtId="0" fontId="7" fillId="0" borderId="51" xfId="2" applyNumberFormat="1" applyFont="1" applyFill="1" applyBorder="1" applyAlignment="1">
      <alignment horizontal="center" vertical="center" shrinkToFit="1"/>
    </xf>
    <xf numFmtId="0" fontId="7" fillId="0" borderId="25" xfId="0" applyFont="1" applyBorder="1" applyAlignment="1">
      <alignment horizontal="center" vertical="center" shrinkToFit="1"/>
    </xf>
    <xf numFmtId="0" fontId="2" fillId="0" borderId="0" xfId="0" applyFont="1" applyBorder="1" applyAlignment="1">
      <alignment horizontal="left" wrapText="1"/>
    </xf>
    <xf numFmtId="0" fontId="27" fillId="0" borderId="46" xfId="0" applyFont="1" applyFill="1" applyBorder="1" applyAlignment="1">
      <alignment horizontal="centerContinuous" vertical="center" shrinkToFit="1"/>
    </xf>
    <xf numFmtId="0" fontId="7" fillId="0" borderId="55" xfId="0" quotePrefix="1" applyNumberFormat="1" applyFont="1" applyFill="1" applyBorder="1" applyAlignment="1">
      <alignment horizontal="center" vertical="center" wrapText="1"/>
    </xf>
    <xf numFmtId="0" fontId="7" fillId="0" borderId="51" xfId="10" applyNumberFormat="1" applyFont="1" applyFill="1" applyBorder="1" applyAlignment="1">
      <alignment horizontal="center" vertical="center" shrinkToFit="1"/>
    </xf>
    <xf numFmtId="0" fontId="7" fillId="0" borderId="51" xfId="0" applyNumberFormat="1" applyFont="1" applyFill="1" applyBorder="1" applyAlignment="1">
      <alignment horizontal="center" vertical="center" shrinkToFit="1"/>
    </xf>
    <xf numFmtId="9" fontId="7" fillId="0" borderId="13" xfId="2" applyFont="1" applyFill="1" applyBorder="1" applyAlignment="1">
      <alignment horizontal="center" vertical="center" shrinkToFit="1"/>
    </xf>
    <xf numFmtId="0" fontId="7" fillId="0" borderId="79" xfId="0" applyFont="1" applyFill="1" applyBorder="1" applyAlignment="1">
      <alignment horizontal="center" vertical="center" shrinkToFit="1"/>
    </xf>
    <xf numFmtId="0" fontId="60" fillId="0" borderId="57" xfId="0" applyFont="1" applyFill="1" applyBorder="1" applyAlignment="1">
      <alignment horizontal="center" vertical="center" shrinkToFit="1"/>
    </xf>
    <xf numFmtId="0" fontId="60" fillId="0" borderId="1" xfId="0" applyFont="1" applyFill="1" applyBorder="1" applyAlignment="1">
      <alignment horizontal="center" vertical="center" shrinkToFit="1"/>
    </xf>
    <xf numFmtId="0" fontId="12" fillId="7" borderId="77" xfId="0" applyNumberFormat="1" applyFont="1" applyFill="1" applyBorder="1" applyAlignment="1">
      <alignment horizontal="centerContinuous" vertical="center" wrapText="1"/>
    </xf>
    <xf numFmtId="0" fontId="12" fillId="7" borderId="36" xfId="0" applyFont="1" applyFill="1" applyBorder="1" applyAlignment="1">
      <alignment horizontal="center" vertical="center" wrapText="1"/>
    </xf>
    <xf numFmtId="0" fontId="12" fillId="7" borderId="36" xfId="5" applyFont="1" applyFill="1" applyBorder="1" applyAlignment="1">
      <alignment horizontal="center" vertical="center" wrapText="1"/>
    </xf>
    <xf numFmtId="0" fontId="21" fillId="7" borderId="36" xfId="5" applyFont="1" applyFill="1" applyBorder="1" applyAlignment="1">
      <alignment horizontal="center" vertical="center" wrapText="1"/>
    </xf>
    <xf numFmtId="0" fontId="12" fillId="7" borderId="76" xfId="5" applyFont="1" applyFill="1" applyBorder="1" applyAlignment="1">
      <alignment horizontal="centerContinuous" vertical="center" wrapText="1"/>
    </xf>
    <xf numFmtId="0" fontId="63" fillId="0" borderId="23" xfId="5" applyFont="1" applyBorder="1" applyAlignment="1">
      <alignment horizontal="centerContinuous" vertical="center" wrapText="1"/>
    </xf>
    <xf numFmtId="0" fontId="7" fillId="15" borderId="25" xfId="0" applyFont="1" applyFill="1" applyBorder="1" applyAlignment="1">
      <alignment horizontal="center" vertical="center" wrapText="1"/>
    </xf>
    <xf numFmtId="49" fontId="7" fillId="15" borderId="26" xfId="0" applyNumberFormat="1" applyFont="1" applyFill="1" applyBorder="1" applyAlignment="1">
      <alignment horizontal="center" vertical="center"/>
    </xf>
    <xf numFmtId="0" fontId="7" fillId="15" borderId="58" xfId="0" applyFont="1" applyFill="1" applyBorder="1" applyAlignment="1">
      <alignment horizontal="center" vertical="center" wrapText="1"/>
    </xf>
    <xf numFmtId="0" fontId="7" fillId="15" borderId="44" xfId="0" applyFont="1" applyFill="1" applyBorder="1" applyAlignment="1">
      <alignment horizontal="center" vertical="center" wrapText="1"/>
    </xf>
    <xf numFmtId="0" fontId="7" fillId="15" borderId="128" xfId="0" applyFont="1" applyFill="1" applyBorder="1" applyAlignment="1">
      <alignment horizontal="center" vertical="center" wrapText="1"/>
    </xf>
    <xf numFmtId="0" fontId="7" fillId="8" borderId="1" xfId="0" applyFont="1" applyFill="1" applyBorder="1" applyAlignment="1">
      <alignment horizontal="center" vertical="center" shrinkToFit="1"/>
    </xf>
    <xf numFmtId="0" fontId="7" fillId="8" borderId="25"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8" xfId="0" applyFont="1" applyFill="1" applyBorder="1" applyAlignment="1">
      <alignment horizontal="center" vertical="center" shrinkToFit="1"/>
    </xf>
    <xf numFmtId="0" fontId="7" fillId="8" borderId="44" xfId="0" applyFont="1" applyFill="1" applyBorder="1" applyAlignment="1">
      <alignment horizontal="center" vertical="center"/>
    </xf>
    <xf numFmtId="49" fontId="7" fillId="8" borderId="44" xfId="0" applyNumberFormat="1" applyFont="1" applyFill="1" applyBorder="1" applyAlignment="1">
      <alignment horizontal="center" vertical="center"/>
    </xf>
    <xf numFmtId="0" fontId="6" fillId="0" borderId="46" xfId="0" applyFont="1" applyBorder="1" applyAlignment="1">
      <alignment horizontal="right" vertical="center" wrapText="1"/>
    </xf>
    <xf numFmtId="0" fontId="2" fillId="12" borderId="71" xfId="0" applyFont="1" applyFill="1" applyBorder="1" applyAlignment="1">
      <alignment horizontal="center" vertical="center" wrapText="1"/>
    </xf>
    <xf numFmtId="0" fontId="2" fillId="12" borderId="40"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6" fillId="0" borderId="80" xfId="0" applyFont="1" applyBorder="1" applyAlignment="1">
      <alignment horizontal="right" vertical="center" wrapText="1"/>
    </xf>
    <xf numFmtId="1" fontId="2" fillId="0" borderId="129" xfId="0" applyNumberFormat="1" applyFont="1" applyBorder="1" applyAlignment="1">
      <alignment horizontal="center" vertical="center" wrapText="1"/>
    </xf>
    <xf numFmtId="1" fontId="2" fillId="0" borderId="130" xfId="0" applyNumberFormat="1" applyFont="1" applyBorder="1" applyAlignment="1">
      <alignment horizontal="center" vertical="center" wrapText="1"/>
    </xf>
    <xf numFmtId="49" fontId="2" fillId="10" borderId="130" xfId="0" applyNumberFormat="1" applyFont="1" applyFill="1" applyBorder="1" applyAlignment="1">
      <alignment horizontal="center" vertical="center" wrapText="1"/>
    </xf>
    <xf numFmtId="49" fontId="2" fillId="10" borderId="131" xfId="0" applyNumberFormat="1" applyFont="1" applyFill="1" applyBorder="1" applyAlignment="1">
      <alignment horizontal="center" vertical="center" wrapText="1"/>
    </xf>
    <xf numFmtId="0" fontId="61" fillId="9" borderId="132" xfId="0" applyFont="1" applyFill="1" applyBorder="1" applyAlignment="1">
      <alignment horizontal="centerContinuous" vertical="center"/>
    </xf>
    <xf numFmtId="0" fontId="61" fillId="9" borderId="133"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134" xfId="0" applyFont="1" applyFill="1" applyBorder="1" applyAlignment="1">
      <alignment horizontal="centerContinuous" vertical="center"/>
    </xf>
    <xf numFmtId="0" fontId="7" fillId="0" borderId="26" xfId="0" applyFont="1" applyFill="1" applyBorder="1" applyAlignment="1">
      <alignment horizontal="centerContinuous" vertical="center"/>
    </xf>
    <xf numFmtId="0" fontId="7" fillId="0" borderId="135" xfId="0" applyFont="1" applyFill="1" applyBorder="1" applyAlignment="1">
      <alignment horizontal="centerContinuous" vertical="center"/>
    </xf>
    <xf numFmtId="0" fontId="7" fillId="0" borderId="45" xfId="0" applyFont="1" applyFill="1" applyBorder="1" applyAlignment="1">
      <alignment horizontal="centerContinuous" vertical="center"/>
    </xf>
    <xf numFmtId="0" fontId="7" fillId="0" borderId="136" xfId="0" applyFont="1" applyFill="1" applyBorder="1" applyAlignment="1">
      <alignment horizontal="centerContinuous" vertical="center"/>
    </xf>
    <xf numFmtId="0" fontId="59" fillId="5" borderId="51" xfId="2" applyNumberFormat="1" applyFont="1" applyFill="1" applyBorder="1" applyAlignment="1">
      <alignment horizontal="centerContinuous" vertical="center" shrinkToFit="1"/>
    </xf>
    <xf numFmtId="0" fontId="59" fillId="5" borderId="52" xfId="2" applyNumberFormat="1" applyFont="1" applyFill="1" applyBorder="1" applyAlignment="1">
      <alignment horizontal="centerContinuous" vertical="center" shrinkToFit="1"/>
    </xf>
    <xf numFmtId="0" fontId="59" fillId="5" borderId="26" xfId="2" applyNumberFormat="1" applyFont="1" applyFill="1" applyBorder="1" applyAlignment="1">
      <alignment horizontal="centerContinuous" vertical="center" shrinkToFit="1"/>
    </xf>
    <xf numFmtId="0" fontId="59" fillId="5" borderId="2" xfId="2" applyNumberFormat="1" applyFont="1" applyFill="1" applyBorder="1" applyAlignment="1">
      <alignment horizontal="centerContinuous" vertical="center" shrinkToFit="1"/>
    </xf>
    <xf numFmtId="0" fontId="59" fillId="5" borderId="45" xfId="2" applyNumberFormat="1" applyFont="1" applyFill="1" applyBorder="1" applyAlignment="1">
      <alignment horizontal="centerContinuous" vertical="center" shrinkToFit="1"/>
    </xf>
    <xf numFmtId="0" fontId="59" fillId="5" borderId="10" xfId="2" applyNumberFormat="1" applyFont="1" applyFill="1" applyBorder="1" applyAlignment="1">
      <alignment horizontal="centerContinuous" vertical="center" shrinkToFit="1"/>
    </xf>
    <xf numFmtId="0" fontId="61" fillId="9" borderId="111" xfId="0" applyFont="1" applyFill="1" applyBorder="1" applyAlignment="1">
      <alignment horizontal="centerContinuous" vertical="center"/>
    </xf>
    <xf numFmtId="0" fontId="61" fillId="9" borderId="113" xfId="0" applyFont="1" applyFill="1" applyBorder="1" applyAlignment="1">
      <alignment horizontal="centerContinuous" vertical="center"/>
    </xf>
    <xf numFmtId="0" fontId="6" fillId="15" borderId="71" xfId="0" applyFont="1" applyFill="1" applyBorder="1" applyAlignment="1">
      <alignment horizontal="center" vertical="center" wrapText="1"/>
    </xf>
    <xf numFmtId="0" fontId="7" fillId="15" borderId="1" xfId="0" applyFont="1" applyFill="1" applyBorder="1" applyAlignment="1">
      <alignment horizontal="center" vertical="center" shrinkToFit="1"/>
    </xf>
    <xf numFmtId="0" fontId="7" fillId="15" borderId="25" xfId="0" applyFont="1" applyFill="1" applyBorder="1" applyAlignment="1">
      <alignment horizontal="center" vertical="center"/>
    </xf>
    <xf numFmtId="49" fontId="7" fillId="15" borderId="25" xfId="0" applyNumberFormat="1" applyFont="1" applyFill="1" applyBorder="1" applyAlignment="1">
      <alignment horizontal="center" vertical="center"/>
    </xf>
    <xf numFmtId="0" fontId="64" fillId="0" borderId="56" xfId="0" applyFont="1" applyFill="1" applyBorder="1" applyAlignment="1">
      <alignment horizontal="center" vertical="center" shrinkToFit="1"/>
    </xf>
    <xf numFmtId="0" fontId="2" fillId="15" borderId="83" xfId="0" applyFont="1" applyFill="1" applyBorder="1" applyAlignment="1">
      <alignment horizontal="center" vertical="center"/>
    </xf>
    <xf numFmtId="0" fontId="2" fillId="15" borderId="84" xfId="0" applyFont="1" applyFill="1" applyBorder="1" applyAlignment="1">
      <alignment horizontal="center" vertical="center"/>
    </xf>
    <xf numFmtId="0" fontId="2" fillId="15" borderId="84" xfId="0" quotePrefix="1" applyFont="1" applyFill="1" applyBorder="1" applyAlignment="1">
      <alignment horizontal="center" vertical="center" wrapText="1"/>
    </xf>
    <xf numFmtId="49" fontId="2" fillId="15" borderId="84" xfId="2" applyNumberFormat="1" applyFont="1" applyFill="1" applyBorder="1" applyAlignment="1">
      <alignment horizontal="center" vertical="center"/>
    </xf>
    <xf numFmtId="0" fontId="2" fillId="15" borderId="84" xfId="0" applyFont="1" applyFill="1" applyBorder="1" applyAlignment="1">
      <alignment horizontal="center" vertical="center" shrinkToFit="1"/>
    </xf>
    <xf numFmtId="164" fontId="2" fillId="15" borderId="84" xfId="0" applyNumberFormat="1" applyFont="1" applyFill="1" applyBorder="1" applyAlignment="1">
      <alignment horizontal="center" vertical="center"/>
    </xf>
    <xf numFmtId="1" fontId="2" fillId="15" borderId="84" xfId="0" applyNumberFormat="1" applyFont="1" applyFill="1" applyBorder="1" applyAlignment="1">
      <alignment horizontal="center" vertical="center"/>
    </xf>
    <xf numFmtId="1" fontId="2" fillId="15" borderId="85" xfId="0" applyNumberFormat="1" applyFont="1" applyFill="1" applyBorder="1" applyAlignment="1">
      <alignment horizontal="center" vertical="center"/>
    </xf>
    <xf numFmtId="0" fontId="2" fillId="15" borderId="86" xfId="0" quotePrefix="1" applyFont="1" applyFill="1" applyBorder="1" applyAlignment="1">
      <alignment horizontal="center" vertical="center"/>
    </xf>
    <xf numFmtId="1" fontId="2" fillId="15" borderId="53" xfId="0" applyNumberFormat="1" applyFont="1" applyFill="1" applyBorder="1" applyAlignment="1">
      <alignment horizontal="center" vertical="center"/>
    </xf>
    <xf numFmtId="1" fontId="48" fillId="9" borderId="26" xfId="0" applyNumberFormat="1" applyFont="1" applyFill="1" applyBorder="1" applyAlignment="1">
      <alignment horizontal="center" vertical="center"/>
    </xf>
    <xf numFmtId="1" fontId="2" fillId="8" borderId="137" xfId="0" applyNumberFormat="1" applyFont="1" applyFill="1" applyBorder="1" applyAlignment="1">
      <alignment horizontal="center" vertical="center"/>
    </xf>
    <xf numFmtId="0" fontId="2" fillId="8" borderId="14"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25" xfId="0" quotePrefix="1" applyFont="1" applyFill="1" applyBorder="1" applyAlignment="1">
      <alignment horizontal="center" vertical="center" wrapText="1"/>
    </xf>
    <xf numFmtId="49" fontId="2" fillId="8" borderId="25" xfId="2" applyNumberFormat="1" applyFont="1" applyFill="1" applyBorder="1" applyAlignment="1">
      <alignment horizontal="center" vertical="center"/>
    </xf>
    <xf numFmtId="0" fontId="2" fillId="8" borderId="25" xfId="0" applyFont="1" applyFill="1" applyBorder="1" applyAlignment="1">
      <alignment horizontal="center" vertical="center" shrinkToFit="1"/>
    </xf>
    <xf numFmtId="164" fontId="2" fillId="8" borderId="25" xfId="0" applyNumberFormat="1" applyFont="1" applyFill="1" applyBorder="1" applyAlignment="1">
      <alignment horizontal="center" vertical="center"/>
    </xf>
    <xf numFmtId="1" fontId="5" fillId="8" borderId="26" xfId="0" applyNumberFormat="1" applyFont="1" applyFill="1" applyBorder="1" applyAlignment="1">
      <alignment horizontal="center" vertical="center"/>
    </xf>
    <xf numFmtId="1" fontId="2" fillId="8" borderId="26" xfId="0" applyNumberFormat="1" applyFont="1" applyFill="1" applyBorder="1" applyAlignment="1">
      <alignment horizontal="center" vertical="center"/>
    </xf>
    <xf numFmtId="0" fontId="2" fillId="8" borderId="27" xfId="0" quotePrefix="1" applyFont="1" applyFill="1" applyBorder="1" applyAlignment="1">
      <alignment horizontal="center" vertical="center"/>
    </xf>
    <xf numFmtId="3" fontId="7" fillId="0" borderId="12" xfId="0" applyNumberFormat="1" applyFont="1" applyFill="1" applyBorder="1" applyAlignment="1">
      <alignment horizontal="center" vertical="center"/>
    </xf>
    <xf numFmtId="0" fontId="6" fillId="4" borderId="30" xfId="0" applyFont="1" applyFill="1" applyBorder="1" applyAlignment="1">
      <alignment horizontal="right" vertical="center"/>
    </xf>
    <xf numFmtId="0" fontId="2" fillId="0" borderId="119" xfId="0" applyFont="1" applyFill="1" applyBorder="1" applyAlignment="1">
      <alignment horizontal="center" vertical="center" shrinkToFit="1"/>
    </xf>
    <xf numFmtId="0" fontId="2" fillId="0" borderId="138" xfId="0" applyFont="1" applyFill="1" applyBorder="1" applyAlignment="1">
      <alignment horizontal="center" vertical="center"/>
    </xf>
    <xf numFmtId="0" fontId="2" fillId="0" borderId="138" xfId="0" quotePrefix="1" applyFont="1" applyFill="1" applyBorder="1" applyAlignment="1">
      <alignment horizontal="center" vertical="center"/>
    </xf>
    <xf numFmtId="9" fontId="2" fillId="0" borderId="138" xfId="0" applyNumberFormat="1" applyFont="1" applyFill="1" applyBorder="1" applyAlignment="1">
      <alignment horizontal="center" vertical="center"/>
    </xf>
    <xf numFmtId="49" fontId="2" fillId="0" borderId="138" xfId="0" quotePrefix="1" applyNumberFormat="1" applyFont="1" applyFill="1" applyBorder="1" applyAlignment="1">
      <alignment horizontal="center" vertical="center"/>
    </xf>
    <xf numFmtId="164" fontId="2" fillId="0" borderId="138" xfId="0" applyNumberFormat="1" applyFont="1" applyFill="1" applyBorder="1" applyAlignment="1">
      <alignment horizontal="center" vertical="center"/>
    </xf>
    <xf numFmtId="164" fontId="2" fillId="0" borderId="121" xfId="0" applyNumberFormat="1" applyFont="1" applyFill="1" applyBorder="1" applyAlignment="1">
      <alignment horizontal="centerContinuous" vertical="center"/>
    </xf>
    <xf numFmtId="164" fontId="2" fillId="0" borderId="120" xfId="0" applyNumberFormat="1" applyFont="1" applyFill="1" applyBorder="1" applyAlignment="1">
      <alignment horizontal="centerContinuous" vertical="center"/>
    </xf>
    <xf numFmtId="0" fontId="5" fillId="0" borderId="122" xfId="0" quotePrefix="1" applyFont="1" applyFill="1" applyBorder="1" applyAlignment="1">
      <alignment horizontal="centerContinuous" vertical="center"/>
    </xf>
    <xf numFmtId="1" fontId="2" fillId="0" borderId="139" xfId="0" applyNumberFormat="1" applyFont="1" applyFill="1" applyBorder="1" applyAlignment="1">
      <alignment horizontal="center" vertical="center"/>
    </xf>
    <xf numFmtId="0" fontId="2" fillId="0" borderId="123" xfId="0" applyFont="1" applyFill="1" applyBorder="1" applyAlignment="1">
      <alignment horizontal="center" vertical="center" shrinkToFit="1"/>
    </xf>
    <xf numFmtId="0" fontId="2" fillId="0" borderId="81" xfId="0" applyFont="1" applyFill="1" applyBorder="1" applyAlignment="1">
      <alignment horizontal="center" vertical="center"/>
    </xf>
    <xf numFmtId="0" fontId="2" fillId="0" borderId="81" xfId="0" quotePrefix="1" applyFont="1" applyFill="1" applyBorder="1" applyAlignment="1">
      <alignment horizontal="center" vertical="center"/>
    </xf>
    <xf numFmtId="9" fontId="2" fillId="0" borderId="81" xfId="0" applyNumberFormat="1" applyFont="1" applyFill="1" applyBorder="1" applyAlignment="1">
      <alignment horizontal="center" vertical="center"/>
    </xf>
    <xf numFmtId="49" fontId="2" fillId="0" borderId="81" xfId="0" quotePrefix="1" applyNumberFormat="1" applyFont="1" applyFill="1" applyBorder="1" applyAlignment="1">
      <alignment horizontal="center" vertical="center"/>
    </xf>
    <xf numFmtId="164" fontId="2" fillId="0" borderId="81" xfId="0" applyNumberFormat="1" applyFont="1" applyFill="1" applyBorder="1" applyAlignment="1">
      <alignment horizontal="center" vertical="center"/>
    </xf>
    <xf numFmtId="164" fontId="2" fillId="0" borderId="82" xfId="0" applyNumberFormat="1" applyFont="1" applyFill="1" applyBorder="1" applyAlignment="1">
      <alignment horizontal="centerContinuous" vertical="center"/>
    </xf>
    <xf numFmtId="164" fontId="2" fillId="0" borderId="140" xfId="0" applyNumberFormat="1" applyFont="1" applyFill="1" applyBorder="1" applyAlignment="1">
      <alignment horizontal="centerContinuous" vertical="center"/>
    </xf>
    <xf numFmtId="0" fontId="5" fillId="0" borderId="141" xfId="0" quotePrefix="1" applyFont="1" applyFill="1" applyBorder="1" applyAlignment="1">
      <alignment horizontal="centerContinuous" vertical="center"/>
    </xf>
    <xf numFmtId="1" fontId="2" fillId="0" borderId="34" xfId="0" applyNumberFormat="1" applyFont="1" applyFill="1" applyBorder="1" applyAlignment="1">
      <alignment horizontal="center"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9" fillId="16" borderId="3" xfId="0" quotePrefix="1" applyFont="1" applyFill="1" applyBorder="1" applyAlignment="1">
      <alignment horizontal="center" vertical="center"/>
    </xf>
    <xf numFmtId="1" fontId="7" fillId="16" borderId="28" xfId="0" applyNumberFormat="1" applyFont="1" applyFill="1" applyBorder="1" applyAlignment="1">
      <alignment horizontal="center" vertical="center"/>
    </xf>
    <xf numFmtId="0" fontId="7" fillId="16" borderId="15" xfId="0" applyFont="1" applyFill="1" applyBorder="1" applyAlignment="1">
      <alignment horizontal="center" vertical="center"/>
    </xf>
    <xf numFmtId="0" fontId="7" fillId="16" borderId="73" xfId="0" applyNumberFormat="1" applyFont="1" applyFill="1" applyBorder="1" applyAlignment="1">
      <alignment horizontal="centerContinuous" vertical="center"/>
    </xf>
    <xf numFmtId="0" fontId="2" fillId="16" borderId="75" xfId="0" applyNumberFormat="1" applyFont="1" applyFill="1" applyBorder="1" applyAlignment="1">
      <alignment horizontal="centerContinuous" vertical="center"/>
    </xf>
    <xf numFmtId="0" fontId="2" fillId="0" borderId="1" xfId="0" applyFont="1" applyFill="1" applyBorder="1" applyAlignment="1">
      <alignment horizontal="centerContinuous" vertical="center" shrinkToFit="1"/>
    </xf>
    <xf numFmtId="0" fontId="21" fillId="0" borderId="0" xfId="0" applyFont="1" applyFill="1" applyBorder="1" applyAlignment="1">
      <alignment horizontal="centerContinuous"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Continuous" vertical="center"/>
    </xf>
    <xf numFmtId="0" fontId="2" fillId="0" borderId="2" xfId="0" applyFont="1" applyFill="1" applyBorder="1" applyAlignment="1">
      <alignment horizontal="centerContinuous" vertical="center"/>
    </xf>
    <xf numFmtId="1" fontId="2" fillId="16" borderId="137" xfId="0" applyNumberFormat="1" applyFont="1" applyFill="1" applyBorder="1" applyAlignment="1">
      <alignment horizontal="center"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7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gradientFill type="path" left="0.5" right="0.5" top="0.5" bottom="0.5">
          <stop position="0">
            <color rgb="FFFFFF00"/>
          </stop>
          <stop position="1">
            <color rgb="FFFF0000"/>
          </stop>
        </gradient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9966FF"/>
      <color rgb="FF00FF99"/>
      <color rgb="FFCCFFCC"/>
      <color rgb="FF6600CC"/>
      <color rgb="FF00FF00"/>
      <color rgb="FF0000FF"/>
      <color rgb="FF00CC66"/>
      <color rgb="FF66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r>
            <a:rPr lang="en-US" sz="1200" b="1" i="0" baseline="0">
              <a:effectLst/>
              <a:latin typeface="Times New Roman" panose="02020603050405020304" pitchFamily="18" charset="0"/>
              <a:ea typeface="+mn-ea"/>
              <a:cs typeface="Times New Roman" panose="02020603050405020304" pitchFamily="18" charset="0"/>
            </a:rPr>
            <a:t>Current Effects:</a:t>
          </a:r>
        </a:p>
        <a:p>
          <a:pPr algn="ctr" rtl="0"/>
          <a:r>
            <a:rPr lang="en-US" sz="1200" b="0" i="1" baseline="0">
              <a:effectLst/>
              <a:latin typeface="Times New Roman" panose="02020603050405020304" pitchFamily="18" charset="0"/>
              <a:ea typeface="+mn-ea"/>
              <a:cs typeface="Times New Roman" panose="02020603050405020304" pitchFamily="18" charset="0"/>
            </a:rPr>
            <a:t>Heart of Air:  </a:t>
          </a:r>
          <a:r>
            <a:rPr lang="en-US" sz="1200" b="0" i="0" baseline="0">
              <a:effectLst/>
              <a:latin typeface="Times New Roman" panose="02020603050405020304" pitchFamily="18" charset="0"/>
              <a:ea typeface="+mn-ea"/>
              <a:cs typeface="Times New Roman" panose="02020603050405020304" pitchFamily="18" charset="0"/>
            </a:rPr>
            <a:t>+10’ to flight speed, if any; latent </a:t>
          </a:r>
          <a:r>
            <a:rPr lang="en-US" sz="1200" b="0" i="1" baseline="0">
              <a:effectLst/>
              <a:latin typeface="Times New Roman" panose="02020603050405020304" pitchFamily="18" charset="0"/>
              <a:ea typeface="+mn-ea"/>
              <a:cs typeface="Times New Roman" panose="02020603050405020304" pitchFamily="18" charset="0"/>
            </a:rPr>
            <a:t>feather fall [11 rounds]</a:t>
          </a:r>
          <a:r>
            <a:rPr lang="en-US" sz="1200" b="0" i="0" baseline="0">
              <a:effectLst/>
              <a:latin typeface="Times New Roman" panose="02020603050405020304" pitchFamily="18" charset="0"/>
              <a:ea typeface="+mn-ea"/>
              <a:cs typeface="Times New Roman" panose="02020603050405020304" pitchFamily="18" charset="0"/>
            </a:rPr>
            <a:t>; </a:t>
          </a:r>
          <a:r>
            <a:rPr lang="en-US" sz="1200" b="0" i="0" baseline="0">
              <a:solidFill>
                <a:srgbClr val="009900"/>
              </a:solidFill>
              <a:effectLst/>
              <a:latin typeface="Times New Roman" panose="02020603050405020304" pitchFamily="18" charset="0"/>
              <a:ea typeface="+mn-ea"/>
              <a:cs typeface="Times New Roman" panose="02020603050405020304" pitchFamily="18" charset="0"/>
            </a:rPr>
            <a:t>light fortification</a:t>
          </a:r>
          <a:r>
            <a:rPr lang="en-US" sz="1200" b="0" i="0" baseline="0">
              <a:effectLst/>
              <a:latin typeface="Times New Roman" panose="02020603050405020304" pitchFamily="18" charset="0"/>
              <a:ea typeface="+mn-ea"/>
              <a:cs typeface="Times New Roman" panose="02020603050405020304" pitchFamily="18" charset="0"/>
            </a:rPr>
            <a:t>.</a:t>
          </a:r>
        </a:p>
        <a:p>
          <a:pPr algn="ctr" rtl="0"/>
          <a:r>
            <a:rPr lang="en-US" sz="1200" b="0" i="1" baseline="0">
              <a:effectLst/>
              <a:latin typeface="Times New Roman" panose="02020603050405020304" pitchFamily="18" charset="0"/>
              <a:ea typeface="+mn-ea"/>
              <a:cs typeface="Times New Roman" panose="02020603050405020304" pitchFamily="18" charset="0"/>
            </a:rPr>
            <a:t>Heart of Water:  </a:t>
          </a:r>
          <a:r>
            <a:rPr lang="en-US" sz="1200" b="0" i="0" baseline="0">
              <a:effectLst/>
              <a:latin typeface="Times New Roman" panose="02020603050405020304" pitchFamily="18" charset="0"/>
              <a:ea typeface="+mn-ea"/>
              <a:cs typeface="Times New Roman" panose="02020603050405020304" pitchFamily="18" charset="0"/>
            </a:rPr>
            <a:t>Swim speed equals land speed; water- and air-breathing; +5 to Escape Artist; +8 to Swim; latent </a:t>
          </a:r>
          <a:r>
            <a:rPr lang="en-US" sz="1200" b="0" i="1" baseline="0">
              <a:effectLst/>
              <a:latin typeface="Times New Roman" panose="02020603050405020304" pitchFamily="18" charset="0"/>
              <a:ea typeface="+mn-ea"/>
              <a:cs typeface="Times New Roman" panose="02020603050405020304" pitchFamily="18" charset="0"/>
            </a:rPr>
            <a:t>freedom of movement </a:t>
          </a:r>
          <a:r>
            <a:rPr lang="en-US" sz="1200" b="0" i="0" baseline="0">
              <a:effectLst/>
              <a:latin typeface="Times New Roman" panose="02020603050405020304" pitchFamily="18" charset="0"/>
              <a:ea typeface="+mn-ea"/>
              <a:cs typeface="Times New Roman" panose="02020603050405020304" pitchFamily="18" charset="0"/>
            </a:rPr>
            <a:t>spell </a:t>
          </a:r>
          <a:r>
            <a:rPr lang="en-US" sz="1200" b="0" i="1" baseline="0">
              <a:effectLst/>
              <a:latin typeface="Times New Roman" panose="02020603050405020304" pitchFamily="18" charset="0"/>
              <a:ea typeface="+mn-ea"/>
              <a:cs typeface="Times New Roman" panose="02020603050405020304" pitchFamily="18" charset="0"/>
            </a:rPr>
            <a:t>[11 rounds]</a:t>
          </a:r>
          <a:endParaRPr lang="en-US" sz="1200" b="0" i="0" baseline="0">
            <a:effectLst/>
            <a:latin typeface="Times New Roman" panose="02020603050405020304" pitchFamily="18" charset="0"/>
            <a:ea typeface="+mn-ea"/>
            <a:cs typeface="Times New Roman" panose="02020603050405020304" pitchFamily="18" charset="0"/>
          </a:endParaRPr>
        </a:p>
        <a:p>
          <a:pPr algn="ctr" rtl="0"/>
          <a:r>
            <a:rPr lang="en-US" sz="1200" b="0" i="1" baseline="0">
              <a:effectLst/>
              <a:latin typeface="Times New Roman" panose="02020603050405020304" pitchFamily="18" charset="0"/>
              <a:ea typeface="+mn-ea"/>
              <a:cs typeface="Times New Roman" panose="02020603050405020304" pitchFamily="18" charset="0"/>
            </a:rPr>
            <a:t>Heart of Fire:  </a:t>
          </a:r>
          <a:r>
            <a:rPr lang="en-US" sz="1200" b="0" i="0" baseline="0">
              <a:effectLst/>
              <a:latin typeface="Times New Roman" panose="02020603050405020304" pitchFamily="18" charset="0"/>
              <a:ea typeface="+mn-ea"/>
              <a:cs typeface="Times New Roman" panose="02020603050405020304" pitchFamily="18" charset="0"/>
            </a:rPr>
            <a:t>Resistance Fire 20; +10’ to land speed; latent </a:t>
          </a:r>
          <a:r>
            <a:rPr lang="en-US" sz="1200" b="0" i="1" baseline="0">
              <a:effectLst/>
              <a:latin typeface="Times New Roman" panose="02020603050405020304" pitchFamily="18" charset="0"/>
              <a:ea typeface="+mn-ea"/>
              <a:cs typeface="Times New Roman" panose="02020603050405020304" pitchFamily="18" charset="0"/>
            </a:rPr>
            <a:t>fire shield [fire protection only; 11 rounds]</a:t>
          </a:r>
        </a:p>
      </xdr:txBody>
    </xdr:sp>
    <xdr:clientData/>
  </xdr:twoCellAnchor>
  <xdr:twoCellAnchor editAs="oneCell">
    <xdr:from>
      <xdr:col>0</xdr:col>
      <xdr:colOff>472440</xdr:colOff>
      <xdr:row>23</xdr:row>
      <xdr:rowOff>76200</xdr:rowOff>
    </xdr:from>
    <xdr:to>
      <xdr:col>6</xdr:col>
      <xdr:colOff>876783</xdr:colOff>
      <xdr:row>36</xdr:row>
      <xdr:rowOff>175492</xdr:rowOff>
    </xdr:to>
    <xdr:pic>
      <xdr:nvPicPr>
        <xdr:cNvPr id="2" name="Picture 1"/>
        <xdr:cNvPicPr>
          <a:picLocks noChangeAspect="1"/>
        </xdr:cNvPicPr>
      </xdr:nvPicPr>
      <xdr:blipFill>
        <a:blip xmlns:r="http://schemas.openxmlformats.org/officeDocument/2006/relationships" r:embed="rId1"/>
        <a:stretch>
          <a:fillRect/>
        </a:stretch>
      </xdr:blipFill>
      <xdr:spPr>
        <a:xfrm>
          <a:off x="472440" y="5204460"/>
          <a:ext cx="5578323" cy="2682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83820</xdr:colOff>
      <xdr:row>21</xdr:row>
      <xdr:rowOff>160020</xdr:rowOff>
    </xdr:from>
    <xdr:to>
      <xdr:col>9</xdr:col>
      <xdr:colOff>1927860</xdr:colOff>
      <xdr:row>23</xdr:row>
      <xdr:rowOff>45720</xdr:rowOff>
    </xdr:to>
    <xdr:sp macro="" textlink="">
      <xdr:nvSpPr>
        <xdr:cNvPr id="2" name="Cloud 1"/>
        <xdr:cNvSpPr/>
      </xdr:nvSpPr>
      <xdr:spPr bwMode="auto">
        <a:xfrm>
          <a:off x="5722620" y="4945380"/>
          <a:ext cx="1844040" cy="312420"/>
        </a:xfrm>
        <a:prstGeom prst="cloud">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n-US" sz="1200">
              <a:latin typeface="Times New Roman" panose="02020603050405020304" pitchFamily="18" charset="0"/>
              <a:cs typeface="Times New Roman" panose="02020603050405020304" pitchFamily="18" charset="0"/>
            </a:rPr>
            <a:t>Heart of Air +10</a:t>
          </a:r>
        </a:p>
      </xdr:txBody>
    </xdr:sp>
    <xdr:clientData/>
  </xdr:twoCellAnchor>
  <xdr:twoCellAnchor>
    <xdr:from>
      <xdr:col>9</xdr:col>
      <xdr:colOff>60960</xdr:colOff>
      <xdr:row>53</xdr:row>
      <xdr:rowOff>129540</xdr:rowOff>
    </xdr:from>
    <xdr:to>
      <xdr:col>9</xdr:col>
      <xdr:colOff>2019300</xdr:colOff>
      <xdr:row>55</xdr:row>
      <xdr:rowOff>68580</xdr:rowOff>
    </xdr:to>
    <xdr:sp macro="" textlink="">
      <xdr:nvSpPr>
        <xdr:cNvPr id="3" name="16-Point Star 2"/>
        <xdr:cNvSpPr/>
      </xdr:nvSpPr>
      <xdr:spPr bwMode="auto">
        <a:xfrm>
          <a:off x="5699760" y="11742420"/>
          <a:ext cx="1958340" cy="365760"/>
        </a:xfrm>
        <a:prstGeom prst="star16">
          <a:avLst/>
        </a:prstGeom>
        <a:gradFill flip="none" rotWithShape="1">
          <a:gsLst>
            <a:gs pos="0">
              <a:srgbClr val="3399FF">
                <a:alpha val="56000"/>
              </a:srgbClr>
            </a:gs>
            <a:gs pos="95000">
              <a:srgbClr val="00CCCC">
                <a:alpha val="74000"/>
              </a:srgbClr>
            </a:gs>
            <a:gs pos="47000">
              <a:srgbClr val="9999FF">
                <a:alpha val="85000"/>
              </a:srgbClr>
            </a:gs>
            <a:gs pos="60001">
              <a:srgbClr val="2E6792">
                <a:alpha val="58000"/>
              </a:srgbClr>
            </a:gs>
            <a:gs pos="71001">
              <a:srgbClr val="3333CC">
                <a:alpha val="70000"/>
              </a:srgbClr>
            </a:gs>
            <a:gs pos="81000">
              <a:srgbClr val="1170FF">
                <a:alpha val="65000"/>
              </a:srgbClr>
            </a:gs>
          </a:gsLst>
          <a:path path="circle">
            <a:fillToRect l="50000" t="50000" r="50000" b="50000"/>
          </a:path>
          <a:tileRect/>
        </a:gra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marL="0" indent="0" algn="ctr"/>
          <a:r>
            <a:rPr lang="en-US" sz="1050">
              <a:latin typeface="Times New Roman" panose="02020603050405020304" pitchFamily="18" charset="0"/>
              <a:ea typeface="+mn-ea"/>
              <a:cs typeface="Times New Roman" panose="02020603050405020304" pitchFamily="18" charset="0"/>
            </a:rPr>
            <a:t>Heart of Water +8</a:t>
          </a:r>
        </a:p>
      </xdr:txBody>
    </xdr:sp>
    <xdr:clientData/>
  </xdr:twoCellAnchor>
  <xdr:twoCellAnchor>
    <xdr:from>
      <xdr:col>9</xdr:col>
      <xdr:colOff>0</xdr:colOff>
      <xdr:row>14</xdr:row>
      <xdr:rowOff>175260</xdr:rowOff>
    </xdr:from>
    <xdr:to>
      <xdr:col>9</xdr:col>
      <xdr:colOff>1958340</xdr:colOff>
      <xdr:row>16</xdr:row>
      <xdr:rowOff>114300</xdr:rowOff>
    </xdr:to>
    <xdr:sp macro="" textlink="">
      <xdr:nvSpPr>
        <xdr:cNvPr id="4" name="16-Point Star 3"/>
        <xdr:cNvSpPr/>
      </xdr:nvSpPr>
      <xdr:spPr bwMode="auto">
        <a:xfrm>
          <a:off x="5638800" y="3467100"/>
          <a:ext cx="1958340" cy="365760"/>
        </a:xfrm>
        <a:prstGeom prst="star16">
          <a:avLst/>
        </a:prstGeom>
        <a:gradFill flip="none" rotWithShape="1">
          <a:gsLst>
            <a:gs pos="0">
              <a:srgbClr val="3399FF">
                <a:alpha val="56000"/>
              </a:srgbClr>
            </a:gs>
            <a:gs pos="95000">
              <a:srgbClr val="00CCCC">
                <a:alpha val="74000"/>
              </a:srgbClr>
            </a:gs>
            <a:gs pos="47000">
              <a:srgbClr val="9999FF">
                <a:alpha val="85000"/>
              </a:srgbClr>
            </a:gs>
            <a:gs pos="60001">
              <a:srgbClr val="2E6792">
                <a:alpha val="58000"/>
              </a:srgbClr>
            </a:gs>
            <a:gs pos="71001">
              <a:srgbClr val="3333CC">
                <a:alpha val="70000"/>
              </a:srgbClr>
            </a:gs>
            <a:gs pos="81000">
              <a:srgbClr val="1170FF">
                <a:alpha val="65000"/>
              </a:srgbClr>
            </a:gs>
          </a:gsLst>
          <a:path path="circle">
            <a:fillToRect l="50000" t="50000" r="50000" b="50000"/>
          </a:path>
          <a:tileRect/>
        </a:gra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marL="0" indent="0" algn="ctr"/>
          <a:r>
            <a:rPr lang="en-US" sz="1050">
              <a:latin typeface="Times New Roman" panose="02020603050405020304" pitchFamily="18" charset="0"/>
              <a:ea typeface="+mn-ea"/>
              <a:cs typeface="Times New Roman" panose="02020603050405020304" pitchFamily="18" charset="0"/>
            </a:rPr>
            <a:t>Heart of Water +5</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276225</xdr:colOff>
      <xdr:row>1</xdr:row>
      <xdr:rowOff>123825</xdr:rowOff>
    </xdr:from>
    <xdr:to>
      <xdr:col>2</xdr:col>
      <xdr:colOff>314325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6"/>
  <cols>
    <col min="1" max="1" width="14.3984375" style="207" bestFit="1" customWidth="1"/>
    <col min="2" max="2" width="10" style="209" customWidth="1"/>
    <col min="3" max="3" width="5.5" style="209" customWidth="1"/>
    <col min="4" max="4" width="13.69921875" style="207" bestFit="1" customWidth="1"/>
    <col min="5" max="5" width="9.59765625" style="209" bestFit="1" customWidth="1"/>
    <col min="6" max="6" width="14.69921875" style="207" customWidth="1"/>
    <col min="7" max="7" width="17.09765625" style="209" customWidth="1"/>
    <col min="8" max="16384" width="13" style="33"/>
  </cols>
  <sheetData>
    <row r="1" spans="1:7" ht="29.4" thickTop="1" thickBot="1">
      <c r="A1" s="212" t="s">
        <v>235</v>
      </c>
      <c r="B1" s="213" t="s">
        <v>135</v>
      </c>
      <c r="C1" s="214"/>
      <c r="D1" s="215"/>
      <c r="E1" s="216"/>
      <c r="F1" s="215"/>
      <c r="G1" s="217" t="s">
        <v>414</v>
      </c>
    </row>
    <row r="2" spans="1:7" ht="17.399999999999999" thickTop="1">
      <c r="A2" s="218" t="s">
        <v>0</v>
      </c>
      <c r="B2" s="219" t="s">
        <v>96</v>
      </c>
      <c r="C2" s="219"/>
      <c r="D2" s="220" t="s">
        <v>110</v>
      </c>
      <c r="E2" s="221" t="s">
        <v>132</v>
      </c>
      <c r="F2" s="222"/>
      <c r="G2" s="223"/>
    </row>
    <row r="3" spans="1:7" ht="16.8">
      <c r="A3" s="218" t="s">
        <v>63</v>
      </c>
      <c r="B3" s="219" t="s">
        <v>236</v>
      </c>
      <c r="C3" s="219"/>
      <c r="D3" s="220" t="s">
        <v>64</v>
      </c>
      <c r="E3" s="221">
        <v>3</v>
      </c>
      <c r="F3" s="220"/>
      <c r="G3" s="223"/>
    </row>
    <row r="4" spans="1:7" ht="16.8">
      <c r="A4" s="218" t="s">
        <v>63</v>
      </c>
      <c r="B4" s="219" t="s">
        <v>242</v>
      </c>
      <c r="C4" s="219"/>
      <c r="D4" s="220" t="s">
        <v>64</v>
      </c>
      <c r="E4" s="221">
        <v>1</v>
      </c>
      <c r="F4" s="220"/>
      <c r="G4" s="223"/>
    </row>
    <row r="5" spans="1:7" ht="16.8">
      <c r="A5" s="218" t="s">
        <v>63</v>
      </c>
      <c r="B5" s="219" t="s">
        <v>243</v>
      </c>
      <c r="C5" s="219"/>
      <c r="D5" s="220" t="s">
        <v>64</v>
      </c>
      <c r="E5" s="221">
        <v>1</v>
      </c>
      <c r="F5" s="220"/>
      <c r="G5" s="223"/>
    </row>
    <row r="6" spans="1:7" ht="16.8">
      <c r="A6" s="218" t="s">
        <v>63</v>
      </c>
      <c r="B6" s="219" t="s">
        <v>244</v>
      </c>
      <c r="C6" s="219"/>
      <c r="D6" s="220" t="s">
        <v>64</v>
      </c>
      <c r="E6" s="221">
        <v>7</v>
      </c>
      <c r="F6" s="220"/>
      <c r="G6" s="223"/>
    </row>
    <row r="7" spans="1:7" ht="17.399999999999999" thickBot="1">
      <c r="A7" s="218" t="s">
        <v>65</v>
      </c>
      <c r="B7" s="219" t="s">
        <v>136</v>
      </c>
      <c r="C7" s="219"/>
      <c r="D7" s="220" t="s">
        <v>1</v>
      </c>
      <c r="E7" s="221" t="s">
        <v>137</v>
      </c>
      <c r="F7" s="220"/>
      <c r="G7" s="223"/>
    </row>
    <row r="8" spans="1:7" ht="17.399999999999999" thickTop="1">
      <c r="A8" s="224" t="s">
        <v>85</v>
      </c>
      <c r="B8" s="547">
        <f>1+1+0+0+3+1</f>
        <v>6</v>
      </c>
      <c r="C8" s="548"/>
      <c r="D8" s="225" t="s">
        <v>463</v>
      </c>
      <c r="E8" s="226" t="s">
        <v>466</v>
      </c>
      <c r="F8" s="227"/>
      <c r="G8" s="223"/>
    </row>
    <row r="9" spans="1:7" ht="17.399999999999999" thickBot="1">
      <c r="A9" s="228" t="s">
        <v>124</v>
      </c>
      <c r="B9" s="229" t="str">
        <f>C11</f>
        <v>+5</v>
      </c>
      <c r="C9" s="230"/>
      <c r="D9" s="521" t="s">
        <v>462</v>
      </c>
      <c r="E9" s="520">
        <v>66000</v>
      </c>
      <c r="F9" s="227"/>
      <c r="G9" s="223"/>
    </row>
    <row r="10" spans="1:7" ht="17.399999999999999" thickTop="1">
      <c r="A10" s="231" t="s">
        <v>2</v>
      </c>
      <c r="B10" s="546">
        <f>8+2</f>
        <v>10</v>
      </c>
      <c r="C10" s="232" t="str">
        <f>IF(B10&gt;9.9,CONCATENATE("+",ROUNDDOWN((B10-10)/2,0)),ROUNDUP((B10-10)/2,0))</f>
        <v>+0</v>
      </c>
      <c r="D10" s="233" t="s">
        <v>71</v>
      </c>
      <c r="E10" s="304" t="s">
        <v>426</v>
      </c>
      <c r="F10" s="227"/>
      <c r="G10" s="223"/>
    </row>
    <row r="11" spans="1:7" ht="16.8">
      <c r="A11" s="234" t="s">
        <v>3</v>
      </c>
      <c r="B11" s="544">
        <f>15+4+2</f>
        <v>21</v>
      </c>
      <c r="C11" s="235" t="str">
        <f t="shared" ref="C11:C15" si="0">IF(B11&gt;9.9,CONCATENATE("+",ROUNDDOWN((B11-10)/2,0)),ROUNDUP((B11-10)/2,0))</f>
        <v>+5</v>
      </c>
      <c r="D11" s="236" t="s">
        <v>72</v>
      </c>
      <c r="E11" s="237">
        <f>SUM(Martial!G5:G19)+SUM(Equipment!C3:C16)+5</f>
        <v>12.25</v>
      </c>
      <c r="F11" s="227"/>
      <c r="G11" s="223"/>
    </row>
    <row r="12" spans="1:7" ht="16.8">
      <c r="A12" s="238" t="s">
        <v>12</v>
      </c>
      <c r="B12" s="303">
        <f>14</f>
        <v>14</v>
      </c>
      <c r="C12" s="240" t="str">
        <f t="shared" si="0"/>
        <v>+2</v>
      </c>
      <c r="D12" s="236" t="s">
        <v>14</v>
      </c>
      <c r="E12" s="241">
        <f>ROUNDUP(((E3*4)*0.75)+((E4*6)*0.75)+((E5*4)*0.75)+((E6*4)*0.75)+((E3+E4+E5+E6)*C12),0)</f>
        <v>62</v>
      </c>
      <c r="F12" s="227"/>
      <c r="G12" s="223"/>
    </row>
    <row r="13" spans="1:7" ht="16.8">
      <c r="A13" s="242" t="s">
        <v>13</v>
      </c>
      <c r="B13" s="303">
        <v>19</v>
      </c>
      <c r="C13" s="235" t="str">
        <f t="shared" si="0"/>
        <v>+4</v>
      </c>
      <c r="D13" s="243" t="s">
        <v>86</v>
      </c>
      <c r="E13" s="545">
        <f>11+C11+4</f>
        <v>20</v>
      </c>
      <c r="F13" s="327"/>
      <c r="G13" s="223"/>
    </row>
    <row r="14" spans="1:7" ht="16.8">
      <c r="A14" s="244" t="s">
        <v>15</v>
      </c>
      <c r="B14" s="239">
        <v>10</v>
      </c>
      <c r="C14" s="235" t="str">
        <f t="shared" si="0"/>
        <v>+0</v>
      </c>
      <c r="D14" s="243" t="s">
        <v>131</v>
      </c>
      <c r="E14" s="542">
        <f>E15-C11</f>
        <v>19</v>
      </c>
      <c r="F14" s="327"/>
      <c r="G14" s="223"/>
    </row>
    <row r="15" spans="1:7" ht="17.399999999999999" thickBot="1">
      <c r="A15" s="245" t="s">
        <v>11</v>
      </c>
      <c r="B15" s="246">
        <v>14</v>
      </c>
      <c r="C15" s="247" t="str">
        <f t="shared" si="0"/>
        <v>+2</v>
      </c>
      <c r="D15" s="248" t="s">
        <v>461</v>
      </c>
      <c r="E15" s="543">
        <f>E13+SUM(Martial!B13:B15)</f>
        <v>24</v>
      </c>
      <c r="F15" s="327"/>
      <c r="G15" s="223"/>
    </row>
    <row r="16" spans="1:7" s="7" customFormat="1" ht="17.399999999999999" thickTop="1">
      <c r="A16" s="249"/>
      <c r="B16" s="250"/>
      <c r="C16" s="250"/>
      <c r="F16" s="250"/>
      <c r="G16" s="251"/>
    </row>
    <row r="17" spans="1:7" s="7" customFormat="1" ht="16.8">
      <c r="A17" s="252"/>
      <c r="B17" s="253"/>
      <c r="C17" s="253"/>
      <c r="D17" s="253"/>
      <c r="E17" s="253"/>
      <c r="F17" s="253"/>
      <c r="G17" s="254"/>
    </row>
    <row r="18" spans="1:7" s="7" customFormat="1" ht="16.8">
      <c r="A18" s="252"/>
      <c r="B18" s="253"/>
      <c r="C18" s="253"/>
      <c r="D18" s="253"/>
      <c r="E18" s="253"/>
      <c r="F18" s="253"/>
      <c r="G18" s="254"/>
    </row>
    <row r="19" spans="1:7" s="7" customFormat="1" ht="16.8">
      <c r="A19" s="252"/>
      <c r="B19" s="253"/>
      <c r="C19" s="253"/>
      <c r="D19" s="253"/>
      <c r="E19" s="253"/>
      <c r="F19" s="253"/>
      <c r="G19" s="254"/>
    </row>
    <row r="20" spans="1:7" s="7" customFormat="1" ht="16.8">
      <c r="A20" s="252"/>
      <c r="B20" s="253"/>
      <c r="C20" s="253"/>
      <c r="D20" s="253"/>
      <c r="E20" s="253"/>
      <c r="F20" s="253"/>
      <c r="G20" s="254"/>
    </row>
    <row r="21" spans="1:7" s="7" customFormat="1" ht="16.8">
      <c r="A21" s="252"/>
      <c r="B21" s="253"/>
      <c r="C21" s="253"/>
      <c r="D21" s="253"/>
      <c r="E21" s="253"/>
      <c r="F21" s="253"/>
      <c r="G21" s="254"/>
    </row>
    <row r="22" spans="1:7" s="7" customFormat="1" ht="16.8">
      <c r="A22" s="252"/>
      <c r="B22" s="253"/>
      <c r="C22" s="253"/>
      <c r="D22" s="253"/>
      <c r="E22" s="253"/>
      <c r="F22" s="253"/>
      <c r="G22" s="254"/>
    </row>
    <row r="23" spans="1:7" ht="17.399999999999999" thickBot="1">
      <c r="A23" s="255"/>
      <c r="B23" s="256"/>
      <c r="C23" s="256"/>
      <c r="D23" s="256"/>
      <c r="E23" s="256"/>
      <c r="F23" s="256"/>
      <c r="G23" s="257"/>
    </row>
    <row r="24" spans="1:7" ht="16.2" thickTop="1"/>
  </sheetData>
  <phoneticPr fontId="0" type="noConversion"/>
  <conditionalFormatting sqref="E11">
    <cfRule type="cellIs" dxfId="76" priority="1" stopIfTrue="1" operator="greaterThan">
      <formula>50</formula>
    </cfRule>
    <cfRule type="cellIs" dxfId="75"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1"/>
  <sheetViews>
    <sheetView showGridLines="0" workbookViewId="0">
      <pane ySplit="2" topLeftCell="A3" activePane="bottomLeft" state="frozen"/>
      <selection pane="bottomLeft" activeCell="A3" sqref="A3"/>
    </sheetView>
  </sheetViews>
  <sheetFormatPr defaultColWidth="13" defaultRowHeight="15.6"/>
  <cols>
    <col min="1" max="1" width="32.796875" style="207" bestFit="1" customWidth="1"/>
    <col min="2" max="2" width="5.8984375" style="207" bestFit="1" customWidth="1"/>
    <col min="3" max="3" width="7.59765625" style="209" hidden="1" customWidth="1"/>
    <col min="4" max="4" width="7.19921875" style="209" hidden="1" customWidth="1"/>
    <col min="5" max="5" width="9.19921875" style="209" bestFit="1" customWidth="1"/>
    <col min="6" max="6" width="7.3984375" style="209" customWidth="1"/>
    <col min="7" max="7" width="6" style="210" bestFit="1" customWidth="1"/>
    <col min="8" max="8" width="5.19921875" style="210" bestFit="1" customWidth="1"/>
    <col min="9" max="9" width="7.5" style="210" customWidth="1"/>
    <col min="10" max="10" width="26.59765625" style="207" customWidth="1"/>
    <col min="11" max="16384" width="13" style="33"/>
  </cols>
  <sheetData>
    <row r="1" spans="1:10" ht="23.4" thickBot="1">
      <c r="A1" s="137" t="s">
        <v>10</v>
      </c>
      <c r="B1" s="138"/>
      <c r="C1" s="138"/>
      <c r="D1" s="138"/>
      <c r="E1" s="138"/>
      <c r="F1" s="138"/>
      <c r="G1" s="139"/>
      <c r="H1" s="139"/>
      <c r="I1" s="139"/>
      <c r="J1" s="138"/>
    </row>
    <row r="2" spans="1:10" s="7" customFormat="1" ht="34.200000000000003" thickBot="1">
      <c r="A2" s="1" t="s">
        <v>102</v>
      </c>
      <c r="B2" s="2" t="s">
        <v>29</v>
      </c>
      <c r="C2" s="2" t="s">
        <v>36</v>
      </c>
      <c r="D2" s="2" t="s">
        <v>28</v>
      </c>
      <c r="E2" s="3" t="s">
        <v>61</v>
      </c>
      <c r="F2" s="3" t="s">
        <v>37</v>
      </c>
      <c r="G2" s="4" t="s">
        <v>66</v>
      </c>
      <c r="H2" s="5" t="s">
        <v>93</v>
      </c>
      <c r="I2" s="4" t="s">
        <v>79</v>
      </c>
      <c r="J2" s="6" t="s">
        <v>77</v>
      </c>
    </row>
    <row r="3" spans="1:10" s="7" customFormat="1" ht="16.8">
      <c r="A3" s="291" t="s">
        <v>230</v>
      </c>
      <c r="B3" s="292">
        <f>1+0+0+2</f>
        <v>3</v>
      </c>
      <c r="C3" s="117" t="s">
        <v>31</v>
      </c>
      <c r="D3" s="117" t="str">
        <f>IF(C3="Str",'Personal File'!$C$10,IF(C3="Dex",'Personal File'!$C$11,IF(C3="Con",'Personal File'!$C$12,IF(C3="Int",'Personal File'!$C$13,IF(C3="Wis",'Personal File'!$C$14,IF(C3="Cha",'Personal File'!$C$15))))))</f>
        <v>+2</v>
      </c>
      <c r="E3" s="297" t="str">
        <f t="shared" ref="E3" si="0">CONCATENATE(C3," (",D3,")")</f>
        <v>Con (+2)</v>
      </c>
      <c r="F3" s="457">
        <v>3</v>
      </c>
      <c r="G3" s="293">
        <f t="shared" ref="G3:G4" si="1">B3+D3+F3</f>
        <v>8</v>
      </c>
      <c r="H3" s="140">
        <f t="shared" ref="H3:H57" ca="1" si="2">RANDBETWEEN(1,20)</f>
        <v>9</v>
      </c>
      <c r="I3" s="294">
        <f t="shared" ref="I3:I4" ca="1" si="3">SUM(G3:H3)</f>
        <v>17</v>
      </c>
      <c r="J3" s="328"/>
    </row>
    <row r="4" spans="1:10" s="7" customFormat="1" ht="16.8">
      <c r="A4" s="295" t="s">
        <v>231</v>
      </c>
      <c r="B4" s="292">
        <f>1+0+0+2</f>
        <v>3</v>
      </c>
      <c r="C4" s="117" t="s">
        <v>34</v>
      </c>
      <c r="D4" s="117" t="str">
        <f>IF(C4="Str",'Personal File'!$C$10,IF(C4="Dex",'Personal File'!$C$11,IF(C4="Con",'Personal File'!$C$12,IF(C4="Int",'Personal File'!$C$13,IF(C4="Wis",'Personal File'!$C$14,IF(C4="Cha",'Personal File'!$C$15))))))</f>
        <v>+5</v>
      </c>
      <c r="E4" s="141" t="str">
        <f t="shared" ref="E4" si="4">CONCATENATE(C4," (",D4,")")</f>
        <v>Dex (+5)</v>
      </c>
      <c r="F4" s="458">
        <v>3</v>
      </c>
      <c r="G4" s="293">
        <f t="shared" si="1"/>
        <v>11</v>
      </c>
      <c r="H4" s="140">
        <f t="shared" ca="1" si="2"/>
        <v>20</v>
      </c>
      <c r="I4" s="294">
        <f t="shared" ca="1" si="3"/>
        <v>31</v>
      </c>
      <c r="J4" s="198" t="s">
        <v>469</v>
      </c>
    </row>
    <row r="5" spans="1:10" s="7" customFormat="1" ht="16.8">
      <c r="A5" s="142" t="s">
        <v>68</v>
      </c>
      <c r="B5" s="143">
        <f>3+2+2+5</f>
        <v>12</v>
      </c>
      <c r="C5" s="144" t="s">
        <v>33</v>
      </c>
      <c r="D5" s="144" t="str">
        <f>IF(C5="Str",'Personal File'!$C$10,IF(C5="Dex",'Personal File'!$C$11,IF(C5="Con",'Personal File'!$C$12,IF(C5="Int",'Personal File'!$C$13,IF(C5="Wis",'Personal File'!$C$14,IF(C5="Cha",'Personal File'!$C$15))))))</f>
        <v>+0</v>
      </c>
      <c r="E5" s="145" t="str">
        <f t="shared" ref="E5:E6" si="5">CONCATENATE(C5," (",D5,")")</f>
        <v>Wis (+0)</v>
      </c>
      <c r="F5" s="459">
        <v>3</v>
      </c>
      <c r="G5" s="146">
        <f t="shared" ref="G5:G58" si="6">B5+D5+F5</f>
        <v>15</v>
      </c>
      <c r="H5" s="147">
        <f t="shared" ca="1" si="2"/>
        <v>19</v>
      </c>
      <c r="I5" s="148">
        <f t="shared" ref="I5" ca="1" si="7">SUM(G5:H5)</f>
        <v>34</v>
      </c>
      <c r="J5" s="296"/>
    </row>
    <row r="6" spans="1:10" s="156" customFormat="1" ht="16.8">
      <c r="A6" s="174" t="s">
        <v>38</v>
      </c>
      <c r="B6" s="118">
        <v>0</v>
      </c>
      <c r="C6" s="175" t="s">
        <v>32</v>
      </c>
      <c r="D6" s="176" t="str">
        <f>IF(C6="Str",'Personal File'!$C$10,IF(C6="Dex",'Personal File'!$C$11,IF(C6="Con",'Personal File'!$C$12,IF(C6="Int",'Personal File'!$C$13,IF(C6="Wis",'Personal File'!$C$14,IF(C6="Cha",'Personal File'!$C$15))))))</f>
        <v>+4</v>
      </c>
      <c r="E6" s="177" t="str">
        <f t="shared" si="5"/>
        <v>Int (+4)</v>
      </c>
      <c r="F6" s="162" t="s">
        <v>62</v>
      </c>
      <c r="G6" s="162">
        <f t="shared" si="6"/>
        <v>4</v>
      </c>
      <c r="H6" s="316">
        <f t="shared" ca="1" si="2"/>
        <v>19</v>
      </c>
      <c r="I6" s="162">
        <f ca="1">SUM(G6:H6)</f>
        <v>23</v>
      </c>
      <c r="J6" s="198"/>
    </row>
    <row r="7" spans="1:10" s="157" customFormat="1" ht="16.8">
      <c r="A7" s="171" t="s">
        <v>39</v>
      </c>
      <c r="B7" s="118">
        <v>0</v>
      </c>
      <c r="C7" s="172" t="s">
        <v>34</v>
      </c>
      <c r="D7" s="173" t="str">
        <f>IF(C7="Str",'Personal File'!$C$10,IF(C7="Dex",'Personal File'!$C$11,IF(C7="Con",'Personal File'!$C$12,IF(C7="Int",'Personal File'!$C$13,IF(C7="Wis",'Personal File'!$C$14,IF(C7="Cha",'Personal File'!$C$15))))))</f>
        <v>+5</v>
      </c>
      <c r="E7" s="141" t="str">
        <f t="shared" ref="E7:E58" si="8">CONCATENATE(C7," (",D7,")")</f>
        <v>Dex (+5)</v>
      </c>
      <c r="F7" s="162" t="s">
        <v>62</v>
      </c>
      <c r="G7" s="162">
        <f t="shared" si="6"/>
        <v>5</v>
      </c>
      <c r="H7" s="140">
        <f t="shared" ca="1" si="2"/>
        <v>7</v>
      </c>
      <c r="I7" s="162">
        <f t="shared" ref="I7" ca="1" si="9">SUM(G7:H7)</f>
        <v>12</v>
      </c>
      <c r="J7" s="198"/>
    </row>
    <row r="8" spans="1:10" s="164" customFormat="1" ht="16.8">
      <c r="A8" s="158" t="s">
        <v>40</v>
      </c>
      <c r="B8" s="118">
        <v>0</v>
      </c>
      <c r="C8" s="159" t="s">
        <v>30</v>
      </c>
      <c r="D8" s="160" t="str">
        <f>IF(C8="Str",'Personal File'!$C$10,IF(C8="Dex",'Personal File'!$C$11,IF(C8="Con",'Personal File'!$C$12,IF(C8="Int",'Personal File'!$C$13,IF(C8="Wis",'Personal File'!$C$14,IF(C8="Cha",'Personal File'!$C$15))))))</f>
        <v>+2</v>
      </c>
      <c r="E8" s="161" t="str">
        <f t="shared" si="8"/>
        <v>Cha (+2)</v>
      </c>
      <c r="F8" s="162" t="s">
        <v>62</v>
      </c>
      <c r="G8" s="162">
        <f t="shared" si="6"/>
        <v>2</v>
      </c>
      <c r="H8" s="140">
        <f t="shared" ca="1" si="2"/>
        <v>10</v>
      </c>
      <c r="I8" s="162">
        <f t="shared" ref="I8:I58" ca="1" si="10">SUM(G8:H8)</f>
        <v>12</v>
      </c>
      <c r="J8" s="198"/>
    </row>
    <row r="9" spans="1:10" s="165" customFormat="1" ht="16.8">
      <c r="A9" s="189" t="s">
        <v>41</v>
      </c>
      <c r="B9" s="118">
        <v>0</v>
      </c>
      <c r="C9" s="190" t="s">
        <v>35</v>
      </c>
      <c r="D9" s="191" t="str">
        <f>IF(C9="Str",'Personal File'!$C$10,IF(C9="Dex",'Personal File'!$C$11,IF(C9="Con",'Personal File'!$C$12,IF(C9="Int",'Personal File'!$C$13,IF(C9="Wis",'Personal File'!$C$14,IF(C9="Cha",'Personal File'!$C$15))))))</f>
        <v>+0</v>
      </c>
      <c r="E9" s="192" t="str">
        <f t="shared" si="8"/>
        <v>Str (+0)</v>
      </c>
      <c r="F9" s="162" t="s">
        <v>62</v>
      </c>
      <c r="G9" s="162">
        <f t="shared" si="6"/>
        <v>0</v>
      </c>
      <c r="H9" s="140">
        <f t="shared" ca="1" si="2"/>
        <v>8</v>
      </c>
      <c r="I9" s="162">
        <f t="shared" ca="1" si="10"/>
        <v>8</v>
      </c>
      <c r="J9" s="198"/>
    </row>
    <row r="10" spans="1:10" s="165" customFormat="1" ht="16.8">
      <c r="A10" s="166" t="s">
        <v>16</v>
      </c>
      <c r="B10" s="150">
        <v>11</v>
      </c>
      <c r="C10" s="167" t="s">
        <v>31</v>
      </c>
      <c r="D10" s="168" t="str">
        <f>IF(C10="Str",'Personal File'!$C$10,IF(C10="Dex",'Personal File'!$C$11,IF(C10="Con",'Personal File'!$C$12,IF(C10="Int",'Personal File'!$C$13,IF(C10="Wis",'Personal File'!$C$14,IF(C10="Cha",'Personal File'!$C$15))))))</f>
        <v>+2</v>
      </c>
      <c r="E10" s="169" t="str">
        <f t="shared" si="8"/>
        <v>Con (+2)</v>
      </c>
      <c r="F10" s="154" t="s">
        <v>62</v>
      </c>
      <c r="G10" s="154">
        <f t="shared" si="6"/>
        <v>13</v>
      </c>
      <c r="H10" s="140">
        <f t="shared" ca="1" si="2"/>
        <v>11</v>
      </c>
      <c r="I10" s="154">
        <f t="shared" ca="1" si="10"/>
        <v>24</v>
      </c>
      <c r="J10" s="197"/>
    </row>
    <row r="11" spans="1:10" s="156" customFormat="1" ht="16.8">
      <c r="A11" s="174" t="s">
        <v>267</v>
      </c>
      <c r="B11" s="118">
        <v>0</v>
      </c>
      <c r="C11" s="175" t="s">
        <v>32</v>
      </c>
      <c r="D11" s="176" t="str">
        <f>IF(C11="Str",'Personal File'!$C$10,IF(C11="Dex",'Personal File'!$C$11,IF(C11="Con",'Personal File'!$C$12,IF(C11="Int",'Personal File'!$C$13,IF(C11="Wis",'Personal File'!$C$14,IF(C11="Cha",'Personal File'!$C$15))))))</f>
        <v>+4</v>
      </c>
      <c r="E11" s="177" t="str">
        <f t="shared" si="8"/>
        <v>Int (+4)</v>
      </c>
      <c r="F11" s="162" t="s">
        <v>62</v>
      </c>
      <c r="G11" s="162">
        <f t="shared" si="6"/>
        <v>4</v>
      </c>
      <c r="H11" s="140">
        <f t="shared" ca="1" si="2"/>
        <v>5</v>
      </c>
      <c r="I11" s="258">
        <f t="shared" ca="1" si="10"/>
        <v>9</v>
      </c>
      <c r="J11" s="311"/>
    </row>
    <row r="12" spans="1:10" s="170" customFormat="1" ht="16.8">
      <c r="A12" s="193" t="s">
        <v>42</v>
      </c>
      <c r="B12" s="179">
        <v>0</v>
      </c>
      <c r="C12" s="194" t="s">
        <v>32</v>
      </c>
      <c r="D12" s="195" t="str">
        <f>IF(C12="Str",'Personal File'!$C$10,IF(C12="Dex",'Personal File'!$C$11,IF(C12="Con",'Personal File'!$C$12,IF(C12="Int",'Personal File'!$C$13,IF(C12="Wis",'Personal File'!$C$14,IF(C12="Cha",'Personal File'!$C$15))))))</f>
        <v>+4</v>
      </c>
      <c r="E12" s="196" t="str">
        <f t="shared" si="8"/>
        <v>Int (+4)</v>
      </c>
      <c r="F12" s="183" t="s">
        <v>62</v>
      </c>
      <c r="G12" s="183">
        <f t="shared" si="6"/>
        <v>4</v>
      </c>
      <c r="H12" s="140">
        <f t="shared" ca="1" si="2"/>
        <v>20</v>
      </c>
      <c r="I12" s="183">
        <f t="shared" ca="1" si="10"/>
        <v>24</v>
      </c>
      <c r="J12" s="329"/>
    </row>
    <row r="13" spans="1:10" s="157" customFormat="1" ht="16.8">
      <c r="A13" s="158" t="s">
        <v>43</v>
      </c>
      <c r="B13" s="118">
        <v>0</v>
      </c>
      <c r="C13" s="159" t="s">
        <v>30</v>
      </c>
      <c r="D13" s="160" t="str">
        <f>IF(C13="Str",'Personal File'!$C$10,IF(C13="Dex",'Personal File'!$C$11,IF(C13="Con",'Personal File'!$C$12,IF(C13="Int",'Personal File'!$C$13,IF(C13="Wis",'Personal File'!$C$14,IF(C13="Cha",'Personal File'!$C$15))))))</f>
        <v>+2</v>
      </c>
      <c r="E13" s="161" t="str">
        <f t="shared" si="8"/>
        <v>Cha (+2)</v>
      </c>
      <c r="F13" s="162" t="s">
        <v>62</v>
      </c>
      <c r="G13" s="162">
        <f t="shared" si="6"/>
        <v>2</v>
      </c>
      <c r="H13" s="140">
        <f t="shared" ca="1" si="2"/>
        <v>20</v>
      </c>
      <c r="I13" s="162">
        <f t="shared" ca="1" si="10"/>
        <v>22</v>
      </c>
      <c r="J13" s="198"/>
    </row>
    <row r="14" spans="1:10" s="157" customFormat="1" ht="16.8">
      <c r="A14" s="193" t="s">
        <v>44</v>
      </c>
      <c r="B14" s="179">
        <v>0</v>
      </c>
      <c r="C14" s="194" t="s">
        <v>32</v>
      </c>
      <c r="D14" s="195" t="str">
        <f>IF(C14="Str",'Personal File'!$C$10,IF(C14="Dex",'Personal File'!$C$11,IF(C14="Con",'Personal File'!$C$12,IF(C14="Int",'Personal File'!$C$13,IF(C14="Wis",'Personal File'!$C$14,IF(C14="Cha",'Personal File'!$C$15))))))</f>
        <v>+4</v>
      </c>
      <c r="E14" s="196" t="str">
        <f t="shared" si="8"/>
        <v>Int (+4)</v>
      </c>
      <c r="F14" s="183" t="s">
        <v>62</v>
      </c>
      <c r="G14" s="183">
        <f t="shared" si="6"/>
        <v>4</v>
      </c>
      <c r="H14" s="140">
        <f t="shared" ca="1" si="2"/>
        <v>14</v>
      </c>
      <c r="I14" s="183">
        <f t="shared" ca="1" si="10"/>
        <v>18</v>
      </c>
      <c r="J14" s="329"/>
    </row>
    <row r="15" spans="1:10" s="157" customFormat="1" ht="16.8">
      <c r="A15" s="158" t="s">
        <v>45</v>
      </c>
      <c r="B15" s="118">
        <v>0</v>
      </c>
      <c r="C15" s="159" t="s">
        <v>30</v>
      </c>
      <c r="D15" s="160" t="str">
        <f>IF(C15="Str",'Personal File'!$C$10,IF(C15="Dex",'Personal File'!$C$11,IF(C15="Con",'Personal File'!$C$12,IF(C15="Int",'Personal File'!$C$13,IF(C15="Wis",'Personal File'!$C$14,IF(C15="Cha",'Personal File'!$C$15))))))</f>
        <v>+2</v>
      </c>
      <c r="E15" s="161" t="str">
        <f t="shared" si="8"/>
        <v>Cha (+2)</v>
      </c>
      <c r="F15" s="162" t="s">
        <v>62</v>
      </c>
      <c r="G15" s="162">
        <f t="shared" si="6"/>
        <v>2</v>
      </c>
      <c r="H15" s="140">
        <f t="shared" ca="1" si="2"/>
        <v>9</v>
      </c>
      <c r="I15" s="162">
        <f t="shared" ca="1" si="10"/>
        <v>11</v>
      </c>
      <c r="J15" s="198"/>
    </row>
    <row r="16" spans="1:10" s="157" customFormat="1" ht="16.8">
      <c r="A16" s="171" t="s">
        <v>46</v>
      </c>
      <c r="B16" s="118">
        <v>0</v>
      </c>
      <c r="C16" s="172" t="s">
        <v>34</v>
      </c>
      <c r="D16" s="173" t="str">
        <f>IF(C16="Str",'Personal File'!$C$10,IF(C16="Dex",'Personal File'!$C$11,IF(C16="Con",'Personal File'!$C$12,IF(C16="Int",'Personal File'!$C$13,IF(C16="Wis",'Personal File'!$C$14,IF(C16="Cha",'Personal File'!$C$15))))))</f>
        <v>+5</v>
      </c>
      <c r="E16" s="141" t="str">
        <f t="shared" si="8"/>
        <v>Dex (+5)</v>
      </c>
      <c r="F16" s="162" t="s">
        <v>62</v>
      </c>
      <c r="G16" s="162">
        <f t="shared" si="6"/>
        <v>5</v>
      </c>
      <c r="H16" s="140">
        <f t="shared" ca="1" si="2"/>
        <v>11</v>
      </c>
      <c r="I16" s="162">
        <f t="shared" ca="1" si="10"/>
        <v>16</v>
      </c>
      <c r="J16" s="198"/>
    </row>
    <row r="17" spans="1:10" s="157" customFormat="1" ht="16.8">
      <c r="A17" s="174" t="s">
        <v>47</v>
      </c>
      <c r="B17" s="118">
        <v>0</v>
      </c>
      <c r="C17" s="175" t="s">
        <v>32</v>
      </c>
      <c r="D17" s="176" t="str">
        <f>IF(C17="Str",'Personal File'!$C$10,IF(C17="Dex",'Personal File'!$C$11,IF(C17="Con",'Personal File'!$C$12,IF(C17="Int",'Personal File'!$C$13,IF(C17="Wis",'Personal File'!$C$14,IF(C17="Cha",'Personal File'!$C$15))))))</f>
        <v>+4</v>
      </c>
      <c r="E17" s="177" t="str">
        <f t="shared" si="8"/>
        <v>Int (+4)</v>
      </c>
      <c r="F17" s="162" t="s">
        <v>62</v>
      </c>
      <c r="G17" s="162">
        <f t="shared" si="6"/>
        <v>4</v>
      </c>
      <c r="H17" s="140">
        <f t="shared" ca="1" si="2"/>
        <v>7</v>
      </c>
      <c r="I17" s="162">
        <f t="shared" ca="1" si="10"/>
        <v>11</v>
      </c>
      <c r="J17" s="198"/>
    </row>
    <row r="18" spans="1:10" s="157" customFormat="1" ht="16.8">
      <c r="A18" s="158" t="s">
        <v>48</v>
      </c>
      <c r="B18" s="118">
        <v>0</v>
      </c>
      <c r="C18" s="159" t="s">
        <v>30</v>
      </c>
      <c r="D18" s="160" t="str">
        <f>IF(C18="Str",'Personal File'!$C$10,IF(C18="Dex",'Personal File'!$C$11,IF(C18="Con",'Personal File'!$C$12,IF(C18="Int",'Personal File'!$C$13,IF(C18="Wis",'Personal File'!$C$14,IF(C18="Cha",'Personal File'!$C$15))))))</f>
        <v>+2</v>
      </c>
      <c r="E18" s="161" t="str">
        <f t="shared" si="8"/>
        <v>Cha (+2)</v>
      </c>
      <c r="F18" s="162" t="s">
        <v>62</v>
      </c>
      <c r="G18" s="162">
        <f t="shared" si="6"/>
        <v>2</v>
      </c>
      <c r="H18" s="140">
        <f t="shared" ca="1" si="2"/>
        <v>1</v>
      </c>
      <c r="I18" s="162">
        <f t="shared" ca="1" si="10"/>
        <v>3</v>
      </c>
      <c r="J18" s="198"/>
    </row>
    <row r="19" spans="1:10" s="157" customFormat="1" ht="16.8">
      <c r="A19" s="178" t="s">
        <v>18</v>
      </c>
      <c r="B19" s="179">
        <v>0</v>
      </c>
      <c r="C19" s="180" t="s">
        <v>30</v>
      </c>
      <c r="D19" s="181" t="str">
        <f>IF(C19="Str",'Personal File'!$C$10,IF(C19="Dex",'Personal File'!$C$11,IF(C19="Con",'Personal File'!$C$12,IF(C19="Int",'Personal File'!$C$13,IF(C19="Wis",'Personal File'!$C$14,IF(C19="Cha",'Personal File'!$C$15))))))</f>
        <v>+2</v>
      </c>
      <c r="E19" s="182" t="str">
        <f t="shared" si="8"/>
        <v>Cha (+2)</v>
      </c>
      <c r="F19" s="183" t="s">
        <v>62</v>
      </c>
      <c r="G19" s="183">
        <f t="shared" si="6"/>
        <v>2</v>
      </c>
      <c r="H19" s="140">
        <f t="shared" ca="1" si="2"/>
        <v>7</v>
      </c>
      <c r="I19" s="183">
        <f t="shared" ca="1" si="10"/>
        <v>9</v>
      </c>
      <c r="J19" s="329"/>
    </row>
    <row r="20" spans="1:10" s="157" customFormat="1" ht="16.8">
      <c r="A20" s="185" t="s">
        <v>49</v>
      </c>
      <c r="B20" s="118">
        <v>0</v>
      </c>
      <c r="C20" s="186" t="s">
        <v>33</v>
      </c>
      <c r="D20" s="187" t="str">
        <f>IF(C20="Str",'Personal File'!$C$10,IF(C20="Dex",'Personal File'!$C$11,IF(C20="Con",'Personal File'!$C$12,IF(C20="Int",'Personal File'!$C$13,IF(C20="Wis",'Personal File'!$C$14,IF(C20="Cha",'Personal File'!$C$15))))))</f>
        <v>+0</v>
      </c>
      <c r="E20" s="188" t="str">
        <f t="shared" si="8"/>
        <v>Wis (+0)</v>
      </c>
      <c r="F20" s="162" t="s">
        <v>62</v>
      </c>
      <c r="G20" s="162">
        <f t="shared" si="6"/>
        <v>0</v>
      </c>
      <c r="H20" s="140">
        <f t="shared" ca="1" si="2"/>
        <v>10</v>
      </c>
      <c r="I20" s="162">
        <f t="shared" ca="1" si="10"/>
        <v>10</v>
      </c>
      <c r="J20" s="198"/>
    </row>
    <row r="21" spans="1:10" s="157" customFormat="1" ht="16.8">
      <c r="A21" s="171" t="s">
        <v>50</v>
      </c>
      <c r="B21" s="118">
        <v>0</v>
      </c>
      <c r="C21" s="172" t="s">
        <v>34</v>
      </c>
      <c r="D21" s="173" t="str">
        <f>IF(C21="Str",'Personal File'!$C$10,IF(C21="Dex",'Personal File'!$C$11,IF(C21="Con",'Personal File'!$C$12,IF(C21="Int",'Personal File'!$C$13,IF(C21="Wis",'Personal File'!$C$14,IF(C21="Cha",'Personal File'!$C$15))))))</f>
        <v>+5</v>
      </c>
      <c r="E21" s="141" t="str">
        <f t="shared" si="8"/>
        <v>Dex (+5)</v>
      </c>
      <c r="F21" s="162" t="s">
        <v>155</v>
      </c>
      <c r="G21" s="162">
        <f t="shared" si="6"/>
        <v>13</v>
      </c>
      <c r="H21" s="140">
        <f t="shared" ca="1" si="2"/>
        <v>14</v>
      </c>
      <c r="I21" s="162">
        <f t="shared" ca="1" si="10"/>
        <v>27</v>
      </c>
      <c r="J21" s="198"/>
    </row>
    <row r="22" spans="1:10" s="157" customFormat="1" ht="16.8">
      <c r="A22" s="158" t="s">
        <v>51</v>
      </c>
      <c r="B22" s="118">
        <v>0</v>
      </c>
      <c r="C22" s="159" t="s">
        <v>30</v>
      </c>
      <c r="D22" s="160" t="str">
        <f>IF(C22="Str",'Personal File'!$C$10,IF(C22="Dex",'Personal File'!$C$11,IF(C22="Con",'Personal File'!$C$12,IF(C22="Int",'Personal File'!$C$13,IF(C22="Wis",'Personal File'!$C$14,IF(C22="Cha",'Personal File'!$C$15))))))</f>
        <v>+2</v>
      </c>
      <c r="E22" s="161" t="str">
        <f t="shared" si="8"/>
        <v>Cha (+2)</v>
      </c>
      <c r="F22" s="162" t="s">
        <v>62</v>
      </c>
      <c r="G22" s="162">
        <f t="shared" si="6"/>
        <v>2</v>
      </c>
      <c r="H22" s="140">
        <f t="shared" ca="1" si="2"/>
        <v>17</v>
      </c>
      <c r="I22" s="162">
        <f t="shared" ca="1" si="10"/>
        <v>19</v>
      </c>
      <c r="J22" s="198"/>
    </row>
    <row r="23" spans="1:10" s="157" customFormat="1" ht="16.8">
      <c r="A23" s="189" t="s">
        <v>52</v>
      </c>
      <c r="B23" s="118">
        <v>0</v>
      </c>
      <c r="C23" s="190" t="s">
        <v>35</v>
      </c>
      <c r="D23" s="191" t="str">
        <f>IF(C23="Str",'Personal File'!$C$10,IF(C23="Dex",'Personal File'!$C$11,IF(C23="Con",'Personal File'!$C$12,IF(C23="Int",'Personal File'!$C$13,IF(C23="Wis",'Personal File'!$C$14,IF(C23="Cha",'Personal File'!$C$15))))))</f>
        <v>+0</v>
      </c>
      <c r="E23" s="192" t="str">
        <f t="shared" si="8"/>
        <v>Str (+0)</v>
      </c>
      <c r="F23" s="162" t="s">
        <v>62</v>
      </c>
      <c r="G23" s="162">
        <f t="shared" si="6"/>
        <v>0</v>
      </c>
      <c r="H23" s="140">
        <f t="shared" ca="1" si="2"/>
        <v>8</v>
      </c>
      <c r="I23" s="162">
        <f t="shared" ca="1" si="10"/>
        <v>8</v>
      </c>
      <c r="J23" s="198"/>
    </row>
    <row r="24" spans="1:10" s="157" customFormat="1" ht="16.8">
      <c r="A24" s="149" t="s">
        <v>82</v>
      </c>
      <c r="B24" s="150">
        <v>12</v>
      </c>
      <c r="C24" s="151" t="s">
        <v>32</v>
      </c>
      <c r="D24" s="152" t="str">
        <f>IF(C24="Str",'Personal File'!$C$10,IF(C24="Dex",'Personal File'!$C$11,IF(C24="Con",'Personal File'!$C$12,IF(C24="Int",'Personal File'!$C$13,IF(C24="Wis",'Personal File'!$C$14,IF(C24="Cha",'Personal File'!$C$15))))))</f>
        <v>+4</v>
      </c>
      <c r="E24" s="153" t="str">
        <f t="shared" si="8"/>
        <v>Int (+4)</v>
      </c>
      <c r="F24" s="154" t="s">
        <v>62</v>
      </c>
      <c r="G24" s="154">
        <f t="shared" si="6"/>
        <v>16</v>
      </c>
      <c r="H24" s="140">
        <f t="shared" ca="1" si="2"/>
        <v>10</v>
      </c>
      <c r="I24" s="154">
        <f t="shared" ca="1" si="10"/>
        <v>26</v>
      </c>
      <c r="J24" s="197"/>
    </row>
    <row r="25" spans="1:10" s="157" customFormat="1" ht="16.8">
      <c r="A25" s="193" t="s">
        <v>120</v>
      </c>
      <c r="B25" s="179">
        <v>0</v>
      </c>
      <c r="C25" s="194" t="s">
        <v>32</v>
      </c>
      <c r="D25" s="195" t="str">
        <f>IF(C25="Str",'Personal File'!$C$10,IF(C25="Dex",'Personal File'!$C$11,IF(C25="Con",'Personal File'!$C$12,IF(C25="Int",'Personal File'!$C$13,IF(C25="Wis",'Personal File'!$C$14,IF(C25="Cha",'Personal File'!$C$15))))))</f>
        <v>+4</v>
      </c>
      <c r="E25" s="196" t="str">
        <f t="shared" si="8"/>
        <v>Int (+4)</v>
      </c>
      <c r="F25" s="183" t="s">
        <v>62</v>
      </c>
      <c r="G25" s="183">
        <f t="shared" si="6"/>
        <v>4</v>
      </c>
      <c r="H25" s="140">
        <f t="shared" ca="1" si="2"/>
        <v>11</v>
      </c>
      <c r="I25" s="183">
        <f t="shared" ref="I25" ca="1" si="11">SUM(G25:H25)</f>
        <v>15</v>
      </c>
      <c r="J25" s="329"/>
    </row>
    <row r="26" spans="1:10" s="157" customFormat="1" ht="16.8">
      <c r="A26" s="193" t="s">
        <v>101</v>
      </c>
      <c r="B26" s="179">
        <v>0</v>
      </c>
      <c r="C26" s="194" t="s">
        <v>32</v>
      </c>
      <c r="D26" s="195" t="str">
        <f>IF(C26="Str",'Personal File'!$C$10,IF(C26="Dex",'Personal File'!$C$11,IF(C26="Con",'Personal File'!$C$12,IF(C26="Int",'Personal File'!$C$13,IF(C26="Wis",'Personal File'!$C$14,IF(C26="Cha",'Personal File'!$C$15))))))</f>
        <v>+4</v>
      </c>
      <c r="E26" s="196" t="str">
        <f t="shared" ref="E26:E27" si="12">CONCATENATE(C26," (",D26,")")</f>
        <v>Int (+4)</v>
      </c>
      <c r="F26" s="183" t="s">
        <v>62</v>
      </c>
      <c r="G26" s="183">
        <f t="shared" si="6"/>
        <v>4</v>
      </c>
      <c r="H26" s="140">
        <f t="shared" ca="1" si="2"/>
        <v>13</v>
      </c>
      <c r="I26" s="183">
        <f t="shared" ref="I26" ca="1" si="13">SUM(G26:H26)</f>
        <v>17</v>
      </c>
      <c r="J26" s="329"/>
    </row>
    <row r="27" spans="1:10" s="157" customFormat="1" ht="16.8">
      <c r="A27" s="193" t="s">
        <v>121</v>
      </c>
      <c r="B27" s="179">
        <v>0</v>
      </c>
      <c r="C27" s="194" t="s">
        <v>32</v>
      </c>
      <c r="D27" s="195" t="str">
        <f>IF(C27="Str",'Personal File'!$C$10,IF(C27="Dex",'Personal File'!$C$11,IF(C27="Con",'Personal File'!$C$12,IF(C27="Int",'Personal File'!$C$13,IF(C27="Wis",'Personal File'!$C$14,IF(C27="Cha",'Personal File'!$C$15))))))</f>
        <v>+4</v>
      </c>
      <c r="E27" s="196" t="str">
        <f t="shared" si="12"/>
        <v>Int (+4)</v>
      </c>
      <c r="F27" s="183" t="s">
        <v>62</v>
      </c>
      <c r="G27" s="183">
        <f t="shared" si="6"/>
        <v>4</v>
      </c>
      <c r="H27" s="140">
        <f t="shared" ca="1" si="2"/>
        <v>7</v>
      </c>
      <c r="I27" s="183">
        <f t="shared" ref="I27" ca="1" si="14">SUM(G27:H27)</f>
        <v>11</v>
      </c>
      <c r="J27" s="329"/>
    </row>
    <row r="28" spans="1:10" s="157" customFormat="1" ht="16.8">
      <c r="A28" s="193" t="s">
        <v>90</v>
      </c>
      <c r="B28" s="179">
        <v>0</v>
      </c>
      <c r="C28" s="194" t="s">
        <v>32</v>
      </c>
      <c r="D28" s="195" t="str">
        <f>IF(C28="Str",'Personal File'!$C$10,IF(C28="Dex",'Personal File'!$C$11,IF(C28="Con",'Personal File'!$C$12,IF(C28="Int",'Personal File'!$C$13,IF(C28="Wis",'Personal File'!$C$14,IF(C28="Cha",'Personal File'!$C$15))))))</f>
        <v>+4</v>
      </c>
      <c r="E28" s="196" t="str">
        <f t="shared" ref="E28:E32" si="15">CONCATENATE(C28," (",D28,")")</f>
        <v>Int (+4)</v>
      </c>
      <c r="F28" s="183" t="s">
        <v>62</v>
      </c>
      <c r="G28" s="183">
        <f t="shared" si="6"/>
        <v>4</v>
      </c>
      <c r="H28" s="140">
        <f t="shared" ca="1" si="2"/>
        <v>13</v>
      </c>
      <c r="I28" s="183">
        <f t="shared" ca="1" si="10"/>
        <v>17</v>
      </c>
      <c r="J28" s="329"/>
    </row>
    <row r="29" spans="1:10" s="157" customFormat="1" ht="16.8">
      <c r="A29" s="193" t="s">
        <v>130</v>
      </c>
      <c r="B29" s="179">
        <v>0</v>
      </c>
      <c r="C29" s="194" t="s">
        <v>32</v>
      </c>
      <c r="D29" s="195" t="str">
        <f>IF(C29="Str",'Personal File'!$C$10,IF(C29="Dex",'Personal File'!$C$11,IF(C29="Con",'Personal File'!$C$12,IF(C29="Int",'Personal File'!$C$13,IF(C29="Wis",'Personal File'!$C$14,IF(C29="Cha",'Personal File'!$C$15))))))</f>
        <v>+4</v>
      </c>
      <c r="E29" s="196" t="str">
        <f t="shared" ref="E29:E30" si="16">CONCATENATE(C29," (",D29,")")</f>
        <v>Int (+4)</v>
      </c>
      <c r="F29" s="183" t="s">
        <v>62</v>
      </c>
      <c r="G29" s="183">
        <f t="shared" si="6"/>
        <v>4</v>
      </c>
      <c r="H29" s="140">
        <f t="shared" ca="1" si="2"/>
        <v>11</v>
      </c>
      <c r="I29" s="183">
        <f t="shared" ref="I29:I30" ca="1" si="17">SUM(G29:H29)</f>
        <v>15</v>
      </c>
      <c r="J29" s="329"/>
    </row>
    <row r="30" spans="1:10" s="157" customFormat="1" ht="16.8">
      <c r="A30" s="149" t="s">
        <v>129</v>
      </c>
      <c r="B30" s="150">
        <v>6</v>
      </c>
      <c r="C30" s="151" t="s">
        <v>32</v>
      </c>
      <c r="D30" s="152" t="str">
        <f>IF(C30="Str",'Personal File'!$C$10,IF(C30="Dex",'Personal File'!$C$11,IF(C30="Con",'Personal File'!$C$12,IF(C30="Int",'Personal File'!$C$13,IF(C30="Wis",'Personal File'!$C$14,IF(C30="Cha",'Personal File'!$C$15))))))</f>
        <v>+4</v>
      </c>
      <c r="E30" s="153" t="str">
        <f t="shared" si="16"/>
        <v>Int (+4)</v>
      </c>
      <c r="F30" s="154" t="s">
        <v>62</v>
      </c>
      <c r="G30" s="154">
        <f t="shared" si="6"/>
        <v>10</v>
      </c>
      <c r="H30" s="140">
        <f t="shared" ca="1" si="2"/>
        <v>14</v>
      </c>
      <c r="I30" s="154">
        <f t="shared" ca="1" si="17"/>
        <v>24</v>
      </c>
      <c r="J30" s="197"/>
    </row>
    <row r="31" spans="1:10" s="157" customFormat="1" ht="16.8">
      <c r="A31" s="149" t="s">
        <v>91</v>
      </c>
      <c r="B31" s="150">
        <v>11</v>
      </c>
      <c r="C31" s="151" t="s">
        <v>32</v>
      </c>
      <c r="D31" s="152" t="str">
        <f>IF(C31="Str",'Personal File'!$C$10,IF(C31="Dex",'Personal File'!$C$11,IF(C31="Con",'Personal File'!$C$12,IF(C31="Int",'Personal File'!$C$13,IF(C31="Wis",'Personal File'!$C$14,IF(C31="Cha",'Personal File'!$C$15))))))</f>
        <v>+4</v>
      </c>
      <c r="E31" s="153" t="str">
        <f t="shared" ref="E31" si="18">CONCATENATE(C31," (",D31,")")</f>
        <v>Int (+4)</v>
      </c>
      <c r="F31" s="154" t="s">
        <v>62</v>
      </c>
      <c r="G31" s="154">
        <f t="shared" si="6"/>
        <v>15</v>
      </c>
      <c r="H31" s="140">
        <f t="shared" ca="1" si="2"/>
        <v>6</v>
      </c>
      <c r="I31" s="154">
        <f t="shared" ref="I31" ca="1" si="19">SUM(G31:H31)</f>
        <v>21</v>
      </c>
      <c r="J31" s="197"/>
    </row>
    <row r="32" spans="1:10" s="157" customFormat="1" ht="16.8">
      <c r="A32" s="149" t="s">
        <v>100</v>
      </c>
      <c r="B32" s="150">
        <v>8</v>
      </c>
      <c r="C32" s="151" t="s">
        <v>32</v>
      </c>
      <c r="D32" s="152" t="str">
        <f>IF(C32="Str",'Personal File'!$C$10,IF(C32="Dex",'Personal File'!$C$11,IF(C32="Con",'Personal File'!$C$12,IF(C32="Int",'Personal File'!$C$13,IF(C32="Wis",'Personal File'!$C$14,IF(C32="Cha",'Personal File'!$C$15))))))</f>
        <v>+4</v>
      </c>
      <c r="E32" s="153" t="str">
        <f t="shared" si="15"/>
        <v>Int (+4)</v>
      </c>
      <c r="F32" s="154" t="s">
        <v>62</v>
      </c>
      <c r="G32" s="154">
        <f t="shared" si="6"/>
        <v>12</v>
      </c>
      <c r="H32" s="140">
        <f t="shared" ca="1" si="2"/>
        <v>7</v>
      </c>
      <c r="I32" s="154">
        <f t="shared" ca="1" si="10"/>
        <v>19</v>
      </c>
      <c r="J32" s="197"/>
    </row>
    <row r="33" spans="1:10" s="157" customFormat="1" ht="16.8">
      <c r="A33" s="185" t="s">
        <v>53</v>
      </c>
      <c r="B33" s="118">
        <v>0</v>
      </c>
      <c r="C33" s="186" t="s">
        <v>33</v>
      </c>
      <c r="D33" s="187" t="str">
        <f>IF(C33="Str",'Personal File'!$C$10,IF(C33="Dex",'Personal File'!$C$11,IF(C33="Con",'Personal File'!$C$12,IF(C33="Int",'Personal File'!$C$13,IF(C33="Wis",'Personal File'!$C$14,IF(C33="Cha",'Personal File'!$C$15))))))</f>
        <v>+0</v>
      </c>
      <c r="E33" s="188" t="str">
        <f t="shared" si="8"/>
        <v>Wis (+0)</v>
      </c>
      <c r="F33" s="162" t="s">
        <v>92</v>
      </c>
      <c r="G33" s="162">
        <f t="shared" si="6"/>
        <v>2</v>
      </c>
      <c r="H33" s="140">
        <f t="shared" ca="1" si="2"/>
        <v>20</v>
      </c>
      <c r="I33" s="162">
        <f t="shared" ca="1" si="10"/>
        <v>22</v>
      </c>
      <c r="J33" s="198"/>
    </row>
    <row r="34" spans="1:10" s="157" customFormat="1" ht="16.8">
      <c r="A34" s="171" t="s">
        <v>19</v>
      </c>
      <c r="B34" s="118">
        <v>0</v>
      </c>
      <c r="C34" s="172" t="s">
        <v>34</v>
      </c>
      <c r="D34" s="173" t="str">
        <f>IF(C34="Str",'Personal File'!$C$10,IF(C34="Dex",'Personal File'!$C$11,IF(C34="Con",'Personal File'!$C$12,IF(C34="Int",'Personal File'!$C$13,IF(C34="Wis",'Personal File'!$C$14,IF(C34="Cha",'Personal File'!$C$15))))))</f>
        <v>+5</v>
      </c>
      <c r="E34" s="141" t="str">
        <f t="shared" si="8"/>
        <v>Dex (+5)</v>
      </c>
      <c r="F34" s="162" t="s">
        <v>154</v>
      </c>
      <c r="G34" s="162">
        <f t="shared" si="6"/>
        <v>9</v>
      </c>
      <c r="H34" s="140">
        <f t="shared" ca="1" si="2"/>
        <v>18</v>
      </c>
      <c r="I34" s="162">
        <f t="shared" ca="1" si="10"/>
        <v>27</v>
      </c>
      <c r="J34" s="198"/>
    </row>
    <row r="35" spans="1:10" s="157" customFormat="1" ht="16.8">
      <c r="A35" s="312" t="s">
        <v>54</v>
      </c>
      <c r="B35" s="179">
        <v>0</v>
      </c>
      <c r="C35" s="313" t="s">
        <v>34</v>
      </c>
      <c r="D35" s="314" t="str">
        <f>IF(C35="Str",'Personal File'!$C$10,IF(C35="Dex",'Personal File'!$C$11,IF(C35="Con",'Personal File'!$C$12,IF(C35="Int",'Personal File'!$C$13,IF(C35="Wis",'Personal File'!$C$14,IF(C35="Cha",'Personal File'!$C$15))))))</f>
        <v>+5</v>
      </c>
      <c r="E35" s="315" t="str">
        <f t="shared" si="8"/>
        <v>Dex (+5)</v>
      </c>
      <c r="F35" s="183" t="s">
        <v>62</v>
      </c>
      <c r="G35" s="183">
        <f t="shared" si="6"/>
        <v>5</v>
      </c>
      <c r="H35" s="140">
        <f t="shared" ca="1" si="2"/>
        <v>15</v>
      </c>
      <c r="I35" s="183">
        <f t="shared" ca="1" si="10"/>
        <v>20</v>
      </c>
      <c r="J35" s="329"/>
    </row>
    <row r="36" spans="1:10" ht="16.8">
      <c r="A36" s="158" t="s">
        <v>417</v>
      </c>
      <c r="B36" s="118">
        <v>0</v>
      </c>
      <c r="C36" s="159" t="s">
        <v>30</v>
      </c>
      <c r="D36" s="160" t="str">
        <f>IF(C36="Str",'Personal File'!$C$10,IF(C36="Dex",'Personal File'!$C$11,IF(C36="Con",'Personal File'!$C$12,IF(C36="Int",'Personal File'!$C$13,IF(C36="Wis",'Personal File'!$C$14,IF(C36="Cha",'Personal File'!$C$15))))))</f>
        <v>+2</v>
      </c>
      <c r="E36" s="161" t="str">
        <f t="shared" si="8"/>
        <v>Cha (+2)</v>
      </c>
      <c r="F36" s="162" t="s">
        <v>62</v>
      </c>
      <c r="G36" s="162">
        <f t="shared" si="6"/>
        <v>2</v>
      </c>
      <c r="H36" s="140">
        <f t="shared" ca="1" si="2"/>
        <v>13</v>
      </c>
      <c r="I36" s="162">
        <f t="shared" ca="1" si="10"/>
        <v>15</v>
      </c>
      <c r="J36" s="198"/>
    </row>
    <row r="37" spans="1:10" ht="16.8">
      <c r="A37" s="353" t="s">
        <v>363</v>
      </c>
      <c r="B37" s="150">
        <v>4</v>
      </c>
      <c r="C37" s="367" t="s">
        <v>33</v>
      </c>
      <c r="D37" s="368" t="str">
        <f>IF(C37="Str",'Personal File'!$C$10,IF(C37="Dex",'Personal File'!$C$11,IF(C37="Con",'Personal File'!$C$12,IF(C37="Int",'Personal File'!$C$13,IF(C37="Wis",'Personal File'!$C$14,IF(C37="Cha",'Personal File'!$C$15))))))</f>
        <v>+0</v>
      </c>
      <c r="E37" s="369" t="str">
        <f t="shared" ref="E37" si="20">CONCATENATE(C37," (",D37,")")</f>
        <v>Wis (+0)</v>
      </c>
      <c r="F37" s="154" t="s">
        <v>62</v>
      </c>
      <c r="G37" s="370">
        <f t="shared" si="6"/>
        <v>4</v>
      </c>
      <c r="H37" s="140">
        <f t="shared" ca="1" si="2"/>
        <v>3</v>
      </c>
      <c r="I37" s="370">
        <f t="shared" ca="1" si="10"/>
        <v>7</v>
      </c>
      <c r="J37" s="197"/>
    </row>
    <row r="38" spans="1:10" ht="16.8">
      <c r="A38" s="317" t="s">
        <v>20</v>
      </c>
      <c r="B38" s="150">
        <v>2</v>
      </c>
      <c r="C38" s="318" t="s">
        <v>34</v>
      </c>
      <c r="D38" s="319" t="str">
        <f>IF(C38="Str",'Personal File'!$C$10,IF(C38="Dex",'Personal File'!$C$11,IF(C38="Con",'Personal File'!$C$12,IF(C38="Int",'Personal File'!$C$13,IF(C38="Wis",'Personal File'!$C$14,IF(C38="Cha",'Personal File'!$C$15))))))</f>
        <v>+5</v>
      </c>
      <c r="E38" s="320" t="str">
        <f t="shared" si="8"/>
        <v>Dex (+5)</v>
      </c>
      <c r="F38" s="154" t="s">
        <v>62</v>
      </c>
      <c r="G38" s="154">
        <f t="shared" si="6"/>
        <v>7</v>
      </c>
      <c r="H38" s="140">
        <f t="shared" ca="1" si="2"/>
        <v>4</v>
      </c>
      <c r="I38" s="154">
        <f t="shared" ca="1" si="10"/>
        <v>11</v>
      </c>
      <c r="J38" s="155"/>
    </row>
    <row r="39" spans="1:10" ht="16.8">
      <c r="A39" s="174" t="s">
        <v>21</v>
      </c>
      <c r="B39" s="118">
        <v>0</v>
      </c>
      <c r="C39" s="175" t="s">
        <v>32</v>
      </c>
      <c r="D39" s="176" t="str">
        <f>IF(C39="Str",'Personal File'!$C$10,IF(C39="Dex",'Personal File'!$C$11,IF(C39="Con",'Personal File'!$C$12,IF(C39="Int",'Personal File'!$C$13,IF(C39="Wis",'Personal File'!$C$14,IF(C39="Cha",'Personal File'!$C$15))))))</f>
        <v>+4</v>
      </c>
      <c r="E39" s="177" t="str">
        <f t="shared" si="8"/>
        <v>Int (+4)</v>
      </c>
      <c r="F39" s="162" t="s">
        <v>62</v>
      </c>
      <c r="G39" s="162">
        <f t="shared" si="6"/>
        <v>4</v>
      </c>
      <c r="H39" s="140">
        <f t="shared" ca="1" si="2"/>
        <v>15</v>
      </c>
      <c r="I39" s="162">
        <f t="shared" ca="1" si="10"/>
        <v>19</v>
      </c>
      <c r="J39" s="163"/>
    </row>
    <row r="40" spans="1:10" ht="16.8">
      <c r="A40" s="185" t="s">
        <v>55</v>
      </c>
      <c r="B40" s="118">
        <v>0</v>
      </c>
      <c r="C40" s="186" t="s">
        <v>33</v>
      </c>
      <c r="D40" s="187" t="str">
        <f>IF(C40="Str",'Personal File'!$C$10,IF(C40="Dex",'Personal File'!$C$11,IF(C40="Con",'Personal File'!$C$12,IF(C40="Int",'Personal File'!$C$13,IF(C40="Wis",'Personal File'!$C$14,IF(C40="Cha",'Personal File'!$C$15))))))</f>
        <v>+0</v>
      </c>
      <c r="E40" s="188" t="str">
        <f t="shared" si="8"/>
        <v>Wis (+0)</v>
      </c>
      <c r="F40" s="162" t="s">
        <v>62</v>
      </c>
      <c r="G40" s="162">
        <f t="shared" si="6"/>
        <v>0</v>
      </c>
      <c r="H40" s="140">
        <f t="shared" ca="1" si="2"/>
        <v>2</v>
      </c>
      <c r="I40" s="162">
        <f t="shared" ca="1" si="10"/>
        <v>2</v>
      </c>
      <c r="J40" s="163"/>
    </row>
    <row r="41" spans="1:10" ht="16.8">
      <c r="A41" s="312" t="s">
        <v>83</v>
      </c>
      <c r="B41" s="179">
        <v>0</v>
      </c>
      <c r="C41" s="313" t="s">
        <v>34</v>
      </c>
      <c r="D41" s="314" t="str">
        <f>IF(C41="Str",'Personal File'!$C$10,IF(C41="Dex",'Personal File'!$C$11,IF(C41="Con",'Personal File'!$C$12,IF(C41="Int",'Personal File'!$C$13,IF(C41="Wis",'Personal File'!$C$14,IF(C41="Cha",'Personal File'!$C$15))))))</f>
        <v>+5</v>
      </c>
      <c r="E41" s="315" t="str">
        <f t="shared" si="8"/>
        <v>Dex (+5)</v>
      </c>
      <c r="F41" s="183" t="s">
        <v>62</v>
      </c>
      <c r="G41" s="183">
        <f t="shared" si="6"/>
        <v>5</v>
      </c>
      <c r="H41" s="140">
        <f t="shared" ca="1" si="2"/>
        <v>18</v>
      </c>
      <c r="I41" s="183">
        <f t="shared" ca="1" si="10"/>
        <v>23</v>
      </c>
      <c r="J41" s="184"/>
    </row>
    <row r="42" spans="1:10" ht="16.8">
      <c r="A42" s="149" t="s">
        <v>253</v>
      </c>
      <c r="B42" s="150">
        <v>1</v>
      </c>
      <c r="C42" s="151" t="s">
        <v>32</v>
      </c>
      <c r="D42" s="152" t="str">
        <f>IF(C42="Str",'Personal File'!$C$10,IF(C42="Dex",'Personal File'!$C$11,IF(C42="Con",'Personal File'!$C$12,IF(C42="Int",'Personal File'!$C$13,IF(C42="Wis",'Personal File'!$C$14,IF(C42="Cha",'Personal File'!$C$15))))))</f>
        <v>+4</v>
      </c>
      <c r="E42" s="153" t="str">
        <f t="shared" si="8"/>
        <v>Int (+4)</v>
      </c>
      <c r="F42" s="154" t="s">
        <v>62</v>
      </c>
      <c r="G42" s="154">
        <f t="shared" si="6"/>
        <v>5</v>
      </c>
      <c r="H42" s="140">
        <f t="shared" ca="1" si="2"/>
        <v>1</v>
      </c>
      <c r="I42" s="154">
        <f t="shared" ca="1" si="10"/>
        <v>6</v>
      </c>
      <c r="J42" s="197"/>
    </row>
    <row r="43" spans="1:10" ht="16.8">
      <c r="A43" s="149" t="s">
        <v>254</v>
      </c>
      <c r="B43" s="150">
        <v>1</v>
      </c>
      <c r="C43" s="151" t="s">
        <v>32</v>
      </c>
      <c r="D43" s="152" t="str">
        <f>IF(C43="Str",'Personal File'!$C$10,IF(C43="Dex",'Personal File'!$C$11,IF(C43="Con",'Personal File'!$C$12,IF(C43="Int",'Personal File'!$C$13,IF(C43="Wis",'Personal File'!$C$14,IF(C43="Cha",'Personal File'!$C$15))))))</f>
        <v>+4</v>
      </c>
      <c r="E43" s="153" t="str">
        <f t="shared" ref="E43:E51" si="21">CONCATENATE(C43," (",D43,")")</f>
        <v>Int (+4)</v>
      </c>
      <c r="F43" s="154" t="s">
        <v>62</v>
      </c>
      <c r="G43" s="154">
        <f t="shared" ref="G43:G51" si="22">B43+D43+F43</f>
        <v>5</v>
      </c>
      <c r="H43" s="140">
        <f t="shared" ca="1" si="2"/>
        <v>10</v>
      </c>
      <c r="I43" s="154">
        <f t="shared" ref="I43:I51" ca="1" si="23">SUM(G43:H43)</f>
        <v>15</v>
      </c>
      <c r="J43" s="197"/>
    </row>
    <row r="44" spans="1:10" ht="16.8">
      <c r="A44" s="149" t="s">
        <v>255</v>
      </c>
      <c r="B44" s="150">
        <v>1</v>
      </c>
      <c r="C44" s="151" t="s">
        <v>32</v>
      </c>
      <c r="D44" s="152" t="str">
        <f>IF(C44="Str",'Personal File'!$C$10,IF(C44="Dex",'Personal File'!$C$11,IF(C44="Con",'Personal File'!$C$12,IF(C44="Int",'Personal File'!$C$13,IF(C44="Wis",'Personal File'!$C$14,IF(C44="Cha",'Personal File'!$C$15))))))</f>
        <v>+4</v>
      </c>
      <c r="E44" s="153" t="str">
        <f t="shared" si="21"/>
        <v>Int (+4)</v>
      </c>
      <c r="F44" s="154" t="s">
        <v>62</v>
      </c>
      <c r="G44" s="154">
        <f t="shared" si="22"/>
        <v>5</v>
      </c>
      <c r="H44" s="140">
        <f t="shared" ca="1" si="2"/>
        <v>11</v>
      </c>
      <c r="I44" s="154">
        <f t="shared" ca="1" si="23"/>
        <v>16</v>
      </c>
      <c r="J44" s="197"/>
    </row>
    <row r="45" spans="1:10" ht="16.8">
      <c r="A45" s="149" t="s">
        <v>256</v>
      </c>
      <c r="B45" s="150">
        <v>1</v>
      </c>
      <c r="C45" s="151" t="s">
        <v>32</v>
      </c>
      <c r="D45" s="152" t="str">
        <f>IF(C45="Str",'Personal File'!$C$10,IF(C45="Dex",'Personal File'!$C$11,IF(C45="Con",'Personal File'!$C$12,IF(C45="Int",'Personal File'!$C$13,IF(C45="Wis",'Personal File'!$C$14,IF(C45="Cha",'Personal File'!$C$15))))))</f>
        <v>+4</v>
      </c>
      <c r="E45" s="153" t="str">
        <f t="shared" si="21"/>
        <v>Int (+4)</v>
      </c>
      <c r="F45" s="154" t="s">
        <v>62</v>
      </c>
      <c r="G45" s="154">
        <f t="shared" si="22"/>
        <v>5</v>
      </c>
      <c r="H45" s="140">
        <f t="shared" ca="1" si="2"/>
        <v>13</v>
      </c>
      <c r="I45" s="154">
        <f t="shared" ca="1" si="23"/>
        <v>18</v>
      </c>
      <c r="J45" s="197"/>
    </row>
    <row r="46" spans="1:10" ht="16.8">
      <c r="A46" s="149" t="s">
        <v>259</v>
      </c>
      <c r="B46" s="150">
        <v>1</v>
      </c>
      <c r="C46" s="151" t="s">
        <v>32</v>
      </c>
      <c r="D46" s="152" t="str">
        <f>IF(C46="Str",'Personal File'!$C$10,IF(C46="Dex",'Personal File'!$C$11,IF(C46="Con",'Personal File'!$C$12,IF(C46="Int",'Personal File'!$C$13,IF(C46="Wis",'Personal File'!$C$14,IF(C46="Cha",'Personal File'!$C$15))))))</f>
        <v>+4</v>
      </c>
      <c r="E46" s="153" t="str">
        <f t="shared" si="21"/>
        <v>Int (+4)</v>
      </c>
      <c r="F46" s="154" t="s">
        <v>62</v>
      </c>
      <c r="G46" s="154">
        <f t="shared" si="22"/>
        <v>5</v>
      </c>
      <c r="H46" s="140">
        <f t="shared" ca="1" si="2"/>
        <v>8</v>
      </c>
      <c r="I46" s="154">
        <f t="shared" ca="1" si="23"/>
        <v>13</v>
      </c>
      <c r="J46" s="197"/>
    </row>
    <row r="47" spans="1:10" ht="16.8">
      <c r="A47" s="149" t="s">
        <v>260</v>
      </c>
      <c r="B47" s="150">
        <v>1</v>
      </c>
      <c r="C47" s="151" t="s">
        <v>32</v>
      </c>
      <c r="D47" s="152" t="str">
        <f>IF(C47="Str",'Personal File'!$C$10,IF(C47="Dex",'Personal File'!$C$11,IF(C47="Con",'Personal File'!$C$12,IF(C47="Int",'Personal File'!$C$13,IF(C47="Wis",'Personal File'!$C$14,IF(C47="Cha",'Personal File'!$C$15))))))</f>
        <v>+4</v>
      </c>
      <c r="E47" s="153" t="str">
        <f t="shared" si="21"/>
        <v>Int (+4)</v>
      </c>
      <c r="F47" s="154" t="s">
        <v>62</v>
      </c>
      <c r="G47" s="154">
        <f t="shared" si="22"/>
        <v>5</v>
      </c>
      <c r="H47" s="140">
        <f t="shared" ca="1" si="2"/>
        <v>14</v>
      </c>
      <c r="I47" s="154">
        <f t="shared" ca="1" si="23"/>
        <v>19</v>
      </c>
      <c r="J47" s="197"/>
    </row>
    <row r="48" spans="1:10" ht="16.8">
      <c r="A48" s="149" t="s">
        <v>261</v>
      </c>
      <c r="B48" s="150">
        <v>1</v>
      </c>
      <c r="C48" s="151" t="s">
        <v>32</v>
      </c>
      <c r="D48" s="152" t="str">
        <f>IF(C48="Str",'Personal File'!$C$10,IF(C48="Dex",'Personal File'!$C$11,IF(C48="Con",'Personal File'!$C$12,IF(C48="Int",'Personal File'!$C$13,IF(C48="Wis",'Personal File'!$C$14,IF(C48="Cha",'Personal File'!$C$15))))))</f>
        <v>+4</v>
      </c>
      <c r="E48" s="153" t="str">
        <f t="shared" si="21"/>
        <v>Int (+4)</v>
      </c>
      <c r="F48" s="154" t="s">
        <v>62</v>
      </c>
      <c r="G48" s="154">
        <f t="shared" si="22"/>
        <v>5</v>
      </c>
      <c r="H48" s="140">
        <f t="shared" ca="1" si="2"/>
        <v>8</v>
      </c>
      <c r="I48" s="154">
        <f t="shared" ca="1" si="23"/>
        <v>13</v>
      </c>
      <c r="J48" s="197"/>
    </row>
    <row r="49" spans="1:10" ht="16.8">
      <c r="A49" s="149" t="s">
        <v>262</v>
      </c>
      <c r="B49" s="150">
        <v>1</v>
      </c>
      <c r="C49" s="151" t="s">
        <v>32</v>
      </c>
      <c r="D49" s="152" t="str">
        <f>IF(C49="Str",'Personal File'!$C$10,IF(C49="Dex",'Personal File'!$C$11,IF(C49="Con",'Personal File'!$C$12,IF(C49="Int",'Personal File'!$C$13,IF(C49="Wis",'Personal File'!$C$14,IF(C49="Cha",'Personal File'!$C$15))))))</f>
        <v>+4</v>
      </c>
      <c r="E49" s="153" t="str">
        <f t="shared" si="21"/>
        <v>Int (+4)</v>
      </c>
      <c r="F49" s="154" t="s">
        <v>62</v>
      </c>
      <c r="G49" s="154">
        <f t="shared" si="22"/>
        <v>5</v>
      </c>
      <c r="H49" s="140">
        <f t="shared" ca="1" si="2"/>
        <v>13</v>
      </c>
      <c r="I49" s="154">
        <f t="shared" ca="1" si="23"/>
        <v>18</v>
      </c>
      <c r="J49" s="197"/>
    </row>
    <row r="50" spans="1:10" ht="16.8">
      <c r="A50" s="149" t="s">
        <v>258</v>
      </c>
      <c r="B50" s="150">
        <v>1</v>
      </c>
      <c r="C50" s="151" t="s">
        <v>32</v>
      </c>
      <c r="D50" s="152" t="str">
        <f>IF(C50="Str",'Personal File'!$C$10,IF(C50="Dex",'Personal File'!$C$11,IF(C50="Con",'Personal File'!$C$12,IF(C50="Int",'Personal File'!$C$13,IF(C50="Wis",'Personal File'!$C$14,IF(C50="Cha",'Personal File'!$C$15))))))</f>
        <v>+4</v>
      </c>
      <c r="E50" s="153" t="str">
        <f t="shared" si="21"/>
        <v>Int (+4)</v>
      </c>
      <c r="F50" s="154" t="s">
        <v>62</v>
      </c>
      <c r="G50" s="154">
        <f t="shared" si="22"/>
        <v>5</v>
      </c>
      <c r="H50" s="140">
        <f t="shared" ca="1" si="2"/>
        <v>14</v>
      </c>
      <c r="I50" s="154">
        <f t="shared" ca="1" si="23"/>
        <v>19</v>
      </c>
      <c r="J50" s="197"/>
    </row>
    <row r="51" spans="1:10" ht="16.8">
      <c r="A51" s="149" t="s">
        <v>257</v>
      </c>
      <c r="B51" s="150">
        <v>1</v>
      </c>
      <c r="C51" s="151" t="s">
        <v>32</v>
      </c>
      <c r="D51" s="152" t="str">
        <f>IF(C51="Str",'Personal File'!$C$10,IF(C51="Dex",'Personal File'!$C$11,IF(C51="Con",'Personal File'!$C$12,IF(C51="Int",'Personal File'!$C$13,IF(C51="Wis",'Personal File'!$C$14,IF(C51="Cha",'Personal File'!$C$15))))))</f>
        <v>+4</v>
      </c>
      <c r="E51" s="153" t="str">
        <f t="shared" si="21"/>
        <v>Int (+4)</v>
      </c>
      <c r="F51" s="154" t="s">
        <v>62</v>
      </c>
      <c r="G51" s="154">
        <f t="shared" si="22"/>
        <v>5</v>
      </c>
      <c r="H51" s="140">
        <f t="shared" ca="1" si="2"/>
        <v>2</v>
      </c>
      <c r="I51" s="154">
        <f t="shared" ca="1" si="23"/>
        <v>7</v>
      </c>
      <c r="J51" s="197"/>
    </row>
    <row r="52" spans="1:10" ht="16.8">
      <c r="A52" s="149" t="s">
        <v>56</v>
      </c>
      <c r="B52" s="150">
        <v>12</v>
      </c>
      <c r="C52" s="151" t="s">
        <v>32</v>
      </c>
      <c r="D52" s="152" t="str">
        <f>IF(C52="Str",'Personal File'!$C$10,IF(C52="Dex",'Personal File'!$C$11,IF(C52="Con",'Personal File'!$C$12,IF(C52="Int",'Personal File'!$C$13,IF(C52="Wis",'Personal File'!$C$14,IF(C52="Cha",'Personal File'!$C$15))))))</f>
        <v>+4</v>
      </c>
      <c r="E52" s="153" t="str">
        <f t="shared" si="8"/>
        <v>Int (+4)</v>
      </c>
      <c r="F52" s="154" t="s">
        <v>92</v>
      </c>
      <c r="G52" s="154">
        <f t="shared" si="6"/>
        <v>18</v>
      </c>
      <c r="H52" s="140">
        <f t="shared" ca="1" si="2"/>
        <v>19</v>
      </c>
      <c r="I52" s="154">
        <f t="shared" ca="1" si="10"/>
        <v>37</v>
      </c>
      <c r="J52" s="197"/>
    </row>
    <row r="53" spans="1:10" ht="16.8">
      <c r="A53" s="185" t="s">
        <v>57</v>
      </c>
      <c r="B53" s="118">
        <v>0</v>
      </c>
      <c r="C53" s="186" t="s">
        <v>33</v>
      </c>
      <c r="D53" s="187" t="str">
        <f>IF(C53="Str",'Personal File'!$C$10,IF(C53="Dex",'Personal File'!$C$11,IF(C53="Con",'Personal File'!$C$12,IF(C53="Int",'Personal File'!$C$13,IF(C53="Wis",'Personal File'!$C$14,IF(C53="Cha",'Personal File'!$C$15))))))</f>
        <v>+0</v>
      </c>
      <c r="E53" s="188" t="str">
        <f t="shared" si="8"/>
        <v>Wis (+0)</v>
      </c>
      <c r="F53" s="162" t="s">
        <v>92</v>
      </c>
      <c r="G53" s="162">
        <f t="shared" si="6"/>
        <v>2</v>
      </c>
      <c r="H53" s="140">
        <f t="shared" ca="1" si="2"/>
        <v>8</v>
      </c>
      <c r="I53" s="162">
        <f t="shared" ca="1" si="10"/>
        <v>10</v>
      </c>
      <c r="J53" s="163"/>
    </row>
    <row r="54" spans="1:10" ht="16.8">
      <c r="A54" s="185" t="s">
        <v>84</v>
      </c>
      <c r="B54" s="118">
        <v>0</v>
      </c>
      <c r="C54" s="186" t="s">
        <v>33</v>
      </c>
      <c r="D54" s="187" t="str">
        <f>IF(C54="Str",'Personal File'!$C$10,IF(C54="Dex",'Personal File'!$C$11,IF(C54="Con",'Personal File'!$C$12,IF(C54="Int",'Personal File'!$C$13,IF(C54="Wis",'Personal File'!$C$14,IF(C54="Cha",'Personal File'!$C$15))))))</f>
        <v>+0</v>
      </c>
      <c r="E54" s="188" t="str">
        <f t="shared" si="8"/>
        <v>Wis (+0)</v>
      </c>
      <c r="F54" s="162" t="s">
        <v>62</v>
      </c>
      <c r="G54" s="162">
        <f t="shared" si="6"/>
        <v>0</v>
      </c>
      <c r="H54" s="140">
        <f t="shared" ca="1" si="2"/>
        <v>18</v>
      </c>
      <c r="I54" s="162">
        <f t="shared" ca="1" si="10"/>
        <v>18</v>
      </c>
      <c r="J54" s="198"/>
    </row>
    <row r="55" spans="1:10" ht="16.8">
      <c r="A55" s="189" t="s">
        <v>22</v>
      </c>
      <c r="B55" s="118">
        <v>0</v>
      </c>
      <c r="C55" s="190" t="s">
        <v>35</v>
      </c>
      <c r="D55" s="191" t="str">
        <f>IF(C55="Str",'Personal File'!$C$10,IF(C55="Dex",'Personal File'!$C$11,IF(C55="Con",'Personal File'!$C$12,IF(C55="Int",'Personal File'!$C$13,IF(C55="Wis",'Personal File'!$C$14,IF(C55="Cha",'Personal File'!$C$15))))))</f>
        <v>+0</v>
      </c>
      <c r="E55" s="192" t="str">
        <f t="shared" si="8"/>
        <v>Str (+0)</v>
      </c>
      <c r="F55" s="162" t="s">
        <v>62</v>
      </c>
      <c r="G55" s="162">
        <f t="shared" si="6"/>
        <v>0</v>
      </c>
      <c r="H55" s="140">
        <f t="shared" ca="1" si="2"/>
        <v>19</v>
      </c>
      <c r="I55" s="162">
        <f t="shared" ca="1" si="10"/>
        <v>19</v>
      </c>
      <c r="J55" s="163"/>
    </row>
    <row r="56" spans="1:10" ht="16.8">
      <c r="A56" s="312" t="s">
        <v>58</v>
      </c>
      <c r="B56" s="179">
        <v>0</v>
      </c>
      <c r="C56" s="313" t="s">
        <v>34</v>
      </c>
      <c r="D56" s="314" t="str">
        <f>IF(C56="Str",'Personal File'!$C$10,IF(C56="Dex",'Personal File'!$C$11,IF(C56="Con",'Personal File'!$C$12,IF(C56="Int",'Personal File'!$C$13,IF(C56="Wis",'Personal File'!$C$14,IF(C56="Cha",'Personal File'!$C$15))))))</f>
        <v>+5</v>
      </c>
      <c r="E56" s="315" t="str">
        <f t="shared" si="8"/>
        <v>Dex (+5)</v>
      </c>
      <c r="F56" s="183" t="s">
        <v>62</v>
      </c>
      <c r="G56" s="183">
        <f t="shared" si="6"/>
        <v>5</v>
      </c>
      <c r="H56" s="140">
        <f t="shared" ca="1" si="2"/>
        <v>6</v>
      </c>
      <c r="I56" s="183">
        <f t="shared" ca="1" si="10"/>
        <v>11</v>
      </c>
      <c r="J56" s="184"/>
    </row>
    <row r="57" spans="1:10" ht="16.8">
      <c r="A57" s="353" t="s">
        <v>59</v>
      </c>
      <c r="B57" s="150">
        <v>12</v>
      </c>
      <c r="C57" s="354" t="s">
        <v>30</v>
      </c>
      <c r="D57" s="355" t="str">
        <f>IF(C57="Str",'Personal File'!$C$10,IF(C57="Dex",'Personal File'!$C$11,IF(C57="Con",'Personal File'!$C$12,IF(C57="Int",'Personal File'!$C$13,IF(C57="Wis",'Personal File'!$C$14,IF(C57="Cha",'Personal File'!$C$15))))))</f>
        <v>+2</v>
      </c>
      <c r="E57" s="356" t="str">
        <f t="shared" si="8"/>
        <v>Cha (+2)</v>
      </c>
      <c r="F57" s="154" t="s">
        <v>62</v>
      </c>
      <c r="G57" s="154">
        <f t="shared" si="6"/>
        <v>14</v>
      </c>
      <c r="H57" s="140">
        <f t="shared" ca="1" si="2"/>
        <v>10</v>
      </c>
      <c r="I57" s="154">
        <f t="shared" ca="1" si="10"/>
        <v>24</v>
      </c>
      <c r="J57" s="155"/>
    </row>
    <row r="58" spans="1:10" ht="17.399999999999999" thickBot="1">
      <c r="A58" s="199" t="s">
        <v>60</v>
      </c>
      <c r="B58" s="200">
        <v>0</v>
      </c>
      <c r="C58" s="201" t="s">
        <v>34</v>
      </c>
      <c r="D58" s="202" t="str">
        <f>IF(C58="Str",'Personal File'!$C$10,IF(C58="Dex",'Personal File'!$C$11,IF(C58="Con",'Personal File'!$C$12,IF(C58="Int",'Personal File'!$C$13,IF(C58="Wis",'Personal File'!$C$14,IF(C58="Cha",'Personal File'!$C$15))))))</f>
        <v>+5</v>
      </c>
      <c r="E58" s="203" t="str">
        <f t="shared" si="8"/>
        <v>Dex (+5)</v>
      </c>
      <c r="F58" s="204" t="s">
        <v>62</v>
      </c>
      <c r="G58" s="204">
        <f t="shared" si="6"/>
        <v>5</v>
      </c>
      <c r="H58" s="205">
        <f t="shared" ref="H58" ca="1" si="24">RANDBETWEEN(1,20)</f>
        <v>12</v>
      </c>
      <c r="I58" s="204">
        <f t="shared" ca="1" si="10"/>
        <v>17</v>
      </c>
      <c r="J58" s="206"/>
    </row>
    <row r="59" spans="1:10" ht="16.2" thickTop="1">
      <c r="B59" s="208">
        <f>SUM(B6:B58)+B38</f>
        <v>90</v>
      </c>
      <c r="E59" s="208">
        <f>SUM(E60:E72)</f>
        <v>90</v>
      </c>
    </row>
    <row r="60" spans="1:10">
      <c r="B60" s="208"/>
      <c r="E60" s="38">
        <v>24</v>
      </c>
      <c r="F60" s="211" t="s">
        <v>237</v>
      </c>
    </row>
    <row r="61" spans="1:10">
      <c r="E61" s="38">
        <v>6</v>
      </c>
      <c r="F61" s="211" t="s">
        <v>263</v>
      </c>
    </row>
    <row r="62" spans="1:10">
      <c r="E62" s="38">
        <v>6</v>
      </c>
      <c r="F62" s="211" t="s">
        <v>238</v>
      </c>
    </row>
    <row r="63" spans="1:10">
      <c r="E63" s="38">
        <v>6</v>
      </c>
      <c r="F63" s="211" t="s">
        <v>239</v>
      </c>
    </row>
    <row r="64" spans="1:10">
      <c r="E64" s="38">
        <v>6</v>
      </c>
      <c r="F64" s="211" t="s">
        <v>264</v>
      </c>
    </row>
    <row r="65" spans="5:6">
      <c r="E65" s="38">
        <v>6</v>
      </c>
      <c r="F65" s="211" t="s">
        <v>265</v>
      </c>
    </row>
    <row r="66" spans="5:6">
      <c r="E66" s="38">
        <v>6</v>
      </c>
      <c r="F66" s="211" t="s">
        <v>266</v>
      </c>
    </row>
    <row r="67" spans="5:6">
      <c r="E67" s="38">
        <v>6</v>
      </c>
      <c r="F67" s="211" t="s">
        <v>329</v>
      </c>
    </row>
    <row r="68" spans="5:6">
      <c r="E68" s="38">
        <v>6</v>
      </c>
      <c r="F68" s="211" t="s">
        <v>336</v>
      </c>
    </row>
    <row r="69" spans="5:6">
      <c r="E69" s="38">
        <v>6</v>
      </c>
      <c r="F69" s="211" t="s">
        <v>343</v>
      </c>
    </row>
    <row r="70" spans="5:6">
      <c r="E70" s="38">
        <v>6</v>
      </c>
      <c r="F70" s="211" t="s">
        <v>423</v>
      </c>
    </row>
    <row r="71" spans="5:6">
      <c r="E71" s="38">
        <v>6</v>
      </c>
      <c r="F71" s="211" t="s">
        <v>424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8"/>
  <sheetViews>
    <sheetView showGridLines="0" workbookViewId="0">
      <pane ySplit="2" topLeftCell="A3" activePane="bottomLeft" state="frozen"/>
      <selection pane="bottomLeft" activeCell="A3" sqref="A3"/>
    </sheetView>
  </sheetViews>
  <sheetFormatPr defaultColWidth="13" defaultRowHeight="15.6"/>
  <cols>
    <col min="1" max="1" width="22.09765625" style="135" bestFit="1" customWidth="1"/>
    <col min="2" max="2" width="6.19921875" style="135" bestFit="1" customWidth="1"/>
    <col min="3" max="3" width="13.3984375" style="136" bestFit="1" customWidth="1"/>
    <col min="4" max="4" width="11.19921875" style="136" bestFit="1" customWidth="1"/>
    <col min="5" max="5" width="10.59765625" style="136" bestFit="1" customWidth="1"/>
    <col min="6" max="6" width="13" style="136" bestFit="1" customWidth="1"/>
    <col min="7" max="7" width="13.3984375" style="136" bestFit="1" customWidth="1"/>
    <col min="8" max="8" width="20.8984375" style="135" bestFit="1" customWidth="1"/>
    <col min="9" max="9" width="5.59765625" style="121" bestFit="1" customWidth="1"/>
    <col min="10" max="16384" width="13" style="122"/>
  </cols>
  <sheetData>
    <row r="1" spans="1:9" ht="23.4" thickBot="1">
      <c r="A1" s="119" t="s">
        <v>179</v>
      </c>
      <c r="B1" s="120"/>
      <c r="C1" s="120"/>
      <c r="D1" s="120"/>
      <c r="E1" s="120"/>
      <c r="F1" s="120"/>
      <c r="G1" s="120"/>
      <c r="H1" s="120"/>
    </row>
    <row r="2" spans="1:9" s="126" customFormat="1" ht="31.8" thickBot="1">
      <c r="A2" s="123" t="s">
        <v>94</v>
      </c>
      <c r="B2" s="124" t="s">
        <v>97</v>
      </c>
      <c r="C2" s="124" t="s">
        <v>156</v>
      </c>
      <c r="D2" s="125" t="s">
        <v>157</v>
      </c>
      <c r="E2" s="125" t="s">
        <v>158</v>
      </c>
      <c r="F2" s="124" t="s">
        <v>159</v>
      </c>
      <c r="G2" s="124" t="s">
        <v>160</v>
      </c>
      <c r="H2" s="357" t="s">
        <v>209</v>
      </c>
      <c r="I2" s="358" t="s">
        <v>210</v>
      </c>
    </row>
    <row r="3" spans="1:9" ht="16.8">
      <c r="A3" s="127" t="s">
        <v>145</v>
      </c>
      <c r="B3" s="461">
        <v>0</v>
      </c>
      <c r="C3" s="12" t="s">
        <v>161</v>
      </c>
      <c r="D3" s="9" t="s">
        <v>162</v>
      </c>
      <c r="E3" s="286" t="s">
        <v>163</v>
      </c>
      <c r="F3" s="10" t="s">
        <v>164</v>
      </c>
      <c r="G3" s="10" t="s">
        <v>165</v>
      </c>
      <c r="H3" s="10" t="s">
        <v>208</v>
      </c>
      <c r="I3" s="13">
        <v>196</v>
      </c>
    </row>
    <row r="4" spans="1:9" ht="16.8">
      <c r="A4" s="282" t="s">
        <v>218</v>
      </c>
      <c r="B4" s="457">
        <v>0</v>
      </c>
      <c r="C4" s="283" t="s">
        <v>168</v>
      </c>
      <c r="D4" s="284" t="s">
        <v>162</v>
      </c>
      <c r="E4" s="285" t="s">
        <v>163</v>
      </c>
      <c r="F4" s="285" t="s">
        <v>164</v>
      </c>
      <c r="G4" s="285" t="s">
        <v>172</v>
      </c>
      <c r="H4" s="285" t="s">
        <v>212</v>
      </c>
      <c r="I4" s="13">
        <v>9</v>
      </c>
    </row>
    <row r="5" spans="1:9" ht="16.8">
      <c r="A5" s="127" t="s">
        <v>180</v>
      </c>
      <c r="B5" s="457">
        <v>0</v>
      </c>
      <c r="C5" s="12" t="s">
        <v>181</v>
      </c>
      <c r="D5" s="9" t="s">
        <v>162</v>
      </c>
      <c r="E5" s="286" t="s">
        <v>163</v>
      </c>
      <c r="F5" s="10" t="s">
        <v>182</v>
      </c>
      <c r="G5" s="10" t="s">
        <v>183</v>
      </c>
      <c r="H5" s="10" t="s">
        <v>208</v>
      </c>
      <c r="I5" s="13">
        <v>201</v>
      </c>
    </row>
    <row r="6" spans="1:9" ht="16.8">
      <c r="A6" s="282" t="s">
        <v>219</v>
      </c>
      <c r="B6" s="457">
        <v>0</v>
      </c>
      <c r="C6" s="283" t="s">
        <v>161</v>
      </c>
      <c r="D6" s="284" t="s">
        <v>162</v>
      </c>
      <c r="E6" s="285" t="s">
        <v>163</v>
      </c>
      <c r="F6" s="285" t="s">
        <v>164</v>
      </c>
      <c r="G6" s="285" t="s">
        <v>178</v>
      </c>
      <c r="H6" s="285" t="s">
        <v>212</v>
      </c>
      <c r="I6" s="287">
        <v>42</v>
      </c>
    </row>
    <row r="7" spans="1:9" ht="16.8">
      <c r="A7" s="127" t="s">
        <v>112</v>
      </c>
      <c r="B7" s="457">
        <v>0</v>
      </c>
      <c r="C7" s="12" t="s">
        <v>184</v>
      </c>
      <c r="D7" s="9" t="s">
        <v>162</v>
      </c>
      <c r="E7" s="10" t="s">
        <v>163</v>
      </c>
      <c r="F7" s="10" t="s">
        <v>171</v>
      </c>
      <c r="G7" s="10" t="s">
        <v>175</v>
      </c>
      <c r="H7" s="10" t="s">
        <v>208</v>
      </c>
      <c r="I7" s="13">
        <v>216</v>
      </c>
    </row>
    <row r="8" spans="1:9" ht="16.8">
      <c r="A8" s="127" t="s">
        <v>144</v>
      </c>
      <c r="B8" s="457">
        <v>0</v>
      </c>
      <c r="C8" s="12" t="s">
        <v>181</v>
      </c>
      <c r="D8" s="9" t="s">
        <v>162</v>
      </c>
      <c r="E8" s="10" t="s">
        <v>163</v>
      </c>
      <c r="F8" s="10" t="s">
        <v>186</v>
      </c>
      <c r="G8" s="10" t="s">
        <v>177</v>
      </c>
      <c r="H8" s="10" t="s">
        <v>208</v>
      </c>
      <c r="I8" s="13">
        <v>219</v>
      </c>
    </row>
    <row r="9" spans="1:9" ht="16.8">
      <c r="A9" s="127" t="s">
        <v>187</v>
      </c>
      <c r="B9" s="457">
        <v>0</v>
      </c>
      <c r="C9" s="14" t="s">
        <v>188</v>
      </c>
      <c r="D9" s="9" t="s">
        <v>162</v>
      </c>
      <c r="E9" s="286" t="s">
        <v>163</v>
      </c>
      <c r="F9" s="10" t="s">
        <v>164</v>
      </c>
      <c r="G9" s="10" t="s">
        <v>165</v>
      </c>
      <c r="H9" s="10" t="s">
        <v>208</v>
      </c>
      <c r="I9" s="13">
        <v>219</v>
      </c>
    </row>
    <row r="10" spans="1:9" ht="16.8">
      <c r="A10" s="127" t="s">
        <v>166</v>
      </c>
      <c r="B10" s="457">
        <v>0</v>
      </c>
      <c r="C10" s="12" t="s">
        <v>167</v>
      </c>
      <c r="D10" s="8" t="s">
        <v>162</v>
      </c>
      <c r="E10" s="288" t="s">
        <v>163</v>
      </c>
      <c r="F10" s="129" t="s">
        <v>164</v>
      </c>
      <c r="G10" s="129" t="s">
        <v>165</v>
      </c>
      <c r="H10" s="129" t="s">
        <v>212</v>
      </c>
      <c r="I10" s="13">
        <v>78</v>
      </c>
    </row>
    <row r="11" spans="1:9" ht="16.8">
      <c r="A11" s="127" t="s">
        <v>190</v>
      </c>
      <c r="B11" s="457">
        <v>0</v>
      </c>
      <c r="C11" s="14" t="s">
        <v>167</v>
      </c>
      <c r="D11" s="9" t="s">
        <v>191</v>
      </c>
      <c r="E11" s="286" t="s">
        <v>163</v>
      </c>
      <c r="F11" s="10" t="s">
        <v>164</v>
      </c>
      <c r="G11" s="10" t="s">
        <v>165</v>
      </c>
      <c r="H11" s="10" t="s">
        <v>208</v>
      </c>
      <c r="I11" s="13">
        <v>232</v>
      </c>
    </row>
    <row r="12" spans="1:9" s="121" customFormat="1" ht="16.8">
      <c r="A12" s="127" t="s">
        <v>113</v>
      </c>
      <c r="B12" s="457">
        <v>0</v>
      </c>
      <c r="C12" s="12" t="s">
        <v>184</v>
      </c>
      <c r="D12" s="9" t="s">
        <v>176</v>
      </c>
      <c r="E12" s="286" t="s">
        <v>163</v>
      </c>
      <c r="F12" s="10" t="s">
        <v>164</v>
      </c>
      <c r="G12" s="10" t="s">
        <v>178</v>
      </c>
      <c r="H12" s="10" t="s">
        <v>208</v>
      </c>
      <c r="I12" s="13">
        <v>235</v>
      </c>
    </row>
    <row r="13" spans="1:9" s="121" customFormat="1" ht="16.8">
      <c r="A13" s="282" t="s">
        <v>220</v>
      </c>
      <c r="B13" s="457">
        <v>0</v>
      </c>
      <c r="C13" s="283" t="s">
        <v>168</v>
      </c>
      <c r="D13" s="284" t="s">
        <v>176</v>
      </c>
      <c r="E13" s="285" t="s">
        <v>163</v>
      </c>
      <c r="F13" s="285" t="s">
        <v>169</v>
      </c>
      <c r="G13" s="285" t="s">
        <v>165</v>
      </c>
      <c r="H13" s="285" t="s">
        <v>212</v>
      </c>
      <c r="I13" s="287">
        <v>130</v>
      </c>
    </row>
    <row r="14" spans="1:9" ht="16.8">
      <c r="A14" s="282" t="s">
        <v>221</v>
      </c>
      <c r="B14" s="457">
        <v>0</v>
      </c>
      <c r="C14" s="283" t="s">
        <v>168</v>
      </c>
      <c r="D14" s="284" t="s">
        <v>222</v>
      </c>
      <c r="E14" s="285" t="s">
        <v>163</v>
      </c>
      <c r="F14" s="285" t="s">
        <v>169</v>
      </c>
      <c r="G14" s="285" t="s">
        <v>165</v>
      </c>
      <c r="H14" s="285" t="s">
        <v>212</v>
      </c>
      <c r="I14" s="287">
        <v>130</v>
      </c>
    </row>
    <row r="15" spans="1:9" ht="16.8">
      <c r="A15" s="127" t="s">
        <v>146</v>
      </c>
      <c r="B15" s="457">
        <v>0</v>
      </c>
      <c r="C15" s="14" t="s">
        <v>167</v>
      </c>
      <c r="D15" s="9" t="s">
        <v>192</v>
      </c>
      <c r="E15" s="286" t="s">
        <v>163</v>
      </c>
      <c r="F15" s="10" t="s">
        <v>169</v>
      </c>
      <c r="G15" s="10" t="s">
        <v>172</v>
      </c>
      <c r="H15" s="10" t="s">
        <v>208</v>
      </c>
      <c r="I15" s="13">
        <v>248</v>
      </c>
    </row>
    <row r="16" spans="1:9" ht="16.8">
      <c r="A16" s="127" t="s">
        <v>138</v>
      </c>
      <c r="B16" s="457">
        <v>0</v>
      </c>
      <c r="C16" s="12" t="s">
        <v>168</v>
      </c>
      <c r="D16" s="9" t="s">
        <v>162</v>
      </c>
      <c r="E16" s="286" t="s">
        <v>163</v>
      </c>
      <c r="F16" s="10" t="s">
        <v>164</v>
      </c>
      <c r="G16" s="10" t="s">
        <v>16</v>
      </c>
      <c r="H16" s="10" t="s">
        <v>208</v>
      </c>
      <c r="I16" s="13">
        <v>249</v>
      </c>
    </row>
    <row r="17" spans="1:9" ht="16.8">
      <c r="A17" s="127" t="s">
        <v>193</v>
      </c>
      <c r="B17" s="457">
        <v>0</v>
      </c>
      <c r="C17" s="14" t="s">
        <v>168</v>
      </c>
      <c r="D17" s="9" t="s">
        <v>162</v>
      </c>
      <c r="E17" s="286" t="s">
        <v>163</v>
      </c>
      <c r="F17" s="10" t="s">
        <v>194</v>
      </c>
      <c r="G17" s="10" t="s">
        <v>165</v>
      </c>
      <c r="H17" s="10" t="s">
        <v>208</v>
      </c>
      <c r="I17" s="13">
        <v>253</v>
      </c>
    </row>
    <row r="18" spans="1:9" ht="16.8">
      <c r="A18" s="127" t="s">
        <v>139</v>
      </c>
      <c r="B18" s="457">
        <v>0</v>
      </c>
      <c r="C18" s="12" t="s">
        <v>168</v>
      </c>
      <c r="D18" s="9" t="s">
        <v>170</v>
      </c>
      <c r="E18" s="286" t="s">
        <v>163</v>
      </c>
      <c r="F18" s="10" t="s">
        <v>171</v>
      </c>
      <c r="G18" s="10" t="s">
        <v>172</v>
      </c>
      <c r="H18" s="10" t="s">
        <v>208</v>
      </c>
      <c r="I18" s="13">
        <v>253</v>
      </c>
    </row>
    <row r="19" spans="1:9" ht="16.8">
      <c r="A19" s="127" t="s">
        <v>223</v>
      </c>
      <c r="B19" s="457">
        <v>0</v>
      </c>
      <c r="C19" s="283" t="s">
        <v>168</v>
      </c>
      <c r="D19" s="284" t="s">
        <v>162</v>
      </c>
      <c r="E19" s="285" t="s">
        <v>163</v>
      </c>
      <c r="F19" s="285" t="s">
        <v>164</v>
      </c>
      <c r="G19" s="285" t="s">
        <v>177</v>
      </c>
      <c r="H19" s="285" t="s">
        <v>224</v>
      </c>
      <c r="I19" s="287">
        <v>100</v>
      </c>
    </row>
    <row r="20" spans="1:9" ht="16.8">
      <c r="A20" s="127" t="s">
        <v>195</v>
      </c>
      <c r="B20" s="457">
        <v>0</v>
      </c>
      <c r="C20" s="12" t="s">
        <v>168</v>
      </c>
      <c r="D20" s="9" t="s">
        <v>170</v>
      </c>
      <c r="E20" s="286" t="s">
        <v>163</v>
      </c>
      <c r="F20" s="10" t="s">
        <v>164</v>
      </c>
      <c r="G20" s="10" t="s">
        <v>165</v>
      </c>
      <c r="H20" s="10" t="s">
        <v>208</v>
      </c>
      <c r="I20" s="13">
        <v>258</v>
      </c>
    </row>
    <row r="21" spans="1:9" ht="16.8">
      <c r="A21" s="127" t="s">
        <v>114</v>
      </c>
      <c r="B21" s="457">
        <v>0</v>
      </c>
      <c r="C21" s="12" t="s">
        <v>181</v>
      </c>
      <c r="D21" s="9" t="s">
        <v>162</v>
      </c>
      <c r="E21" s="286" t="s">
        <v>163</v>
      </c>
      <c r="F21" s="10" t="s">
        <v>194</v>
      </c>
      <c r="G21" s="10" t="s">
        <v>196</v>
      </c>
      <c r="H21" s="10" t="s">
        <v>208</v>
      </c>
      <c r="I21" s="13">
        <v>264</v>
      </c>
    </row>
    <row r="22" spans="1:9" ht="16.8">
      <c r="A22" s="127" t="s">
        <v>173</v>
      </c>
      <c r="B22" s="457">
        <v>0</v>
      </c>
      <c r="C22" s="12" t="s">
        <v>161</v>
      </c>
      <c r="D22" s="9" t="s">
        <v>162</v>
      </c>
      <c r="E22" s="286" t="s">
        <v>163</v>
      </c>
      <c r="F22" s="10" t="s">
        <v>164</v>
      </c>
      <c r="G22" s="10" t="s">
        <v>165</v>
      </c>
      <c r="H22" s="10" t="s">
        <v>208</v>
      </c>
      <c r="I22" s="13">
        <v>269</v>
      </c>
    </row>
    <row r="23" spans="1:9" ht="16.8">
      <c r="A23" s="127" t="s">
        <v>197</v>
      </c>
      <c r="B23" s="457">
        <v>0</v>
      </c>
      <c r="C23" s="14" t="s">
        <v>181</v>
      </c>
      <c r="D23" s="9" t="s">
        <v>170</v>
      </c>
      <c r="E23" s="286" t="s">
        <v>163</v>
      </c>
      <c r="F23" s="10" t="s">
        <v>189</v>
      </c>
      <c r="G23" s="10" t="s">
        <v>172</v>
      </c>
      <c r="H23" s="10" t="s">
        <v>208</v>
      </c>
      <c r="I23" s="13">
        <v>269</v>
      </c>
    </row>
    <row r="24" spans="1:9" ht="16.8">
      <c r="A24" s="127" t="s">
        <v>225</v>
      </c>
      <c r="B24" s="457">
        <v>0</v>
      </c>
      <c r="C24" s="14" t="s">
        <v>168</v>
      </c>
      <c r="D24" s="9" t="s">
        <v>162</v>
      </c>
      <c r="E24" s="286" t="s">
        <v>163</v>
      </c>
      <c r="F24" s="10" t="s">
        <v>169</v>
      </c>
      <c r="G24" s="10" t="s">
        <v>165</v>
      </c>
      <c r="H24" s="10" t="s">
        <v>226</v>
      </c>
      <c r="I24" s="13">
        <v>96</v>
      </c>
    </row>
    <row r="25" spans="1:9" ht="16.8">
      <c r="A25" s="127" t="s">
        <v>198</v>
      </c>
      <c r="B25" s="457">
        <v>0</v>
      </c>
      <c r="C25" s="12" t="s">
        <v>174</v>
      </c>
      <c r="D25" s="9" t="s">
        <v>199</v>
      </c>
      <c r="E25" s="286" t="s">
        <v>163</v>
      </c>
      <c r="F25" s="10" t="s">
        <v>169</v>
      </c>
      <c r="G25" s="10" t="s">
        <v>175</v>
      </c>
      <c r="H25" s="10" t="s">
        <v>208</v>
      </c>
      <c r="I25" s="13">
        <v>272</v>
      </c>
    </row>
    <row r="26" spans="1:9" ht="16.8">
      <c r="A26" s="282" t="s">
        <v>227</v>
      </c>
      <c r="B26" s="457">
        <v>0</v>
      </c>
      <c r="C26" s="283" t="s">
        <v>184</v>
      </c>
      <c r="D26" s="284" t="s">
        <v>222</v>
      </c>
      <c r="E26" s="285" t="s">
        <v>163</v>
      </c>
      <c r="F26" s="285" t="s">
        <v>164</v>
      </c>
      <c r="G26" s="285" t="s">
        <v>177</v>
      </c>
      <c r="H26" s="285" t="s">
        <v>212</v>
      </c>
      <c r="I26" s="287">
        <v>190</v>
      </c>
    </row>
    <row r="27" spans="1:9" ht="16.8">
      <c r="A27" s="127" t="s">
        <v>200</v>
      </c>
      <c r="B27" s="457">
        <v>0</v>
      </c>
      <c r="C27" s="12" t="s">
        <v>167</v>
      </c>
      <c r="D27" s="9" t="s">
        <v>162</v>
      </c>
      <c r="E27" s="286" t="s">
        <v>163</v>
      </c>
      <c r="F27" s="10" t="s">
        <v>164</v>
      </c>
      <c r="G27" s="10" t="s">
        <v>165</v>
      </c>
      <c r="H27" s="10" t="s">
        <v>212</v>
      </c>
      <c r="I27" s="13">
        <v>195</v>
      </c>
    </row>
    <row r="28" spans="1:9" ht="16.8">
      <c r="A28" s="282" t="s">
        <v>228</v>
      </c>
      <c r="B28" s="457">
        <v>0</v>
      </c>
      <c r="C28" s="283" t="s">
        <v>168</v>
      </c>
      <c r="D28" s="9" t="s">
        <v>176</v>
      </c>
      <c r="E28" s="285" t="s">
        <v>163</v>
      </c>
      <c r="F28" s="285" t="s">
        <v>169</v>
      </c>
      <c r="G28" s="285" t="s">
        <v>165</v>
      </c>
      <c r="H28" s="285" t="s">
        <v>212</v>
      </c>
      <c r="I28" s="287">
        <v>206</v>
      </c>
    </row>
    <row r="29" spans="1:9" ht="16.8">
      <c r="A29" s="130" t="s">
        <v>229</v>
      </c>
      <c r="B29" s="459">
        <v>0</v>
      </c>
      <c r="C29" s="289" t="s">
        <v>184</v>
      </c>
      <c r="D29" s="11" t="s">
        <v>162</v>
      </c>
      <c r="E29" s="290" t="s">
        <v>163</v>
      </c>
      <c r="F29" s="132" t="s">
        <v>164</v>
      </c>
      <c r="G29" s="132" t="s">
        <v>178</v>
      </c>
      <c r="H29" s="132" t="s">
        <v>224</v>
      </c>
      <c r="I29" s="133">
        <v>108</v>
      </c>
    </row>
    <row r="30" spans="1:9" ht="16.8">
      <c r="A30" s="127" t="s">
        <v>300</v>
      </c>
      <c r="B30" s="457">
        <v>1</v>
      </c>
      <c r="C30" s="14" t="s">
        <v>188</v>
      </c>
      <c r="D30" s="9" t="s">
        <v>199</v>
      </c>
      <c r="E30" s="286" t="s">
        <v>163</v>
      </c>
      <c r="F30" s="10" t="s">
        <v>189</v>
      </c>
      <c r="G30" s="10" t="s">
        <v>172</v>
      </c>
      <c r="H30" s="10" t="s">
        <v>208</v>
      </c>
      <c r="I30" s="13">
        <v>212</v>
      </c>
    </row>
    <row r="31" spans="1:9" ht="16.8">
      <c r="A31" s="127" t="s">
        <v>297</v>
      </c>
      <c r="B31" s="457">
        <v>1</v>
      </c>
      <c r="C31" s="14" t="s">
        <v>168</v>
      </c>
      <c r="D31" s="9" t="s">
        <v>176</v>
      </c>
      <c r="E31" s="286" t="s">
        <v>310</v>
      </c>
      <c r="F31" s="10" t="s">
        <v>164</v>
      </c>
      <c r="G31" s="10" t="s">
        <v>177</v>
      </c>
      <c r="H31" s="10" t="s">
        <v>208</v>
      </c>
      <c r="I31" s="13">
        <v>227</v>
      </c>
    </row>
    <row r="32" spans="1:9" ht="16.8">
      <c r="A32" s="127" t="s">
        <v>299</v>
      </c>
      <c r="B32" s="457">
        <v>1</v>
      </c>
      <c r="C32" s="14" t="s">
        <v>168</v>
      </c>
      <c r="D32" s="9" t="s">
        <v>162</v>
      </c>
      <c r="E32" s="286" t="s">
        <v>163</v>
      </c>
      <c r="F32" s="10" t="s">
        <v>189</v>
      </c>
      <c r="G32" s="10" t="s">
        <v>177</v>
      </c>
      <c r="H32" s="10" t="s">
        <v>208</v>
      </c>
      <c r="I32" s="13">
        <v>228</v>
      </c>
    </row>
    <row r="33" spans="1:9" ht="16.8">
      <c r="A33" s="127" t="s">
        <v>346</v>
      </c>
      <c r="B33" s="457">
        <v>1</v>
      </c>
      <c r="C33" s="14" t="s">
        <v>167</v>
      </c>
      <c r="D33" s="9" t="s">
        <v>162</v>
      </c>
      <c r="E33" s="286" t="s">
        <v>163</v>
      </c>
      <c r="F33" s="10" t="s">
        <v>362</v>
      </c>
      <c r="G33" s="10" t="s">
        <v>165</v>
      </c>
      <c r="H33" s="10" t="s">
        <v>320</v>
      </c>
      <c r="I33" s="13">
        <v>108</v>
      </c>
    </row>
    <row r="34" spans="1:9" ht="16.8">
      <c r="A34" s="127" t="s">
        <v>148</v>
      </c>
      <c r="B34" s="457">
        <v>1</v>
      </c>
      <c r="C34" s="14" t="s">
        <v>161</v>
      </c>
      <c r="D34" s="9" t="s">
        <v>170</v>
      </c>
      <c r="E34" s="128" t="s">
        <v>163</v>
      </c>
      <c r="F34" s="10" t="s">
        <v>169</v>
      </c>
      <c r="G34" s="10" t="s">
        <v>201</v>
      </c>
      <c r="H34" s="10" t="s">
        <v>208</v>
      </c>
      <c r="I34" s="13" t="s">
        <v>211</v>
      </c>
    </row>
    <row r="35" spans="1:9" ht="16.8">
      <c r="A35" s="127" t="s">
        <v>275</v>
      </c>
      <c r="B35" s="457">
        <v>1</v>
      </c>
      <c r="C35" s="14" t="s">
        <v>167</v>
      </c>
      <c r="D35" s="9" t="s">
        <v>162</v>
      </c>
      <c r="E35" s="286" t="s">
        <v>163</v>
      </c>
      <c r="F35" s="10" t="s">
        <v>171</v>
      </c>
      <c r="G35" s="10" t="s">
        <v>165</v>
      </c>
      <c r="H35" s="10" t="s">
        <v>208</v>
      </c>
      <c r="I35" s="259">
        <v>251</v>
      </c>
    </row>
    <row r="36" spans="1:9" ht="16.8">
      <c r="A36" s="127" t="s">
        <v>296</v>
      </c>
      <c r="B36" s="457">
        <v>1</v>
      </c>
      <c r="C36" s="14" t="s">
        <v>161</v>
      </c>
      <c r="D36" s="9" t="s">
        <v>176</v>
      </c>
      <c r="E36" s="286" t="s">
        <v>163</v>
      </c>
      <c r="F36" s="10" t="s">
        <v>164</v>
      </c>
      <c r="G36" s="10" t="s">
        <v>313</v>
      </c>
      <c r="H36" s="10" t="s">
        <v>208</v>
      </c>
      <c r="I36" s="13">
        <v>256</v>
      </c>
    </row>
    <row r="37" spans="1:9" ht="16.8">
      <c r="A37" s="127" t="s">
        <v>278</v>
      </c>
      <c r="B37" s="457">
        <v>1</v>
      </c>
      <c r="C37" s="14" t="s">
        <v>161</v>
      </c>
      <c r="D37" s="9" t="s">
        <v>162</v>
      </c>
      <c r="E37" s="286" t="s">
        <v>163</v>
      </c>
      <c r="F37" s="10" t="s">
        <v>305</v>
      </c>
      <c r="G37" s="10" t="s">
        <v>177</v>
      </c>
      <c r="H37" s="10" t="s">
        <v>208</v>
      </c>
      <c r="I37" s="13">
        <v>258</v>
      </c>
    </row>
    <row r="38" spans="1:9" ht="16.8">
      <c r="A38" s="127" t="s">
        <v>298</v>
      </c>
      <c r="B38" s="457">
        <v>1</v>
      </c>
      <c r="C38" s="14" t="s">
        <v>168</v>
      </c>
      <c r="D38" s="9" t="s">
        <v>176</v>
      </c>
      <c r="E38" s="286" t="s">
        <v>163</v>
      </c>
      <c r="F38" s="10" t="s">
        <v>164</v>
      </c>
      <c r="G38" s="10" t="s">
        <v>177</v>
      </c>
      <c r="H38" s="10" t="s">
        <v>208</v>
      </c>
      <c r="I38" s="13">
        <v>269</v>
      </c>
    </row>
    <row r="39" spans="1:9" ht="16.8">
      <c r="A39" s="127" t="s">
        <v>147</v>
      </c>
      <c r="B39" s="457">
        <v>1</v>
      </c>
      <c r="C39" s="14" t="s">
        <v>174</v>
      </c>
      <c r="D39" s="9" t="s">
        <v>162</v>
      </c>
      <c r="E39" s="286" t="s">
        <v>163</v>
      </c>
      <c r="F39" s="10" t="s">
        <v>189</v>
      </c>
      <c r="G39" s="10" t="s">
        <v>177</v>
      </c>
      <c r="H39" s="10" t="s">
        <v>208</v>
      </c>
      <c r="I39" s="259">
        <v>278</v>
      </c>
    </row>
    <row r="40" spans="1:9" ht="16.8">
      <c r="A40" s="127" t="s">
        <v>322</v>
      </c>
      <c r="B40" s="457">
        <v>1</v>
      </c>
      <c r="C40" s="14" t="s">
        <v>167</v>
      </c>
      <c r="D40" s="284" t="s">
        <v>162</v>
      </c>
      <c r="E40" s="285" t="s">
        <v>163</v>
      </c>
      <c r="F40" s="10" t="s">
        <v>164</v>
      </c>
      <c r="G40" s="10" t="s">
        <v>165</v>
      </c>
      <c r="H40" s="10" t="s">
        <v>212</v>
      </c>
      <c r="I40" s="13">
        <v>195</v>
      </c>
    </row>
    <row r="41" spans="1:9" ht="16.8">
      <c r="A41" s="127" t="s">
        <v>279</v>
      </c>
      <c r="B41" s="457">
        <v>1</v>
      </c>
      <c r="C41" s="14" t="s">
        <v>167</v>
      </c>
      <c r="D41" s="9" t="s">
        <v>176</v>
      </c>
      <c r="E41" s="286" t="s">
        <v>163</v>
      </c>
      <c r="F41" s="10" t="s">
        <v>164</v>
      </c>
      <c r="G41" s="10" t="s">
        <v>201</v>
      </c>
      <c r="H41" s="10" t="s">
        <v>208</v>
      </c>
      <c r="I41" s="13">
        <v>294</v>
      </c>
    </row>
    <row r="42" spans="1:9" ht="16.8">
      <c r="A42" s="130" t="s">
        <v>276</v>
      </c>
      <c r="B42" s="459">
        <v>1</v>
      </c>
      <c r="C42" s="289" t="s">
        <v>161</v>
      </c>
      <c r="D42" s="11" t="s">
        <v>176</v>
      </c>
      <c r="E42" s="131" t="s">
        <v>163</v>
      </c>
      <c r="F42" s="132" t="s">
        <v>164</v>
      </c>
      <c r="G42" s="132" t="s">
        <v>201</v>
      </c>
      <c r="H42" s="132" t="s">
        <v>208</v>
      </c>
      <c r="I42" s="133">
        <v>297</v>
      </c>
    </row>
    <row r="43" spans="1:9" ht="16.8">
      <c r="A43" s="127" t="s">
        <v>347</v>
      </c>
      <c r="B43" s="457">
        <v>2</v>
      </c>
      <c r="C43" s="14" t="s">
        <v>174</v>
      </c>
      <c r="D43" s="9" t="s">
        <v>176</v>
      </c>
      <c r="E43" s="286" t="s">
        <v>163</v>
      </c>
      <c r="F43" s="129" t="s">
        <v>164</v>
      </c>
      <c r="G43" s="10" t="s">
        <v>165</v>
      </c>
      <c r="H43" s="10" t="s">
        <v>320</v>
      </c>
      <c r="I43" s="30">
        <v>96</v>
      </c>
    </row>
    <row r="44" spans="1:9" ht="16.8">
      <c r="A44" s="127" t="s">
        <v>321</v>
      </c>
      <c r="B44" s="457">
        <v>2</v>
      </c>
      <c r="C44" s="14" t="s">
        <v>168</v>
      </c>
      <c r="D44" s="9" t="s">
        <v>309</v>
      </c>
      <c r="E44" s="286" t="s">
        <v>163</v>
      </c>
      <c r="F44" s="10" t="s">
        <v>169</v>
      </c>
      <c r="G44" s="10" t="s">
        <v>177</v>
      </c>
      <c r="H44" s="10" t="s">
        <v>208</v>
      </c>
      <c r="I44" s="30">
        <v>203</v>
      </c>
    </row>
    <row r="45" spans="1:9" ht="16.8">
      <c r="A45" s="127" t="s">
        <v>323</v>
      </c>
      <c r="B45" s="457">
        <v>2</v>
      </c>
      <c r="C45" s="14" t="s">
        <v>167</v>
      </c>
      <c r="D45" s="284" t="s">
        <v>162</v>
      </c>
      <c r="E45" s="286" t="s">
        <v>163</v>
      </c>
      <c r="F45" s="10" t="s">
        <v>171</v>
      </c>
      <c r="G45" s="10" t="s">
        <v>165</v>
      </c>
      <c r="H45" s="10" t="s">
        <v>212</v>
      </c>
      <c r="I45" s="30">
        <v>31</v>
      </c>
    </row>
    <row r="46" spans="1:9" ht="16.8">
      <c r="A46" s="127" t="s">
        <v>290</v>
      </c>
      <c r="B46" s="457">
        <v>2</v>
      </c>
      <c r="C46" s="14" t="s">
        <v>168</v>
      </c>
      <c r="D46" s="9" t="s">
        <v>176</v>
      </c>
      <c r="E46" s="286" t="s">
        <v>163</v>
      </c>
      <c r="F46" s="10" t="s">
        <v>169</v>
      </c>
      <c r="G46" s="10" t="s">
        <v>177</v>
      </c>
      <c r="H46" s="10" t="s">
        <v>208</v>
      </c>
      <c r="I46" s="30">
        <v>208</v>
      </c>
    </row>
    <row r="47" spans="1:9" ht="16.8">
      <c r="A47" s="127" t="s">
        <v>281</v>
      </c>
      <c r="B47" s="457">
        <v>2</v>
      </c>
      <c r="C47" s="14" t="s">
        <v>167</v>
      </c>
      <c r="D47" s="9" t="s">
        <v>199</v>
      </c>
      <c r="E47" s="286" t="s">
        <v>163</v>
      </c>
      <c r="F47" s="10" t="s">
        <v>171</v>
      </c>
      <c r="G47" s="10" t="s">
        <v>178</v>
      </c>
      <c r="H47" s="10" t="s">
        <v>208</v>
      </c>
      <c r="I47" s="13">
        <v>232</v>
      </c>
    </row>
    <row r="48" spans="1:9" ht="16.8">
      <c r="A48" s="127" t="s">
        <v>306</v>
      </c>
      <c r="B48" s="457">
        <v>2</v>
      </c>
      <c r="C48" s="14" t="s">
        <v>167</v>
      </c>
      <c r="D48" s="8" t="s">
        <v>176</v>
      </c>
      <c r="E48" s="323" t="s">
        <v>163</v>
      </c>
      <c r="F48" s="129" t="s">
        <v>164</v>
      </c>
      <c r="G48" s="129" t="s">
        <v>165</v>
      </c>
      <c r="H48" s="129" t="s">
        <v>307</v>
      </c>
      <c r="I48" s="163">
        <v>103</v>
      </c>
    </row>
    <row r="49" spans="1:9" ht="16.8">
      <c r="A49" s="127" t="s">
        <v>282</v>
      </c>
      <c r="B49" s="457">
        <v>2</v>
      </c>
      <c r="C49" s="14" t="s">
        <v>161</v>
      </c>
      <c r="D49" s="9" t="s">
        <v>176</v>
      </c>
      <c r="E49" s="286" t="s">
        <v>163</v>
      </c>
      <c r="F49" s="10" t="s">
        <v>171</v>
      </c>
      <c r="G49" s="10" t="s">
        <v>178</v>
      </c>
      <c r="H49" s="10" t="s">
        <v>208</v>
      </c>
      <c r="I49" s="13">
        <v>236</v>
      </c>
    </row>
    <row r="50" spans="1:9" ht="16.8">
      <c r="A50" s="127" t="s">
        <v>214</v>
      </c>
      <c r="B50" s="457">
        <v>2</v>
      </c>
      <c r="C50" s="14" t="s">
        <v>167</v>
      </c>
      <c r="D50" s="8" t="s">
        <v>162</v>
      </c>
      <c r="E50" s="286" t="s">
        <v>163</v>
      </c>
      <c r="F50" s="10" t="s">
        <v>186</v>
      </c>
      <c r="G50" s="10" t="s">
        <v>185</v>
      </c>
      <c r="H50" s="10" t="s">
        <v>208</v>
      </c>
      <c r="I50" s="13">
        <v>238</v>
      </c>
    </row>
    <row r="51" spans="1:9" ht="16.8">
      <c r="A51" s="127" t="s">
        <v>348</v>
      </c>
      <c r="B51" s="457">
        <v>2</v>
      </c>
      <c r="C51" s="14" t="s">
        <v>168</v>
      </c>
      <c r="D51" s="8" t="s">
        <v>162</v>
      </c>
      <c r="E51" s="286" t="s">
        <v>163</v>
      </c>
      <c r="F51" s="10" t="s">
        <v>189</v>
      </c>
      <c r="G51" s="10" t="s">
        <v>201</v>
      </c>
      <c r="H51" s="10" t="s">
        <v>320</v>
      </c>
      <c r="I51" s="13">
        <v>106</v>
      </c>
    </row>
    <row r="52" spans="1:9" ht="16.8">
      <c r="A52" s="127" t="s">
        <v>283</v>
      </c>
      <c r="B52" s="457">
        <v>2</v>
      </c>
      <c r="C52" s="14" t="s">
        <v>184</v>
      </c>
      <c r="D52" s="9" t="s">
        <v>301</v>
      </c>
      <c r="E52" s="286" t="s">
        <v>163</v>
      </c>
      <c r="F52" s="10" t="s">
        <v>308</v>
      </c>
      <c r="G52" s="10" t="s">
        <v>172</v>
      </c>
      <c r="H52" s="10" t="s">
        <v>208</v>
      </c>
      <c r="I52" s="13">
        <v>245</v>
      </c>
    </row>
    <row r="53" spans="1:9" ht="16.8">
      <c r="A53" s="127" t="s">
        <v>349</v>
      </c>
      <c r="B53" s="457">
        <v>2</v>
      </c>
      <c r="C53" s="14" t="s">
        <v>167</v>
      </c>
      <c r="D53" s="9" t="s">
        <v>162</v>
      </c>
      <c r="E53" s="286" t="s">
        <v>163</v>
      </c>
      <c r="F53" s="10" t="s">
        <v>164</v>
      </c>
      <c r="G53" s="10" t="s">
        <v>364</v>
      </c>
      <c r="H53" s="10" t="s">
        <v>320</v>
      </c>
      <c r="I53" s="13">
        <v>110</v>
      </c>
    </row>
    <row r="54" spans="1:9" ht="16.8">
      <c r="A54" s="127" t="s">
        <v>291</v>
      </c>
      <c r="B54" s="457">
        <v>2</v>
      </c>
      <c r="C54" s="14" t="s">
        <v>184</v>
      </c>
      <c r="D54" s="9" t="s">
        <v>162</v>
      </c>
      <c r="E54" s="286" t="s">
        <v>163</v>
      </c>
      <c r="F54" s="10" t="s">
        <v>189</v>
      </c>
      <c r="G54" s="10" t="s">
        <v>177</v>
      </c>
      <c r="H54" s="10" t="s">
        <v>208</v>
      </c>
      <c r="I54" s="13">
        <v>254</v>
      </c>
    </row>
    <row r="55" spans="1:9" ht="16.8">
      <c r="A55" s="127" t="s">
        <v>294</v>
      </c>
      <c r="B55" s="457">
        <v>2</v>
      </c>
      <c r="C55" s="14" t="s">
        <v>174</v>
      </c>
      <c r="D55" s="9" t="s">
        <v>170</v>
      </c>
      <c r="E55" s="286" t="s">
        <v>163</v>
      </c>
      <c r="F55" s="10" t="s">
        <v>169</v>
      </c>
      <c r="G55" s="10" t="s">
        <v>201</v>
      </c>
      <c r="H55" s="10" t="s">
        <v>208</v>
      </c>
      <c r="I55" s="13">
        <v>266</v>
      </c>
    </row>
    <row r="56" spans="1:9" ht="16.8">
      <c r="A56" s="127" t="s">
        <v>292</v>
      </c>
      <c r="B56" s="457">
        <v>2</v>
      </c>
      <c r="C56" s="14" t="s">
        <v>174</v>
      </c>
      <c r="D56" s="9" t="s">
        <v>309</v>
      </c>
      <c r="E56" s="286" t="s">
        <v>163</v>
      </c>
      <c r="F56" s="10" t="s">
        <v>169</v>
      </c>
      <c r="G56" s="10" t="s">
        <v>172</v>
      </c>
      <c r="H56" s="10" t="s">
        <v>208</v>
      </c>
      <c r="I56" s="13">
        <v>272</v>
      </c>
    </row>
    <row r="57" spans="1:9" ht="16.8">
      <c r="A57" s="127" t="s">
        <v>293</v>
      </c>
      <c r="B57" s="457">
        <v>2</v>
      </c>
      <c r="C57" s="14" t="s">
        <v>167</v>
      </c>
      <c r="D57" s="9" t="s">
        <v>162</v>
      </c>
      <c r="E57" s="286" t="s">
        <v>163</v>
      </c>
      <c r="F57" s="10" t="s">
        <v>164</v>
      </c>
      <c r="G57" s="10" t="s">
        <v>165</v>
      </c>
      <c r="H57" s="10" t="s">
        <v>208</v>
      </c>
      <c r="I57" s="13">
        <v>274</v>
      </c>
    </row>
    <row r="58" spans="1:9" ht="16.8">
      <c r="A58" s="127" t="s">
        <v>207</v>
      </c>
      <c r="B58" s="457">
        <v>2</v>
      </c>
      <c r="C58" s="14" t="s">
        <v>188</v>
      </c>
      <c r="D58" s="9" t="s">
        <v>176</v>
      </c>
      <c r="E58" s="128" t="s">
        <v>163</v>
      </c>
      <c r="F58" s="10" t="s">
        <v>171</v>
      </c>
      <c r="G58" s="10" t="s">
        <v>172</v>
      </c>
      <c r="H58" s="10" t="s">
        <v>208</v>
      </c>
      <c r="I58" s="259">
        <v>275</v>
      </c>
    </row>
    <row r="59" spans="1:9" ht="16.8">
      <c r="A59" s="130" t="s">
        <v>295</v>
      </c>
      <c r="B59" s="459">
        <v>2</v>
      </c>
      <c r="C59" s="289" t="s">
        <v>161</v>
      </c>
      <c r="D59" s="11" t="s">
        <v>199</v>
      </c>
      <c r="E59" s="290" t="s">
        <v>310</v>
      </c>
      <c r="F59" s="132" t="s">
        <v>164</v>
      </c>
      <c r="G59" s="132" t="s">
        <v>178</v>
      </c>
      <c r="H59" s="132" t="s">
        <v>208</v>
      </c>
      <c r="I59" s="133">
        <v>286</v>
      </c>
    </row>
    <row r="60" spans="1:9" ht="16.8">
      <c r="A60" s="127" t="s">
        <v>350</v>
      </c>
      <c r="B60" s="457">
        <v>3</v>
      </c>
      <c r="C60" s="14" t="s">
        <v>167</v>
      </c>
      <c r="D60" s="9" t="s">
        <v>162</v>
      </c>
      <c r="E60" s="286" t="s">
        <v>163</v>
      </c>
      <c r="F60" s="10" t="s">
        <v>312</v>
      </c>
      <c r="G60" s="10" t="s">
        <v>165</v>
      </c>
      <c r="H60" s="10" t="s">
        <v>212</v>
      </c>
      <c r="I60" s="13">
        <v>44</v>
      </c>
    </row>
    <row r="61" spans="1:9" ht="16.8">
      <c r="A61" s="127" t="s">
        <v>286</v>
      </c>
      <c r="B61" s="457">
        <v>3</v>
      </c>
      <c r="C61" s="14" t="s">
        <v>174</v>
      </c>
      <c r="D61" s="9" t="s">
        <v>162</v>
      </c>
      <c r="E61" s="286" t="s">
        <v>163</v>
      </c>
      <c r="F61" s="10" t="s">
        <v>171</v>
      </c>
      <c r="G61" s="10" t="s">
        <v>165</v>
      </c>
      <c r="H61" s="10" t="s">
        <v>208</v>
      </c>
      <c r="I61" s="13">
        <v>223</v>
      </c>
    </row>
    <row r="62" spans="1:9" ht="16.8">
      <c r="A62" s="127" t="s">
        <v>284</v>
      </c>
      <c r="B62" s="457">
        <v>3</v>
      </c>
      <c r="C62" s="14" t="s">
        <v>167</v>
      </c>
      <c r="D62" s="9" t="s">
        <v>176</v>
      </c>
      <c r="E62" s="286" t="s">
        <v>163</v>
      </c>
      <c r="F62" s="10" t="s">
        <v>312</v>
      </c>
      <c r="G62" s="10" t="s">
        <v>165</v>
      </c>
      <c r="H62" s="10" t="s">
        <v>208</v>
      </c>
      <c r="I62" s="259">
        <v>231</v>
      </c>
    </row>
    <row r="63" spans="1:9" ht="16.8">
      <c r="A63" s="127" t="s">
        <v>287</v>
      </c>
      <c r="B63" s="457">
        <v>3</v>
      </c>
      <c r="C63" s="14" t="s">
        <v>168</v>
      </c>
      <c r="D63" s="9" t="s">
        <v>301</v>
      </c>
      <c r="E63" s="286" t="s">
        <v>163</v>
      </c>
      <c r="F63" s="10" t="s">
        <v>169</v>
      </c>
      <c r="G63" s="10" t="s">
        <v>177</v>
      </c>
      <c r="H63" s="10" t="s">
        <v>208</v>
      </c>
      <c r="I63" s="13">
        <v>232</v>
      </c>
    </row>
    <row r="64" spans="1:9" ht="16.8">
      <c r="A64" s="127" t="s">
        <v>280</v>
      </c>
      <c r="B64" s="457">
        <v>3</v>
      </c>
      <c r="C64" s="14" t="s">
        <v>161</v>
      </c>
      <c r="D64" s="9" t="s">
        <v>176</v>
      </c>
      <c r="E64" s="10" t="s">
        <v>163</v>
      </c>
      <c r="F64" s="10" t="s">
        <v>164</v>
      </c>
      <c r="G64" s="10" t="s">
        <v>178</v>
      </c>
      <c r="H64" s="10" t="s">
        <v>208</v>
      </c>
      <c r="I64" s="13">
        <v>237</v>
      </c>
    </row>
    <row r="65" spans="1:9" ht="16.8">
      <c r="A65" s="127" t="s">
        <v>315</v>
      </c>
      <c r="B65" s="457">
        <v>3</v>
      </c>
      <c r="C65" s="14" t="s">
        <v>161</v>
      </c>
      <c r="D65" s="9" t="s">
        <v>176</v>
      </c>
      <c r="E65" s="286" t="s">
        <v>163</v>
      </c>
      <c r="F65" s="129" t="s">
        <v>169</v>
      </c>
      <c r="G65" s="10" t="s">
        <v>201</v>
      </c>
      <c r="H65" s="10" t="s">
        <v>314</v>
      </c>
      <c r="I65" s="163">
        <v>114</v>
      </c>
    </row>
    <row r="66" spans="1:9" ht="16.8">
      <c r="A66" s="127" t="s">
        <v>277</v>
      </c>
      <c r="B66" s="457">
        <v>3</v>
      </c>
      <c r="C66" s="12" t="s">
        <v>168</v>
      </c>
      <c r="D66" s="9" t="s">
        <v>162</v>
      </c>
      <c r="E66" s="10" t="s">
        <v>163</v>
      </c>
      <c r="F66" s="10" t="s">
        <v>171</v>
      </c>
      <c r="G66" s="10" t="s">
        <v>16</v>
      </c>
      <c r="H66" s="10" t="s">
        <v>212</v>
      </c>
      <c r="I66" s="325">
        <v>136</v>
      </c>
    </row>
    <row r="67" spans="1:9" ht="16.8">
      <c r="A67" s="127" t="s">
        <v>215</v>
      </c>
      <c r="B67" s="457">
        <v>3</v>
      </c>
      <c r="C67" s="14" t="s">
        <v>168</v>
      </c>
      <c r="D67" s="9" t="s">
        <v>176</v>
      </c>
      <c r="E67" s="286" t="s">
        <v>163</v>
      </c>
      <c r="F67" s="129" t="s">
        <v>164</v>
      </c>
      <c r="G67" s="10" t="s">
        <v>178</v>
      </c>
      <c r="H67" s="10" t="s">
        <v>208</v>
      </c>
      <c r="I67" s="30">
        <v>239</v>
      </c>
    </row>
    <row r="68" spans="1:9" ht="16.8">
      <c r="A68" s="127" t="s">
        <v>319</v>
      </c>
      <c r="B68" s="457">
        <v>3</v>
      </c>
      <c r="C68" s="14" t="s">
        <v>168</v>
      </c>
      <c r="D68" s="9" t="s">
        <v>162</v>
      </c>
      <c r="E68" s="286" t="s">
        <v>163</v>
      </c>
      <c r="F68" s="129" t="s">
        <v>189</v>
      </c>
      <c r="G68" s="10" t="s">
        <v>201</v>
      </c>
      <c r="H68" s="10" t="s">
        <v>320</v>
      </c>
      <c r="I68" s="30">
        <v>107</v>
      </c>
    </row>
    <row r="69" spans="1:9" ht="16.8">
      <c r="A69" s="127" t="s">
        <v>324</v>
      </c>
      <c r="B69" s="457">
        <v>3</v>
      </c>
      <c r="C69" s="14" t="s">
        <v>167</v>
      </c>
      <c r="D69" s="9" t="s">
        <v>176</v>
      </c>
      <c r="E69" s="286" t="s">
        <v>163</v>
      </c>
      <c r="F69" s="10" t="s">
        <v>325</v>
      </c>
      <c r="G69" s="10" t="s">
        <v>165</v>
      </c>
      <c r="H69" s="10" t="s">
        <v>208</v>
      </c>
      <c r="I69" s="13">
        <v>248</v>
      </c>
    </row>
    <row r="70" spans="1:9" ht="16.8">
      <c r="A70" s="127" t="s">
        <v>302</v>
      </c>
      <c r="B70" s="457">
        <v>3</v>
      </c>
      <c r="C70" s="14" t="s">
        <v>174</v>
      </c>
      <c r="D70" s="9" t="s">
        <v>303</v>
      </c>
      <c r="E70" s="286" t="s">
        <v>163</v>
      </c>
      <c r="F70" s="10" t="s">
        <v>304</v>
      </c>
      <c r="G70" s="10" t="s">
        <v>172</v>
      </c>
      <c r="H70" s="10" t="s">
        <v>208</v>
      </c>
      <c r="I70" s="13">
        <v>250</v>
      </c>
    </row>
    <row r="71" spans="1:9" ht="16.8">
      <c r="A71" s="127" t="s">
        <v>316</v>
      </c>
      <c r="B71" s="457">
        <v>3</v>
      </c>
      <c r="C71" s="14" t="s">
        <v>161</v>
      </c>
      <c r="D71" s="9" t="s">
        <v>162</v>
      </c>
      <c r="E71" s="10" t="s">
        <v>317</v>
      </c>
      <c r="F71" s="129" t="s">
        <v>318</v>
      </c>
      <c r="G71" s="10" t="s">
        <v>201</v>
      </c>
      <c r="H71" s="10" t="s">
        <v>208</v>
      </c>
      <c r="I71" s="13">
        <v>260</v>
      </c>
    </row>
    <row r="72" spans="1:9" ht="16.8">
      <c r="A72" s="127" t="s">
        <v>351</v>
      </c>
      <c r="B72" s="457">
        <v>3</v>
      </c>
      <c r="C72" s="14" t="s">
        <v>167</v>
      </c>
      <c r="D72" s="9" t="s">
        <v>162</v>
      </c>
      <c r="E72" s="286" t="s">
        <v>163</v>
      </c>
      <c r="F72" s="129" t="s">
        <v>186</v>
      </c>
      <c r="G72" s="10" t="s">
        <v>165</v>
      </c>
      <c r="H72" s="10" t="s">
        <v>212</v>
      </c>
      <c r="I72" s="13">
        <v>174</v>
      </c>
    </row>
    <row r="73" spans="1:9" ht="16.8">
      <c r="A73" s="127" t="s">
        <v>352</v>
      </c>
      <c r="B73" s="457">
        <v>3</v>
      </c>
      <c r="C73" s="14" t="s">
        <v>167</v>
      </c>
      <c r="D73" s="9" t="s">
        <v>176</v>
      </c>
      <c r="E73" s="286" t="s">
        <v>163</v>
      </c>
      <c r="F73" s="10" t="s">
        <v>312</v>
      </c>
      <c r="G73" s="10" t="s">
        <v>165</v>
      </c>
      <c r="H73" s="10" t="s">
        <v>212</v>
      </c>
      <c r="I73" s="13">
        <v>181</v>
      </c>
    </row>
    <row r="74" spans="1:9" ht="16.8">
      <c r="A74" s="127" t="s">
        <v>288</v>
      </c>
      <c r="B74" s="457">
        <v>3</v>
      </c>
      <c r="C74" s="14" t="s">
        <v>168</v>
      </c>
      <c r="D74" s="9" t="s">
        <v>176</v>
      </c>
      <c r="E74" s="286" t="s">
        <v>163</v>
      </c>
      <c r="F74" s="10" t="s">
        <v>164</v>
      </c>
      <c r="G74" s="10" t="s">
        <v>178</v>
      </c>
      <c r="H74" s="10" t="s">
        <v>208</v>
      </c>
      <c r="I74" s="13">
        <v>280</v>
      </c>
    </row>
    <row r="75" spans="1:9" ht="16.8">
      <c r="A75" s="127" t="s">
        <v>289</v>
      </c>
      <c r="B75" s="457">
        <v>3</v>
      </c>
      <c r="C75" s="14" t="s">
        <v>161</v>
      </c>
      <c r="D75" s="9" t="s">
        <v>176</v>
      </c>
      <c r="E75" s="286" t="s">
        <v>163</v>
      </c>
      <c r="F75" s="10" t="s">
        <v>171</v>
      </c>
      <c r="G75" s="10" t="s">
        <v>178</v>
      </c>
      <c r="H75" s="10" t="s">
        <v>208</v>
      </c>
      <c r="I75" s="13">
        <v>284</v>
      </c>
    </row>
    <row r="76" spans="1:9" ht="16.8">
      <c r="A76" s="127" t="s">
        <v>311</v>
      </c>
      <c r="B76" s="457">
        <v>3</v>
      </c>
      <c r="C76" s="14" t="s">
        <v>161</v>
      </c>
      <c r="D76" s="9" t="s">
        <v>199</v>
      </c>
      <c r="E76" s="286" t="s">
        <v>310</v>
      </c>
      <c r="F76" s="129" t="s">
        <v>164</v>
      </c>
      <c r="G76" s="10" t="s">
        <v>178</v>
      </c>
      <c r="H76" s="10" t="s">
        <v>208</v>
      </c>
      <c r="I76" s="30">
        <v>286</v>
      </c>
    </row>
    <row r="77" spans="1:9" ht="16.8">
      <c r="A77" s="130" t="s">
        <v>285</v>
      </c>
      <c r="B77" s="459">
        <v>3</v>
      </c>
      <c r="C77" s="289" t="s">
        <v>167</v>
      </c>
      <c r="D77" s="11" t="s">
        <v>199</v>
      </c>
      <c r="E77" s="290" t="s">
        <v>163</v>
      </c>
      <c r="F77" s="132" t="s">
        <v>171</v>
      </c>
      <c r="G77" s="132" t="s">
        <v>178</v>
      </c>
      <c r="H77" s="132" t="s">
        <v>208</v>
      </c>
      <c r="I77" s="326">
        <v>302</v>
      </c>
    </row>
    <row r="78" spans="1:9" ht="16.8">
      <c r="A78" s="127" t="s">
        <v>334</v>
      </c>
      <c r="B78" s="457">
        <v>4</v>
      </c>
      <c r="C78" s="14" t="s">
        <v>168</v>
      </c>
      <c r="D78" s="9" t="s">
        <v>191</v>
      </c>
      <c r="E78" s="286" t="s">
        <v>163</v>
      </c>
      <c r="F78" s="10" t="s">
        <v>312</v>
      </c>
      <c r="G78" s="10" t="s">
        <v>165</v>
      </c>
      <c r="H78" s="10" t="s">
        <v>208</v>
      </c>
      <c r="I78" s="13">
        <v>221</v>
      </c>
    </row>
    <row r="79" spans="1:9" ht="16.8">
      <c r="A79" s="127" t="s">
        <v>344</v>
      </c>
      <c r="B79" s="457">
        <v>4</v>
      </c>
      <c r="C79" s="14" t="s">
        <v>168</v>
      </c>
      <c r="D79" s="9" t="s">
        <v>176</v>
      </c>
      <c r="E79" s="286" t="s">
        <v>163</v>
      </c>
      <c r="F79" s="10" t="s">
        <v>189</v>
      </c>
      <c r="G79" s="10" t="s">
        <v>178</v>
      </c>
      <c r="H79" s="10" t="s">
        <v>212</v>
      </c>
      <c r="I79" s="13">
        <v>67</v>
      </c>
    </row>
    <row r="80" spans="1:9" ht="16.8">
      <c r="A80" s="127" t="s">
        <v>345</v>
      </c>
      <c r="B80" s="457">
        <v>4</v>
      </c>
      <c r="C80" s="14" t="s">
        <v>167</v>
      </c>
      <c r="D80" s="9" t="s">
        <v>162</v>
      </c>
      <c r="E80" s="286" t="s">
        <v>163</v>
      </c>
      <c r="F80" s="10" t="s">
        <v>171</v>
      </c>
      <c r="G80" s="10" t="s">
        <v>165</v>
      </c>
      <c r="H80" s="10" t="s">
        <v>212</v>
      </c>
      <c r="I80" s="13">
        <v>98</v>
      </c>
    </row>
    <row r="81" spans="1:9" ht="16.8">
      <c r="A81" s="127" t="s">
        <v>331</v>
      </c>
      <c r="B81" s="457">
        <v>4</v>
      </c>
      <c r="C81" s="14" t="s">
        <v>168</v>
      </c>
      <c r="D81" s="9" t="s">
        <v>162</v>
      </c>
      <c r="E81" s="286" t="s">
        <v>163</v>
      </c>
      <c r="F81" s="129" t="s">
        <v>189</v>
      </c>
      <c r="G81" s="10" t="s">
        <v>201</v>
      </c>
      <c r="H81" s="10" t="s">
        <v>320</v>
      </c>
      <c r="I81" s="30">
        <v>106</v>
      </c>
    </row>
    <row r="82" spans="1:9" ht="16.8">
      <c r="A82" s="127" t="s">
        <v>335</v>
      </c>
      <c r="B82" s="457">
        <v>4</v>
      </c>
      <c r="C82" s="14" t="s">
        <v>184</v>
      </c>
      <c r="D82" s="9" t="s">
        <v>162</v>
      </c>
      <c r="E82" s="286" t="s">
        <v>163</v>
      </c>
      <c r="F82" s="10" t="s">
        <v>169</v>
      </c>
      <c r="G82" s="10" t="s">
        <v>178</v>
      </c>
      <c r="H82" s="10" t="s">
        <v>208</v>
      </c>
      <c r="I82" s="13">
        <v>245</v>
      </c>
    </row>
    <row r="83" spans="1:9" ht="16.8">
      <c r="A83" s="130" t="s">
        <v>332</v>
      </c>
      <c r="B83" s="459">
        <v>4</v>
      </c>
      <c r="C83" s="289" t="s">
        <v>167</v>
      </c>
      <c r="D83" s="11" t="s">
        <v>176</v>
      </c>
      <c r="E83" s="290" t="s">
        <v>163</v>
      </c>
      <c r="F83" s="132" t="s">
        <v>171</v>
      </c>
      <c r="G83" s="132" t="s">
        <v>178</v>
      </c>
      <c r="H83" s="132" t="s">
        <v>212</v>
      </c>
      <c r="I83" s="326">
        <v>232</v>
      </c>
    </row>
    <row r="84" spans="1:9" ht="16.8">
      <c r="A84" s="127" t="s">
        <v>433</v>
      </c>
      <c r="B84" s="457">
        <v>5</v>
      </c>
      <c r="C84" s="14" t="s">
        <v>167</v>
      </c>
      <c r="D84" s="9" t="s">
        <v>199</v>
      </c>
      <c r="E84" s="286" t="s">
        <v>163</v>
      </c>
      <c r="F84" s="129" t="s">
        <v>186</v>
      </c>
      <c r="G84" s="10" t="s">
        <v>165</v>
      </c>
      <c r="H84" s="10" t="s">
        <v>208</v>
      </c>
      <c r="I84" s="163">
        <v>212</v>
      </c>
    </row>
    <row r="85" spans="1:9" ht="16.8">
      <c r="A85" s="127" t="s">
        <v>445</v>
      </c>
      <c r="B85" s="457">
        <v>5</v>
      </c>
      <c r="C85" s="14" t="s">
        <v>167</v>
      </c>
      <c r="D85" s="9" t="s">
        <v>199</v>
      </c>
      <c r="E85" s="286" t="s">
        <v>317</v>
      </c>
      <c r="F85" s="10" t="s">
        <v>164</v>
      </c>
      <c r="G85" s="10" t="s">
        <v>452</v>
      </c>
      <c r="H85" s="10" t="s">
        <v>208</v>
      </c>
      <c r="I85" s="13">
        <v>275</v>
      </c>
    </row>
    <row r="86" spans="1:9" ht="16.8">
      <c r="A86" s="127" t="s">
        <v>446</v>
      </c>
      <c r="B86" s="457">
        <v>5</v>
      </c>
      <c r="C86" s="14" t="s">
        <v>161</v>
      </c>
      <c r="D86" s="9" t="s">
        <v>191</v>
      </c>
      <c r="E86" s="286" t="s">
        <v>163</v>
      </c>
      <c r="F86" s="10" t="s">
        <v>169</v>
      </c>
      <c r="G86" s="10" t="s">
        <v>165</v>
      </c>
      <c r="H86" s="10" t="s">
        <v>208</v>
      </c>
      <c r="I86" s="13">
        <v>292</v>
      </c>
    </row>
    <row r="87" spans="1:9" ht="17.399999999999999" thickBot="1">
      <c r="A87" s="134" t="s">
        <v>447</v>
      </c>
      <c r="B87" s="460">
        <v>5</v>
      </c>
      <c r="C87" s="321" t="s">
        <v>167</v>
      </c>
      <c r="D87" s="15" t="s">
        <v>176</v>
      </c>
      <c r="E87" s="322" t="s">
        <v>163</v>
      </c>
      <c r="F87" s="322" t="s">
        <v>164</v>
      </c>
      <c r="G87" s="322" t="s">
        <v>178</v>
      </c>
      <c r="H87" s="322" t="s">
        <v>208</v>
      </c>
      <c r="I87" s="324">
        <v>298</v>
      </c>
    </row>
    <row r="88" spans="1:9" ht="16.2" thickTop="1">
      <c r="C88" s="442"/>
    </row>
  </sheetData>
  <sortState ref="A3:I87">
    <sortCondition ref="B3:B87"/>
    <sortCondition ref="A3:A87"/>
  </sortState>
  <conditionalFormatting sqref="B77">
    <cfRule type="cellIs" dxfId="74" priority="12" operator="equal">
      <formula>9</formula>
    </cfRule>
    <cfRule type="cellIs" dxfId="73" priority="13" operator="equal">
      <formula>8</formula>
    </cfRule>
    <cfRule type="cellIs" dxfId="72" priority="14" operator="equal">
      <formula>7</formula>
    </cfRule>
    <cfRule type="cellIs" dxfId="71" priority="15" operator="equal">
      <formula>6</formula>
    </cfRule>
    <cfRule type="cellIs" dxfId="70" priority="16" operator="equal">
      <formula>5</formula>
    </cfRule>
    <cfRule type="cellIs" dxfId="69" priority="17" operator="equal">
      <formula>4</formula>
    </cfRule>
    <cfRule type="cellIs" dxfId="68" priority="18" operator="equal">
      <formula>3</formula>
    </cfRule>
    <cfRule type="cellIs" dxfId="67" priority="19" operator="equal">
      <formula>2</formula>
    </cfRule>
    <cfRule type="cellIs" dxfId="66" priority="20" operator="equal">
      <formula>1</formula>
    </cfRule>
    <cfRule type="containsBlanks" dxfId="65" priority="21">
      <formula>LEN(TRIM(B77))=0</formula>
    </cfRule>
    <cfRule type="cellIs" dxfId="64" priority="22" operator="equal">
      <formula>0</formula>
    </cfRule>
  </conditionalFormatting>
  <conditionalFormatting sqref="B3:B87">
    <cfRule type="cellIs" dxfId="63" priority="1" operator="equal">
      <formula>9</formula>
    </cfRule>
    <cfRule type="cellIs" dxfId="62" priority="2" operator="equal">
      <formula>8</formula>
    </cfRule>
    <cfRule type="cellIs" dxfId="61" priority="3" operator="equal">
      <formula>7</formula>
    </cfRule>
    <cfRule type="cellIs" dxfId="60" priority="4" operator="equal">
      <formula>6</formula>
    </cfRule>
    <cfRule type="cellIs" dxfId="59" priority="5" operator="equal">
      <formula>5</formula>
    </cfRule>
    <cfRule type="cellIs" dxfId="58" priority="6" operator="equal">
      <formula>4</formula>
    </cfRule>
    <cfRule type="cellIs" dxfId="57" priority="7" operator="equal">
      <formula>3</formula>
    </cfRule>
    <cfRule type="cellIs" dxfId="56" priority="8" operator="equal">
      <formula>2</formula>
    </cfRule>
    <cfRule type="cellIs" dxfId="55" priority="9" operator="equal">
      <formula>1</formula>
    </cfRule>
    <cfRule type="containsBlanks" dxfId="54" priority="10">
      <formula>LEN(TRIM(B3))=0</formula>
    </cfRule>
    <cfRule type="cellIs" dxfId="53"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showGridLines="0" workbookViewId="0">
      <pane ySplit="2" topLeftCell="A3" activePane="bottomLeft" state="frozen"/>
      <selection pane="bottomLeft" activeCell="A3" sqref="A3"/>
    </sheetView>
  </sheetViews>
  <sheetFormatPr defaultColWidth="12.8984375" defaultRowHeight="15.6"/>
  <cols>
    <col min="1" max="1" width="23.5" style="135" bestFit="1" customWidth="1"/>
    <col min="2" max="2" width="6.19921875" style="135" bestFit="1" customWidth="1"/>
    <col min="3" max="3" width="13.59765625" style="136" bestFit="1" customWidth="1"/>
    <col min="4" max="4" width="11.296875" style="136" bestFit="1" customWidth="1"/>
    <col min="5" max="5" width="10.5" style="136" bestFit="1" customWidth="1"/>
    <col min="6" max="6" width="13.19921875" style="136" bestFit="1" customWidth="1"/>
    <col min="7" max="7" width="14.796875" style="136" bestFit="1" customWidth="1"/>
    <col min="8" max="8" width="17.8984375" style="135" bestFit="1" customWidth="1"/>
    <col min="9" max="9" width="5.5" style="121" bestFit="1" customWidth="1"/>
    <col min="10" max="16384" width="12.8984375" style="122"/>
  </cols>
  <sheetData>
    <row r="1" spans="1:9" ht="23.4" thickBot="1">
      <c r="A1" s="456" t="s">
        <v>269</v>
      </c>
      <c r="B1" s="120"/>
      <c r="C1" s="120"/>
      <c r="D1" s="120"/>
      <c r="E1" s="120"/>
      <c r="F1" s="120"/>
      <c r="G1" s="120"/>
      <c r="H1" s="120"/>
    </row>
    <row r="2" spans="1:9" s="126" customFormat="1" ht="17.399999999999999" thickBot="1">
      <c r="A2" s="455" t="s">
        <v>94</v>
      </c>
      <c r="B2" s="453" t="s">
        <v>97</v>
      </c>
      <c r="C2" s="453" t="s">
        <v>156</v>
      </c>
      <c r="D2" s="454" t="s">
        <v>157</v>
      </c>
      <c r="E2" s="454" t="s">
        <v>158</v>
      </c>
      <c r="F2" s="453" t="s">
        <v>159</v>
      </c>
      <c r="G2" s="453" t="s">
        <v>160</v>
      </c>
      <c r="H2" s="452" t="s">
        <v>209</v>
      </c>
      <c r="I2" s="451" t="s">
        <v>210</v>
      </c>
    </row>
    <row r="3" spans="1:9" ht="16.8">
      <c r="A3" s="127" t="s">
        <v>145</v>
      </c>
      <c r="B3" s="117">
        <v>0</v>
      </c>
      <c r="C3" s="12" t="s">
        <v>161</v>
      </c>
      <c r="D3" s="9" t="s">
        <v>162</v>
      </c>
      <c r="E3" s="286" t="s">
        <v>163</v>
      </c>
      <c r="F3" s="10" t="s">
        <v>164</v>
      </c>
      <c r="G3" s="10" t="s">
        <v>165</v>
      </c>
      <c r="H3" s="10" t="s">
        <v>208</v>
      </c>
      <c r="I3" s="13">
        <v>196</v>
      </c>
    </row>
    <row r="4" spans="1:9" ht="16.8">
      <c r="A4" s="127" t="s">
        <v>369</v>
      </c>
      <c r="B4" s="117">
        <v>0</v>
      </c>
      <c r="C4" s="12" t="s">
        <v>413</v>
      </c>
      <c r="D4" s="9" t="s">
        <v>162</v>
      </c>
      <c r="E4" s="286" t="s">
        <v>163</v>
      </c>
      <c r="F4" s="10" t="s">
        <v>164</v>
      </c>
      <c r="G4" s="10" t="s">
        <v>165</v>
      </c>
      <c r="H4" s="10" t="s">
        <v>208</v>
      </c>
      <c r="I4" s="13">
        <v>223</v>
      </c>
    </row>
    <row r="5" spans="1:9" ht="16.8">
      <c r="A5" s="127" t="s">
        <v>146</v>
      </c>
      <c r="B5" s="117">
        <v>0</v>
      </c>
      <c r="C5" s="14" t="s">
        <v>167</v>
      </c>
      <c r="D5" s="9" t="s">
        <v>192</v>
      </c>
      <c r="E5" s="286" t="s">
        <v>163</v>
      </c>
      <c r="F5" s="10" t="s">
        <v>169</v>
      </c>
      <c r="G5" s="10" t="s">
        <v>172</v>
      </c>
      <c r="H5" s="10" t="s">
        <v>208</v>
      </c>
      <c r="I5" s="13">
        <v>248</v>
      </c>
    </row>
    <row r="6" spans="1:9" ht="16.8">
      <c r="A6" s="130" t="s">
        <v>173</v>
      </c>
      <c r="B6" s="144">
        <v>0</v>
      </c>
      <c r="C6" s="289" t="s">
        <v>161</v>
      </c>
      <c r="D6" s="11" t="s">
        <v>162</v>
      </c>
      <c r="E6" s="290" t="s">
        <v>163</v>
      </c>
      <c r="F6" s="132" t="s">
        <v>164</v>
      </c>
      <c r="G6" s="132" t="s">
        <v>165</v>
      </c>
      <c r="H6" s="132" t="s">
        <v>208</v>
      </c>
      <c r="I6" s="133">
        <v>269</v>
      </c>
    </row>
    <row r="7" spans="1:9" ht="16.8">
      <c r="A7" s="127" t="s">
        <v>370</v>
      </c>
      <c r="B7" s="117">
        <v>1</v>
      </c>
      <c r="C7" s="441" t="s">
        <v>168</v>
      </c>
      <c r="D7" s="9" t="s">
        <v>176</v>
      </c>
      <c r="E7" s="286" t="s">
        <v>163</v>
      </c>
      <c r="F7" s="285" t="s">
        <v>169</v>
      </c>
      <c r="G7" s="10" t="s">
        <v>172</v>
      </c>
      <c r="H7" s="10" t="s">
        <v>314</v>
      </c>
      <c r="I7" s="13">
        <v>96</v>
      </c>
    </row>
    <row r="8" spans="1:9" ht="16.8">
      <c r="A8" s="127" t="s">
        <v>371</v>
      </c>
      <c r="B8" s="117">
        <v>1</v>
      </c>
      <c r="C8" s="441" t="s">
        <v>167</v>
      </c>
      <c r="D8" s="9" t="s">
        <v>162</v>
      </c>
      <c r="E8" s="286" t="s">
        <v>163</v>
      </c>
      <c r="F8" s="285" t="s">
        <v>372</v>
      </c>
      <c r="G8" s="285" t="s">
        <v>165</v>
      </c>
      <c r="H8" s="10" t="s">
        <v>208</v>
      </c>
      <c r="I8" s="13">
        <v>207</v>
      </c>
    </row>
    <row r="9" spans="1:9" ht="16.8">
      <c r="A9" s="127" t="s">
        <v>373</v>
      </c>
      <c r="B9" s="117">
        <v>1</v>
      </c>
      <c r="C9" s="14" t="s">
        <v>413</v>
      </c>
      <c r="D9" s="9" t="s">
        <v>162</v>
      </c>
      <c r="E9" s="286" t="s">
        <v>163</v>
      </c>
      <c r="F9" s="10" t="s">
        <v>169</v>
      </c>
      <c r="G9" s="10" t="s">
        <v>165</v>
      </c>
      <c r="H9" s="10" t="s">
        <v>208</v>
      </c>
      <c r="I9" s="259">
        <v>209</v>
      </c>
    </row>
    <row r="10" spans="1:9" ht="16.8">
      <c r="A10" s="127" t="s">
        <v>374</v>
      </c>
      <c r="B10" s="117">
        <v>1</v>
      </c>
      <c r="C10" s="14" t="s">
        <v>168</v>
      </c>
      <c r="D10" s="9" t="s">
        <v>176</v>
      </c>
      <c r="E10" s="286" t="s">
        <v>163</v>
      </c>
      <c r="F10" s="129" t="s">
        <v>189</v>
      </c>
      <c r="G10" s="10" t="s">
        <v>175</v>
      </c>
      <c r="H10" s="10" t="s">
        <v>314</v>
      </c>
      <c r="I10" s="163">
        <v>107</v>
      </c>
    </row>
    <row r="11" spans="1:9" ht="16.8">
      <c r="A11" s="127" t="s">
        <v>375</v>
      </c>
      <c r="B11" s="117">
        <v>1</v>
      </c>
      <c r="C11" s="441" t="s">
        <v>161</v>
      </c>
      <c r="D11" s="9" t="s">
        <v>176</v>
      </c>
      <c r="E11" s="286" t="s">
        <v>310</v>
      </c>
      <c r="F11" s="10" t="s">
        <v>171</v>
      </c>
      <c r="G11" s="285" t="s">
        <v>165</v>
      </c>
      <c r="H11" s="285" t="s">
        <v>314</v>
      </c>
      <c r="I11" s="13">
        <v>110</v>
      </c>
    </row>
    <row r="12" spans="1:9" ht="16.8">
      <c r="A12" s="127" t="s">
        <v>275</v>
      </c>
      <c r="B12" s="117">
        <v>1</v>
      </c>
      <c r="C12" s="14" t="s">
        <v>167</v>
      </c>
      <c r="D12" s="9" t="s">
        <v>162</v>
      </c>
      <c r="E12" s="286" t="s">
        <v>163</v>
      </c>
      <c r="F12" s="10" t="s">
        <v>171</v>
      </c>
      <c r="G12" s="10" t="s">
        <v>165</v>
      </c>
      <c r="H12" s="10" t="s">
        <v>208</v>
      </c>
      <c r="I12" s="259">
        <v>251</v>
      </c>
    </row>
    <row r="13" spans="1:9" ht="16.8">
      <c r="A13" s="127" t="s">
        <v>376</v>
      </c>
      <c r="B13" s="117">
        <v>1</v>
      </c>
      <c r="C13" s="14" t="s">
        <v>161</v>
      </c>
      <c r="D13" s="9" t="s">
        <v>162</v>
      </c>
      <c r="E13" s="10" t="s">
        <v>163</v>
      </c>
      <c r="F13" s="10" t="s">
        <v>164</v>
      </c>
      <c r="G13" s="285" t="s">
        <v>165</v>
      </c>
      <c r="H13" s="285" t="s">
        <v>314</v>
      </c>
      <c r="I13" s="13">
        <v>115</v>
      </c>
    </row>
    <row r="14" spans="1:9" ht="16.8">
      <c r="A14" s="127" t="s">
        <v>377</v>
      </c>
      <c r="B14" s="117">
        <v>1</v>
      </c>
      <c r="C14" s="14" t="s">
        <v>161</v>
      </c>
      <c r="D14" s="9" t="s">
        <v>162</v>
      </c>
      <c r="E14" s="10" t="s">
        <v>163</v>
      </c>
      <c r="F14" s="10" t="s">
        <v>164</v>
      </c>
      <c r="G14" s="285" t="s">
        <v>165</v>
      </c>
      <c r="H14" s="285" t="s">
        <v>314</v>
      </c>
      <c r="I14" s="13">
        <v>115</v>
      </c>
    </row>
    <row r="15" spans="1:9" ht="16.8">
      <c r="A15" s="127" t="s">
        <v>380</v>
      </c>
      <c r="B15" s="117">
        <v>1</v>
      </c>
      <c r="C15" s="14" t="s">
        <v>161</v>
      </c>
      <c r="D15" s="9" t="s">
        <v>162</v>
      </c>
      <c r="E15" s="10" t="s">
        <v>163</v>
      </c>
      <c r="F15" s="10" t="s">
        <v>164</v>
      </c>
      <c r="G15" s="285" t="s">
        <v>165</v>
      </c>
      <c r="H15" s="285" t="s">
        <v>314</v>
      </c>
      <c r="I15" s="13">
        <v>116</v>
      </c>
    </row>
    <row r="16" spans="1:9" ht="16.8">
      <c r="A16" s="127" t="s">
        <v>378</v>
      </c>
      <c r="B16" s="117">
        <v>1</v>
      </c>
      <c r="C16" s="14" t="s">
        <v>161</v>
      </c>
      <c r="D16" s="9" t="s">
        <v>162</v>
      </c>
      <c r="E16" s="10" t="s">
        <v>163</v>
      </c>
      <c r="F16" s="10" t="s">
        <v>164</v>
      </c>
      <c r="G16" s="285" t="s">
        <v>165</v>
      </c>
      <c r="H16" s="285" t="s">
        <v>314</v>
      </c>
      <c r="I16" s="13">
        <v>116</v>
      </c>
    </row>
    <row r="17" spans="1:9" ht="16.8">
      <c r="A17" s="127" t="s">
        <v>379</v>
      </c>
      <c r="B17" s="117">
        <v>1</v>
      </c>
      <c r="C17" s="14" t="s">
        <v>161</v>
      </c>
      <c r="D17" s="9" t="s">
        <v>162</v>
      </c>
      <c r="E17" s="10" t="s">
        <v>163</v>
      </c>
      <c r="F17" s="10" t="s">
        <v>164</v>
      </c>
      <c r="G17" s="285" t="s">
        <v>165</v>
      </c>
      <c r="H17" s="285" t="s">
        <v>314</v>
      </c>
      <c r="I17" s="13">
        <v>116</v>
      </c>
    </row>
    <row r="18" spans="1:9" ht="16.8">
      <c r="A18" s="127" t="s">
        <v>381</v>
      </c>
      <c r="B18" s="117">
        <v>1</v>
      </c>
      <c r="C18" s="441" t="s">
        <v>167</v>
      </c>
      <c r="D18" s="9" t="s">
        <v>162</v>
      </c>
      <c r="E18" s="286" t="s">
        <v>163</v>
      </c>
      <c r="F18" s="285" t="s">
        <v>169</v>
      </c>
      <c r="G18" s="285" t="s">
        <v>165</v>
      </c>
      <c r="H18" s="10" t="s">
        <v>208</v>
      </c>
      <c r="I18" s="13">
        <v>279</v>
      </c>
    </row>
    <row r="19" spans="1:9" ht="16.8">
      <c r="A19" s="130" t="s">
        <v>382</v>
      </c>
      <c r="B19" s="144">
        <v>1</v>
      </c>
      <c r="C19" s="289" t="s">
        <v>188</v>
      </c>
      <c r="D19" s="11" t="s">
        <v>383</v>
      </c>
      <c r="E19" s="131" t="s">
        <v>163</v>
      </c>
      <c r="F19" s="132" t="s">
        <v>189</v>
      </c>
      <c r="G19" s="132" t="s">
        <v>384</v>
      </c>
      <c r="H19" s="132" t="s">
        <v>208</v>
      </c>
      <c r="I19" s="133">
        <v>296</v>
      </c>
    </row>
    <row r="20" spans="1:9" ht="16.8">
      <c r="A20" s="127" t="s">
        <v>385</v>
      </c>
      <c r="B20" s="117">
        <v>2</v>
      </c>
      <c r="C20" s="441" t="s">
        <v>161</v>
      </c>
      <c r="D20" s="9" t="s">
        <v>191</v>
      </c>
      <c r="E20" s="286" t="s">
        <v>386</v>
      </c>
      <c r="F20" s="285" t="s">
        <v>169</v>
      </c>
      <c r="G20" s="285" t="s">
        <v>185</v>
      </c>
      <c r="H20" s="285" t="s">
        <v>314</v>
      </c>
      <c r="I20" s="13">
        <v>99</v>
      </c>
    </row>
    <row r="21" spans="1:9" ht="16.8">
      <c r="A21" s="450" t="s">
        <v>453</v>
      </c>
      <c r="B21" s="457">
        <v>2</v>
      </c>
      <c r="C21" s="14" t="s">
        <v>167</v>
      </c>
      <c r="D21" s="284" t="s">
        <v>162</v>
      </c>
      <c r="E21" s="286" t="s">
        <v>163</v>
      </c>
      <c r="F21" s="10" t="s">
        <v>171</v>
      </c>
      <c r="G21" s="10" t="s">
        <v>165</v>
      </c>
      <c r="H21" s="10" t="s">
        <v>212</v>
      </c>
      <c r="I21" s="30">
        <v>31</v>
      </c>
    </row>
    <row r="22" spans="1:9" ht="16.8">
      <c r="A22" s="127" t="s">
        <v>387</v>
      </c>
      <c r="B22" s="117">
        <v>2</v>
      </c>
      <c r="C22" s="14" t="s">
        <v>184</v>
      </c>
      <c r="D22" s="9" t="s">
        <v>176</v>
      </c>
      <c r="E22" s="286" t="s">
        <v>163</v>
      </c>
      <c r="F22" s="10" t="s">
        <v>169</v>
      </c>
      <c r="G22" s="10" t="s">
        <v>183</v>
      </c>
      <c r="H22" s="10" t="s">
        <v>208</v>
      </c>
      <c r="I22" s="13">
        <v>213</v>
      </c>
    </row>
    <row r="23" spans="1:9" ht="16.8">
      <c r="A23" s="127" t="s">
        <v>388</v>
      </c>
      <c r="B23" s="117">
        <v>2</v>
      </c>
      <c r="C23" s="14" t="s">
        <v>174</v>
      </c>
      <c r="D23" s="8" t="s">
        <v>176</v>
      </c>
      <c r="E23" s="10" t="s">
        <v>317</v>
      </c>
      <c r="F23" s="10" t="s">
        <v>169</v>
      </c>
      <c r="G23" s="10" t="s">
        <v>389</v>
      </c>
      <c r="H23" s="10" t="s">
        <v>208</v>
      </c>
      <c r="I23" s="163">
        <v>231</v>
      </c>
    </row>
    <row r="24" spans="1:9" ht="16.8">
      <c r="A24" s="127" t="s">
        <v>390</v>
      </c>
      <c r="B24" s="117">
        <v>2</v>
      </c>
      <c r="C24" s="14" t="s">
        <v>167</v>
      </c>
      <c r="D24" s="9" t="s">
        <v>176</v>
      </c>
      <c r="E24" s="286" t="s">
        <v>163</v>
      </c>
      <c r="F24" s="129" t="s">
        <v>391</v>
      </c>
      <c r="G24" s="10" t="s">
        <v>165</v>
      </c>
      <c r="H24" s="10" t="s">
        <v>314</v>
      </c>
      <c r="I24" s="163">
        <v>107</v>
      </c>
    </row>
    <row r="25" spans="1:9" ht="16.8">
      <c r="A25" s="127" t="s">
        <v>392</v>
      </c>
      <c r="B25" s="117">
        <v>2</v>
      </c>
      <c r="C25" s="14" t="s">
        <v>161</v>
      </c>
      <c r="D25" s="9" t="s">
        <v>176</v>
      </c>
      <c r="E25" s="286" t="s">
        <v>163</v>
      </c>
      <c r="F25" s="10" t="s">
        <v>312</v>
      </c>
      <c r="G25" s="10" t="s">
        <v>165</v>
      </c>
      <c r="H25" s="10" t="s">
        <v>226</v>
      </c>
      <c r="I25" s="13">
        <v>112</v>
      </c>
    </row>
    <row r="26" spans="1:9" ht="16.8">
      <c r="A26" s="127" t="s">
        <v>415</v>
      </c>
      <c r="B26" s="117">
        <v>2</v>
      </c>
      <c r="C26" s="14" t="s">
        <v>161</v>
      </c>
      <c r="D26" s="9" t="s">
        <v>393</v>
      </c>
      <c r="E26" s="286" t="s">
        <v>163</v>
      </c>
      <c r="F26" s="10" t="s">
        <v>312</v>
      </c>
      <c r="G26" s="10" t="s">
        <v>384</v>
      </c>
      <c r="H26" s="10" t="s">
        <v>208</v>
      </c>
      <c r="I26" s="13">
        <v>253</v>
      </c>
    </row>
    <row r="27" spans="1:9" ht="16.8">
      <c r="A27" s="127" t="s">
        <v>444</v>
      </c>
      <c r="B27" s="117">
        <v>2</v>
      </c>
      <c r="C27" s="14" t="s">
        <v>168</v>
      </c>
      <c r="D27" s="9" t="s">
        <v>176</v>
      </c>
      <c r="E27" s="286" t="s">
        <v>163</v>
      </c>
      <c r="F27" s="10" t="s">
        <v>312</v>
      </c>
      <c r="G27" s="10" t="s">
        <v>443</v>
      </c>
      <c r="H27" s="10" t="s">
        <v>208</v>
      </c>
      <c r="I27" s="13">
        <v>267</v>
      </c>
    </row>
    <row r="28" spans="1:9" ht="16.8">
      <c r="A28" s="127" t="s">
        <v>293</v>
      </c>
      <c r="B28" s="117">
        <v>2</v>
      </c>
      <c r="C28" s="14" t="s">
        <v>167</v>
      </c>
      <c r="D28" s="9" t="s">
        <v>162</v>
      </c>
      <c r="E28" s="286" t="s">
        <v>163</v>
      </c>
      <c r="F28" s="10" t="s">
        <v>164</v>
      </c>
      <c r="G28" s="10" t="s">
        <v>165</v>
      </c>
      <c r="H28" s="10" t="s">
        <v>208</v>
      </c>
      <c r="I28" s="13">
        <v>274</v>
      </c>
    </row>
    <row r="29" spans="1:9" ht="16.8">
      <c r="A29" s="127" t="s">
        <v>394</v>
      </c>
      <c r="B29" s="117">
        <v>2</v>
      </c>
      <c r="C29" s="14" t="s">
        <v>167</v>
      </c>
      <c r="D29" s="9" t="s">
        <v>199</v>
      </c>
      <c r="E29" s="286" t="s">
        <v>163</v>
      </c>
      <c r="F29" s="10" t="s">
        <v>164</v>
      </c>
      <c r="G29" s="10" t="s">
        <v>165</v>
      </c>
      <c r="H29" s="10" t="s">
        <v>208</v>
      </c>
      <c r="I29" s="13">
        <v>278</v>
      </c>
    </row>
    <row r="30" spans="1:9" ht="16.8">
      <c r="A30" s="130" t="s">
        <v>395</v>
      </c>
      <c r="B30" s="144">
        <v>2</v>
      </c>
      <c r="C30" s="289" t="s">
        <v>168</v>
      </c>
      <c r="D30" s="11" t="s">
        <v>170</v>
      </c>
      <c r="E30" s="290" t="s">
        <v>163</v>
      </c>
      <c r="F30" s="132" t="s">
        <v>186</v>
      </c>
      <c r="G30" s="132" t="s">
        <v>165</v>
      </c>
      <c r="H30" s="132" t="s">
        <v>314</v>
      </c>
      <c r="I30" s="133">
        <v>129</v>
      </c>
    </row>
    <row r="31" spans="1:9" ht="16.8">
      <c r="A31" s="127" t="s">
        <v>396</v>
      </c>
      <c r="B31" s="117">
        <v>3</v>
      </c>
      <c r="C31" s="14" t="s">
        <v>167</v>
      </c>
      <c r="D31" s="8" t="s">
        <v>199</v>
      </c>
      <c r="E31" s="286" t="s">
        <v>163</v>
      </c>
      <c r="F31" s="10" t="s">
        <v>189</v>
      </c>
      <c r="G31" s="10" t="s">
        <v>178</v>
      </c>
      <c r="H31" s="10" t="s">
        <v>208</v>
      </c>
      <c r="I31" s="13">
        <v>230</v>
      </c>
    </row>
    <row r="32" spans="1:9" ht="16.8">
      <c r="A32" s="127" t="s">
        <v>284</v>
      </c>
      <c r="B32" s="117">
        <v>3</v>
      </c>
      <c r="C32" s="14" t="s">
        <v>167</v>
      </c>
      <c r="D32" s="9" t="s">
        <v>176</v>
      </c>
      <c r="E32" s="286" t="s">
        <v>163</v>
      </c>
      <c r="F32" s="10" t="s">
        <v>312</v>
      </c>
      <c r="G32" s="10" t="s">
        <v>165</v>
      </c>
      <c r="H32" s="10" t="s">
        <v>208</v>
      </c>
      <c r="I32" s="259">
        <v>231</v>
      </c>
    </row>
    <row r="33" spans="1:9" ht="16.8">
      <c r="A33" s="127" t="s">
        <v>397</v>
      </c>
      <c r="B33" s="117">
        <v>3</v>
      </c>
      <c r="C33" s="14" t="s">
        <v>168</v>
      </c>
      <c r="D33" s="9" t="s">
        <v>176</v>
      </c>
      <c r="E33" s="286" t="s">
        <v>163</v>
      </c>
      <c r="F33" s="10" t="s">
        <v>164</v>
      </c>
      <c r="G33" s="10" t="s">
        <v>172</v>
      </c>
      <c r="H33" s="10" t="s">
        <v>208</v>
      </c>
      <c r="I33" s="259">
        <v>231</v>
      </c>
    </row>
    <row r="34" spans="1:9" ht="16.8">
      <c r="A34" s="127" t="s">
        <v>214</v>
      </c>
      <c r="B34" s="117">
        <v>3</v>
      </c>
      <c r="C34" s="14" t="s">
        <v>167</v>
      </c>
      <c r="D34" s="8" t="s">
        <v>162</v>
      </c>
      <c r="E34" s="286" t="s">
        <v>163</v>
      </c>
      <c r="F34" s="10" t="s">
        <v>186</v>
      </c>
      <c r="G34" s="10" t="s">
        <v>185</v>
      </c>
      <c r="H34" s="10" t="s">
        <v>208</v>
      </c>
      <c r="I34" s="13">
        <v>238</v>
      </c>
    </row>
    <row r="35" spans="1:9" ht="16.8">
      <c r="A35" s="127" t="s">
        <v>215</v>
      </c>
      <c r="B35" s="117">
        <v>3</v>
      </c>
      <c r="C35" s="14" t="s">
        <v>168</v>
      </c>
      <c r="D35" s="9" t="s">
        <v>176</v>
      </c>
      <c r="E35" s="286" t="s">
        <v>163</v>
      </c>
      <c r="F35" s="129" t="s">
        <v>164</v>
      </c>
      <c r="G35" s="10" t="s">
        <v>178</v>
      </c>
      <c r="H35" s="10" t="s">
        <v>208</v>
      </c>
      <c r="I35" s="30">
        <v>239</v>
      </c>
    </row>
    <row r="36" spans="1:9" ht="16.8">
      <c r="A36" s="127" t="s">
        <v>398</v>
      </c>
      <c r="B36" s="117">
        <v>3</v>
      </c>
      <c r="C36" s="14" t="s">
        <v>167</v>
      </c>
      <c r="D36" s="8" t="s">
        <v>199</v>
      </c>
      <c r="E36" s="10" t="s">
        <v>163</v>
      </c>
      <c r="F36" s="129" t="s">
        <v>312</v>
      </c>
      <c r="G36" s="10" t="s">
        <v>399</v>
      </c>
      <c r="H36" s="10" t="s">
        <v>208</v>
      </c>
      <c r="I36" s="163">
        <v>243</v>
      </c>
    </row>
    <row r="37" spans="1:9" ht="16.8">
      <c r="A37" s="127" t="s">
        <v>324</v>
      </c>
      <c r="B37" s="117">
        <v>3</v>
      </c>
      <c r="C37" s="14" t="s">
        <v>167</v>
      </c>
      <c r="D37" s="9" t="s">
        <v>176</v>
      </c>
      <c r="E37" s="286" t="s">
        <v>163</v>
      </c>
      <c r="F37" s="10" t="s">
        <v>325</v>
      </c>
      <c r="G37" s="10" t="s">
        <v>165</v>
      </c>
      <c r="H37" s="10" t="s">
        <v>208</v>
      </c>
      <c r="I37" s="13">
        <v>248</v>
      </c>
    </row>
    <row r="38" spans="1:9" ht="16.8">
      <c r="A38" s="127" t="s">
        <v>400</v>
      </c>
      <c r="B38" s="117">
        <v>3</v>
      </c>
      <c r="C38" s="14" t="s">
        <v>161</v>
      </c>
      <c r="D38" s="9" t="s">
        <v>176</v>
      </c>
      <c r="E38" s="286" t="s">
        <v>163</v>
      </c>
      <c r="F38" s="129" t="s">
        <v>189</v>
      </c>
      <c r="G38" s="10" t="s">
        <v>177</v>
      </c>
      <c r="H38" s="10" t="s">
        <v>314</v>
      </c>
      <c r="I38" s="163">
        <v>121</v>
      </c>
    </row>
    <row r="39" spans="1:9" ht="16.8">
      <c r="A39" s="127" t="s">
        <v>401</v>
      </c>
      <c r="B39" s="117">
        <v>3</v>
      </c>
      <c r="C39" s="14" t="s">
        <v>161</v>
      </c>
      <c r="D39" s="9" t="s">
        <v>199</v>
      </c>
      <c r="E39" s="286" t="s">
        <v>163</v>
      </c>
      <c r="F39" s="10" t="s">
        <v>312</v>
      </c>
      <c r="G39" s="10" t="s">
        <v>178</v>
      </c>
      <c r="H39" s="10" t="s">
        <v>208</v>
      </c>
      <c r="I39" s="13">
        <v>280</v>
      </c>
    </row>
    <row r="40" spans="1:9" ht="16.8">
      <c r="A40" s="127" t="s">
        <v>289</v>
      </c>
      <c r="B40" s="117">
        <v>3</v>
      </c>
      <c r="C40" s="14" t="s">
        <v>161</v>
      </c>
      <c r="D40" s="9" t="s">
        <v>176</v>
      </c>
      <c r="E40" s="286" t="s">
        <v>163</v>
      </c>
      <c r="F40" s="10" t="s">
        <v>171</v>
      </c>
      <c r="G40" s="10" t="s">
        <v>178</v>
      </c>
      <c r="H40" s="10" t="s">
        <v>208</v>
      </c>
      <c r="I40" s="259">
        <v>284</v>
      </c>
    </row>
    <row r="41" spans="1:9" ht="16.8">
      <c r="A41" s="449" t="s">
        <v>442</v>
      </c>
      <c r="B41" s="144">
        <v>3</v>
      </c>
      <c r="C41" s="289" t="s">
        <v>167</v>
      </c>
      <c r="D41" s="11" t="s">
        <v>162</v>
      </c>
      <c r="E41" s="290" t="s">
        <v>163</v>
      </c>
      <c r="F41" s="132" t="s">
        <v>438</v>
      </c>
      <c r="G41" s="132" t="s">
        <v>178</v>
      </c>
      <c r="H41" s="132" t="s">
        <v>441</v>
      </c>
      <c r="I41" s="133" t="s">
        <v>95</v>
      </c>
    </row>
    <row r="42" spans="1:9" ht="16.8">
      <c r="A42" s="448" t="s">
        <v>402</v>
      </c>
      <c r="B42" s="117">
        <v>4</v>
      </c>
      <c r="C42" s="447" t="s">
        <v>161</v>
      </c>
      <c r="D42" s="439" t="s">
        <v>162</v>
      </c>
      <c r="E42" s="446" t="s">
        <v>163</v>
      </c>
      <c r="F42" s="445" t="s">
        <v>440</v>
      </c>
      <c r="G42" s="440" t="s">
        <v>165</v>
      </c>
      <c r="H42" s="440" t="s">
        <v>314</v>
      </c>
      <c r="I42" s="444">
        <v>99</v>
      </c>
    </row>
    <row r="43" spans="1:9" ht="16.8">
      <c r="A43" s="127" t="s">
        <v>403</v>
      </c>
      <c r="B43" s="117">
        <v>4</v>
      </c>
      <c r="C43" s="14" t="s">
        <v>413</v>
      </c>
      <c r="D43" s="9" t="s">
        <v>162</v>
      </c>
      <c r="E43" s="286" t="s">
        <v>163</v>
      </c>
      <c r="F43" s="10" t="s">
        <v>169</v>
      </c>
      <c r="G43" s="10" t="s">
        <v>165</v>
      </c>
      <c r="H43" s="10" t="s">
        <v>208</v>
      </c>
      <c r="I43" s="13">
        <v>213</v>
      </c>
    </row>
    <row r="44" spans="1:9" ht="16.8">
      <c r="A44" s="127" t="s">
        <v>416</v>
      </c>
      <c r="B44" s="117">
        <v>4</v>
      </c>
      <c r="C44" s="14" t="s">
        <v>161</v>
      </c>
      <c r="D44" s="9" t="s">
        <v>162</v>
      </c>
      <c r="E44" s="286" t="s">
        <v>163</v>
      </c>
      <c r="F44" s="10" t="s">
        <v>439</v>
      </c>
      <c r="G44" s="10" t="s">
        <v>178</v>
      </c>
      <c r="H44" s="10" t="s">
        <v>208</v>
      </c>
      <c r="I44" s="13">
        <v>228</v>
      </c>
    </row>
    <row r="45" spans="1:9" ht="16.8">
      <c r="A45" s="127" t="s">
        <v>404</v>
      </c>
      <c r="B45" s="117">
        <v>4</v>
      </c>
      <c r="C45" s="14" t="s">
        <v>161</v>
      </c>
      <c r="D45" s="9" t="s">
        <v>162</v>
      </c>
      <c r="E45" s="286" t="s">
        <v>163</v>
      </c>
      <c r="F45" s="10" t="s">
        <v>438</v>
      </c>
      <c r="G45" s="10" t="s">
        <v>165</v>
      </c>
      <c r="H45" s="10" t="s">
        <v>314</v>
      </c>
      <c r="I45" s="13">
        <v>115</v>
      </c>
    </row>
    <row r="46" spans="1:9" ht="16.8">
      <c r="A46" s="127" t="s">
        <v>405</v>
      </c>
      <c r="B46" s="117">
        <v>4</v>
      </c>
      <c r="C46" s="14" t="s">
        <v>161</v>
      </c>
      <c r="D46" s="9" t="s">
        <v>162</v>
      </c>
      <c r="E46" s="286" t="s">
        <v>163</v>
      </c>
      <c r="F46" s="10" t="s">
        <v>438</v>
      </c>
      <c r="G46" s="10" t="s">
        <v>165</v>
      </c>
      <c r="H46" s="10" t="s">
        <v>314</v>
      </c>
      <c r="I46" s="13">
        <v>115</v>
      </c>
    </row>
    <row r="47" spans="1:9" ht="16.8">
      <c r="A47" s="127" t="s">
        <v>409</v>
      </c>
      <c r="B47" s="117">
        <v>4</v>
      </c>
      <c r="C47" s="14" t="s">
        <v>161</v>
      </c>
      <c r="D47" s="9" t="s">
        <v>162</v>
      </c>
      <c r="E47" s="286" t="s">
        <v>163</v>
      </c>
      <c r="F47" s="10" t="s">
        <v>438</v>
      </c>
      <c r="G47" s="10" t="s">
        <v>165</v>
      </c>
      <c r="H47" s="10" t="s">
        <v>314</v>
      </c>
      <c r="I47" s="13">
        <v>116</v>
      </c>
    </row>
    <row r="48" spans="1:9" ht="16.8">
      <c r="A48" s="127" t="s">
        <v>406</v>
      </c>
      <c r="B48" s="117">
        <v>4</v>
      </c>
      <c r="C48" s="14" t="s">
        <v>161</v>
      </c>
      <c r="D48" s="9" t="s">
        <v>162</v>
      </c>
      <c r="E48" s="286" t="s">
        <v>163</v>
      </c>
      <c r="F48" s="10" t="s">
        <v>438</v>
      </c>
      <c r="G48" s="10" t="s">
        <v>165</v>
      </c>
      <c r="H48" s="10" t="s">
        <v>314</v>
      </c>
      <c r="I48" s="13">
        <v>116</v>
      </c>
    </row>
    <row r="49" spans="1:9" ht="16.8">
      <c r="A49" s="127" t="s">
        <v>407</v>
      </c>
      <c r="B49" s="117">
        <v>4</v>
      </c>
      <c r="C49" s="14" t="s">
        <v>161</v>
      </c>
      <c r="D49" s="9" t="s">
        <v>162</v>
      </c>
      <c r="E49" s="286" t="s">
        <v>163</v>
      </c>
      <c r="F49" s="10" t="s">
        <v>438</v>
      </c>
      <c r="G49" s="10" t="s">
        <v>165</v>
      </c>
      <c r="H49" s="10" t="s">
        <v>314</v>
      </c>
      <c r="I49" s="13">
        <v>116</v>
      </c>
    </row>
    <row r="50" spans="1:9" ht="16.8">
      <c r="A50" s="127" t="s">
        <v>408</v>
      </c>
      <c r="B50" s="117">
        <v>4</v>
      </c>
      <c r="C50" s="14" t="s">
        <v>161</v>
      </c>
      <c r="D50" s="9" t="s">
        <v>162</v>
      </c>
      <c r="E50" s="286" t="s">
        <v>163</v>
      </c>
      <c r="F50" s="10" t="s">
        <v>438</v>
      </c>
      <c r="G50" s="10" t="s">
        <v>165</v>
      </c>
      <c r="H50" s="10" t="s">
        <v>314</v>
      </c>
      <c r="I50" s="13">
        <v>116</v>
      </c>
    </row>
    <row r="51" spans="1:9" ht="16.8">
      <c r="A51" s="127" t="s">
        <v>410</v>
      </c>
      <c r="B51" s="117">
        <v>4</v>
      </c>
      <c r="C51" s="14" t="s">
        <v>184</v>
      </c>
      <c r="D51" s="9" t="s">
        <v>162</v>
      </c>
      <c r="E51" s="286" t="s">
        <v>163</v>
      </c>
      <c r="F51" s="10" t="s">
        <v>171</v>
      </c>
      <c r="G51" s="10" t="s">
        <v>165</v>
      </c>
      <c r="H51" s="10" t="s">
        <v>208</v>
      </c>
      <c r="I51" s="13">
        <v>260</v>
      </c>
    </row>
    <row r="52" spans="1:9" ht="16.8">
      <c r="A52" s="127" t="s">
        <v>411</v>
      </c>
      <c r="B52" s="117">
        <v>4</v>
      </c>
      <c r="C52" s="14" t="s">
        <v>167</v>
      </c>
      <c r="D52" s="9" t="s">
        <v>191</v>
      </c>
      <c r="E52" s="286" t="s">
        <v>163</v>
      </c>
      <c r="F52" s="10" t="s">
        <v>437</v>
      </c>
      <c r="G52" s="10" t="s">
        <v>165</v>
      </c>
      <c r="H52" s="10" t="s">
        <v>208</v>
      </c>
      <c r="I52" s="13">
        <v>279</v>
      </c>
    </row>
    <row r="53" spans="1:9" ht="16.8">
      <c r="A53" s="130" t="s">
        <v>412</v>
      </c>
      <c r="B53" s="144">
        <v>4</v>
      </c>
      <c r="C53" s="289" t="s">
        <v>167</v>
      </c>
      <c r="D53" s="11" t="s">
        <v>162</v>
      </c>
      <c r="E53" s="290" t="s">
        <v>163</v>
      </c>
      <c r="F53" s="132" t="s">
        <v>171</v>
      </c>
      <c r="G53" s="132" t="s">
        <v>436</v>
      </c>
      <c r="H53" s="132" t="s">
        <v>208</v>
      </c>
      <c r="I53" s="133">
        <v>298</v>
      </c>
    </row>
    <row r="54" spans="1:9" ht="16.8">
      <c r="A54" s="127" t="s">
        <v>435</v>
      </c>
      <c r="B54" s="117">
        <v>5</v>
      </c>
      <c r="C54" s="14" t="s">
        <v>161</v>
      </c>
      <c r="D54" s="9" t="s">
        <v>199</v>
      </c>
      <c r="E54" s="286" t="s">
        <v>163</v>
      </c>
      <c r="F54" s="129" t="s">
        <v>164</v>
      </c>
      <c r="G54" s="10" t="s">
        <v>165</v>
      </c>
      <c r="H54" s="10" t="s">
        <v>314</v>
      </c>
      <c r="I54" s="163">
        <v>97</v>
      </c>
    </row>
    <row r="55" spans="1:9" ht="16.8">
      <c r="A55" s="127" t="s">
        <v>434</v>
      </c>
      <c r="B55" s="117">
        <v>5</v>
      </c>
      <c r="C55" s="14" t="s">
        <v>161</v>
      </c>
      <c r="D55" s="9" t="s">
        <v>162</v>
      </c>
      <c r="E55" s="10" t="s">
        <v>163</v>
      </c>
      <c r="F55" s="10" t="s">
        <v>171</v>
      </c>
      <c r="G55" s="10" t="s">
        <v>177</v>
      </c>
      <c r="H55" s="10" t="s">
        <v>208</v>
      </c>
      <c r="I55" s="13">
        <v>210</v>
      </c>
    </row>
    <row r="56" spans="1:9" ht="16.8">
      <c r="A56" s="127" t="s">
        <v>433</v>
      </c>
      <c r="B56" s="117">
        <v>5</v>
      </c>
      <c r="C56" s="14" t="s">
        <v>167</v>
      </c>
      <c r="D56" s="9" t="s">
        <v>199</v>
      </c>
      <c r="E56" s="286" t="s">
        <v>163</v>
      </c>
      <c r="F56" s="129" t="s">
        <v>186</v>
      </c>
      <c r="G56" s="10" t="s">
        <v>165</v>
      </c>
      <c r="H56" s="10" t="s">
        <v>208</v>
      </c>
      <c r="I56" s="163">
        <v>212</v>
      </c>
    </row>
    <row r="57" spans="1:9" ht="16.8">
      <c r="A57" s="127" t="s">
        <v>432</v>
      </c>
      <c r="B57" s="117">
        <v>5</v>
      </c>
      <c r="C57" s="14" t="s">
        <v>167</v>
      </c>
      <c r="D57" s="9" t="s">
        <v>176</v>
      </c>
      <c r="E57" s="286" t="s">
        <v>163</v>
      </c>
      <c r="F57" s="10" t="s">
        <v>164</v>
      </c>
      <c r="G57" s="10" t="s">
        <v>178</v>
      </c>
      <c r="H57" s="10" t="s">
        <v>314</v>
      </c>
      <c r="I57" s="163">
        <v>107</v>
      </c>
    </row>
    <row r="58" spans="1:9" ht="16.8">
      <c r="A58" s="127" t="s">
        <v>431</v>
      </c>
      <c r="B58" s="117">
        <v>5</v>
      </c>
      <c r="C58" s="14" t="s">
        <v>167</v>
      </c>
      <c r="D58" s="9" t="s">
        <v>176</v>
      </c>
      <c r="E58" s="286" t="s">
        <v>163</v>
      </c>
      <c r="F58" s="129" t="s">
        <v>391</v>
      </c>
      <c r="G58" s="10" t="s">
        <v>165</v>
      </c>
      <c r="H58" s="10" t="s">
        <v>314</v>
      </c>
      <c r="I58" s="163">
        <v>107</v>
      </c>
    </row>
    <row r="59" spans="1:9" ht="16.8">
      <c r="A59" s="130" t="s">
        <v>430</v>
      </c>
      <c r="B59" s="117">
        <v>5</v>
      </c>
      <c r="C59" s="289" t="s">
        <v>167</v>
      </c>
      <c r="D59" s="11" t="s">
        <v>162</v>
      </c>
      <c r="E59" s="290" t="s">
        <v>163</v>
      </c>
      <c r="F59" s="132" t="s">
        <v>171</v>
      </c>
      <c r="G59" s="132" t="s">
        <v>165</v>
      </c>
      <c r="H59" s="132" t="s">
        <v>314</v>
      </c>
      <c r="I59" s="133">
        <v>118</v>
      </c>
    </row>
  </sheetData>
  <conditionalFormatting sqref="B22:B34 B3:B20 B36:B59">
    <cfRule type="cellIs" dxfId="52" priority="23" operator="equal">
      <formula>9</formula>
    </cfRule>
    <cfRule type="cellIs" dxfId="51" priority="24" operator="equal">
      <formula>8</formula>
    </cfRule>
    <cfRule type="cellIs" dxfId="50" priority="25" operator="equal">
      <formula>7</formula>
    </cfRule>
    <cfRule type="cellIs" dxfId="49" priority="26" operator="equal">
      <formula>6</formula>
    </cfRule>
    <cfRule type="cellIs" dxfId="48" priority="27" operator="equal">
      <formula>5</formula>
    </cfRule>
    <cfRule type="cellIs" dxfId="47" priority="28" operator="equal">
      <formula>4</formula>
    </cfRule>
    <cfRule type="cellIs" dxfId="46" priority="29" operator="equal">
      <formula>3</formula>
    </cfRule>
    <cfRule type="cellIs" dxfId="45" priority="30" operator="equal">
      <formula>2</formula>
    </cfRule>
    <cfRule type="cellIs" dxfId="44" priority="31" operator="equal">
      <formula>1</formula>
    </cfRule>
    <cfRule type="containsBlanks" dxfId="43" priority="32">
      <formula>LEN(TRIM(B3))=0</formula>
    </cfRule>
    <cfRule type="cellIs" dxfId="42" priority="33" operator="equal">
      <formula>0</formula>
    </cfRule>
  </conditionalFormatting>
  <conditionalFormatting sqref="B21">
    <cfRule type="cellIs" dxfId="41" priority="12" operator="equal">
      <formula>9</formula>
    </cfRule>
    <cfRule type="cellIs" dxfId="40" priority="13" operator="equal">
      <formula>8</formula>
    </cfRule>
    <cfRule type="cellIs" dxfId="39" priority="14" operator="equal">
      <formula>7</formula>
    </cfRule>
    <cfRule type="cellIs" dxfId="38" priority="15" operator="equal">
      <formula>6</formula>
    </cfRule>
    <cfRule type="cellIs" dxfId="37" priority="16" operator="equal">
      <formula>5</formula>
    </cfRule>
    <cfRule type="cellIs" dxfId="36" priority="17" operator="equal">
      <formula>4</formula>
    </cfRule>
    <cfRule type="cellIs" dxfId="35" priority="18" operator="equal">
      <formula>3</formula>
    </cfRule>
    <cfRule type="cellIs" dxfId="34" priority="19" operator="equal">
      <formula>2</formula>
    </cfRule>
    <cfRule type="cellIs" dxfId="33" priority="20" operator="equal">
      <formula>1</formula>
    </cfRule>
    <cfRule type="containsBlanks" dxfId="32" priority="21">
      <formula>LEN(TRIM(B21))=0</formula>
    </cfRule>
    <cfRule type="cellIs" dxfId="31" priority="22" operator="equal">
      <formula>0</formula>
    </cfRule>
  </conditionalFormatting>
  <conditionalFormatting sqref="B35">
    <cfRule type="cellIs" dxfId="30" priority="1" operator="equal">
      <formula>9</formula>
    </cfRule>
    <cfRule type="cellIs" dxfId="29" priority="2" operator="equal">
      <formula>8</formula>
    </cfRule>
    <cfRule type="cellIs" dxfId="28" priority="3" operator="equal">
      <formula>7</formula>
    </cfRule>
    <cfRule type="cellIs" dxfId="27" priority="4" operator="equal">
      <formula>6</formula>
    </cfRule>
    <cfRule type="cellIs" dxfId="26" priority="5" operator="equal">
      <formula>5</formula>
    </cfRule>
    <cfRule type="cellIs" dxfId="25" priority="6" operator="equal">
      <formula>4</formula>
    </cfRule>
    <cfRule type="cellIs" dxfId="24" priority="7" operator="equal">
      <formula>3</formula>
    </cfRule>
    <cfRule type="cellIs" dxfId="23" priority="8" operator="equal">
      <formula>2</formula>
    </cfRule>
    <cfRule type="cellIs" dxfId="22" priority="9" operator="equal">
      <formula>1</formula>
    </cfRule>
    <cfRule type="containsBlanks" dxfId="21" priority="10">
      <formula>LEN(TRIM(B35))=0</formula>
    </cfRule>
    <cfRule type="cellIs" dxfId="20"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5"/>
  <sheetViews>
    <sheetView showGridLines="0" workbookViewId="0"/>
  </sheetViews>
  <sheetFormatPr defaultColWidth="9.8984375" defaultRowHeight="16.8"/>
  <cols>
    <col min="1" max="1" width="41.5" style="106" bestFit="1" customWidth="1"/>
    <col min="2" max="2" width="5.69921875" style="106" customWidth="1"/>
    <col min="3" max="3" width="5.69921875" style="106" bestFit="1" customWidth="1"/>
    <col min="4" max="4" width="6.19921875" style="106" bestFit="1" customWidth="1"/>
    <col min="5" max="5" width="4.09765625" style="106" bestFit="1" customWidth="1"/>
    <col min="6" max="6" width="6.296875" style="106" bestFit="1" customWidth="1"/>
    <col min="7" max="7" width="2.8984375" style="106" customWidth="1"/>
    <col min="8" max="8" width="18.5" style="106" bestFit="1" customWidth="1"/>
    <col min="9" max="9" width="3.8984375" style="106" bestFit="1" customWidth="1"/>
    <col min="10" max="10" width="3.69921875" style="106" bestFit="1" customWidth="1"/>
    <col min="11" max="11" width="4.3984375" style="106" bestFit="1" customWidth="1"/>
    <col min="12" max="12" width="4.09765625" style="106" bestFit="1" customWidth="1"/>
    <col min="13" max="16" width="3.8984375" style="106" bestFit="1" customWidth="1"/>
    <col min="17" max="17" width="2.8984375" style="106" customWidth="1"/>
    <col min="18" max="18" width="28.3984375" style="106" bestFit="1" customWidth="1"/>
    <col min="19" max="19" width="3.5" style="106" bestFit="1" customWidth="1"/>
    <col min="20" max="20" width="6.19921875" style="106" bestFit="1" customWidth="1"/>
    <col min="21" max="21" width="4.09765625" style="106" bestFit="1" customWidth="1"/>
    <col min="22" max="22" width="6.296875" style="106" bestFit="1" customWidth="1"/>
    <col min="23" max="23" width="5.8984375" style="106" customWidth="1"/>
    <col min="24" max="16384" width="9.8984375" style="106"/>
  </cols>
  <sheetData>
    <row r="1" spans="1:24" ht="22.2" thickTop="1" thickBot="1">
      <c r="A1" s="437" t="s">
        <v>368</v>
      </c>
      <c r="B1" s="409"/>
      <c r="C1" s="409"/>
      <c r="D1" s="410"/>
      <c r="E1" s="410"/>
      <c r="F1" s="411"/>
      <c r="H1" s="388"/>
      <c r="I1" s="389" t="s">
        <v>270</v>
      </c>
      <c r="J1" s="390"/>
      <c r="K1" s="391"/>
      <c r="L1" s="391"/>
      <c r="M1" s="391"/>
      <c r="N1" s="391"/>
      <c r="O1" s="391"/>
      <c r="P1" s="392"/>
    </row>
    <row r="2" spans="1:24" ht="18" thickTop="1" thickBot="1">
      <c r="A2" s="428" t="s">
        <v>94</v>
      </c>
      <c r="B2" s="429" t="s">
        <v>465</v>
      </c>
      <c r="C2" s="429" t="s">
        <v>464</v>
      </c>
      <c r="D2" s="429" t="s">
        <v>97</v>
      </c>
      <c r="E2" s="430" t="s">
        <v>98</v>
      </c>
      <c r="F2" s="431" t="s">
        <v>99</v>
      </c>
      <c r="H2" s="388"/>
      <c r="I2" s="393" t="s">
        <v>111</v>
      </c>
      <c r="J2" s="394" t="s">
        <v>103</v>
      </c>
      <c r="K2" s="394" t="s">
        <v>104</v>
      </c>
      <c r="L2" s="394" t="s">
        <v>105</v>
      </c>
      <c r="M2" s="394" t="s">
        <v>106</v>
      </c>
      <c r="N2" s="394" t="s">
        <v>107</v>
      </c>
      <c r="O2" s="394" t="s">
        <v>108</v>
      </c>
      <c r="P2" s="395" t="s">
        <v>109</v>
      </c>
    </row>
    <row r="3" spans="1:24" ht="17.399999999999999" thickTop="1">
      <c r="A3" s="376" t="s">
        <v>144</v>
      </c>
      <c r="B3" s="377">
        <v>0</v>
      </c>
      <c r="C3" s="377">
        <f t="shared" ref="C3:C32" si="0">IF(B3=2,1,0)</f>
        <v>0</v>
      </c>
      <c r="D3" s="377">
        <v>0</v>
      </c>
      <c r="E3" s="378">
        <f>SUM(10,B3:D3,'Personal File'!$C$13)</f>
        <v>10</v>
      </c>
      <c r="F3" s="379" t="s">
        <v>468</v>
      </c>
      <c r="H3" s="396" t="s">
        <v>269</v>
      </c>
      <c r="I3" s="397">
        <v>6</v>
      </c>
      <c r="J3" s="398">
        <v>6</v>
      </c>
      <c r="K3" s="398">
        <v>6</v>
      </c>
      <c r="L3" s="398">
        <v>5</v>
      </c>
      <c r="M3" s="398">
        <v>3</v>
      </c>
      <c r="N3" s="399">
        <v>0</v>
      </c>
      <c r="O3" s="399">
        <v>0</v>
      </c>
      <c r="P3" s="400">
        <v>0</v>
      </c>
    </row>
    <row r="4" spans="1:24">
      <c r="A4" s="376" t="s">
        <v>146</v>
      </c>
      <c r="B4" s="377">
        <v>0</v>
      </c>
      <c r="C4" s="377">
        <f t="shared" si="0"/>
        <v>0</v>
      </c>
      <c r="D4" s="377">
        <v>0</v>
      </c>
      <c r="E4" s="378">
        <f>SUM(10,B4:D4,'Personal File'!$C$13)</f>
        <v>10</v>
      </c>
      <c r="F4" s="379" t="s">
        <v>467</v>
      </c>
      <c r="H4" s="401" t="s">
        <v>268</v>
      </c>
      <c r="I4" s="402">
        <v>0</v>
      </c>
      <c r="J4" s="402">
        <v>1</v>
      </c>
      <c r="K4" s="402">
        <v>1</v>
      </c>
      <c r="L4" s="402">
        <v>0</v>
      </c>
      <c r="M4" s="402">
        <v>0</v>
      </c>
      <c r="N4" s="403">
        <v>0</v>
      </c>
      <c r="O4" s="403">
        <v>0</v>
      </c>
      <c r="P4" s="404">
        <v>0</v>
      </c>
    </row>
    <row r="5" spans="1:24" ht="17.399999999999999" thickBot="1">
      <c r="A5" s="376" t="s">
        <v>138</v>
      </c>
      <c r="B5" s="377">
        <v>0</v>
      </c>
      <c r="C5" s="377">
        <f t="shared" si="0"/>
        <v>0</v>
      </c>
      <c r="D5" s="377">
        <v>0</v>
      </c>
      <c r="E5" s="378">
        <f>SUM(10,B5:D5,'Personal File'!$C$13)</f>
        <v>10</v>
      </c>
      <c r="F5" s="379" t="s">
        <v>467</v>
      </c>
      <c r="H5" s="405" t="s">
        <v>119</v>
      </c>
      <c r="I5" s="406">
        <f>SUM(I3:I4)</f>
        <v>6</v>
      </c>
      <c r="J5" s="494">
        <f>2*SUM(J3:J4)</f>
        <v>14</v>
      </c>
      <c r="K5" s="406">
        <f>SUM(K3:K4)</f>
        <v>7</v>
      </c>
      <c r="L5" s="406">
        <f t="shared" ref="L5:M5" si="1">SUM(L3:L4)</f>
        <v>5</v>
      </c>
      <c r="M5" s="406">
        <f t="shared" si="1"/>
        <v>3</v>
      </c>
      <c r="N5" s="407">
        <v>0</v>
      </c>
      <c r="O5" s="407">
        <v>0</v>
      </c>
      <c r="P5" s="408">
        <v>0</v>
      </c>
    </row>
    <row r="6" spans="1:24" ht="17.399999999999999" thickTop="1">
      <c r="A6" s="380" t="s">
        <v>197</v>
      </c>
      <c r="B6" s="381">
        <v>0</v>
      </c>
      <c r="C6" s="381">
        <f t="shared" si="0"/>
        <v>0</v>
      </c>
      <c r="D6" s="381">
        <v>0</v>
      </c>
      <c r="E6" s="382">
        <f>SUM(10,B6:D6,'Personal File'!$C$13)</f>
        <v>10</v>
      </c>
      <c r="F6" s="383" t="s">
        <v>467</v>
      </c>
      <c r="H6" s="473" t="s">
        <v>98</v>
      </c>
      <c r="I6" s="474">
        <f>10+(LEFT(I2,1)+$J$25)</f>
        <v>12</v>
      </c>
      <c r="J6" s="475">
        <f>10+(LEFT(J2,1)+$J$25)</f>
        <v>13</v>
      </c>
      <c r="K6" s="475">
        <f>10+(LEFT(K2,1)+$J$25)</f>
        <v>14</v>
      </c>
      <c r="L6" s="475">
        <f>10+(LEFT(L2,1)+$J$25)</f>
        <v>15</v>
      </c>
      <c r="M6" s="475">
        <f>10+(LEFT(M2,1)+$J$25)</f>
        <v>16</v>
      </c>
      <c r="N6" s="476" t="s">
        <v>95</v>
      </c>
      <c r="O6" s="476" t="s">
        <v>95</v>
      </c>
      <c r="P6" s="477" t="s">
        <v>95</v>
      </c>
    </row>
    <row r="7" spans="1:24" ht="17.399999999999999" thickBot="1">
      <c r="A7" s="376" t="s">
        <v>300</v>
      </c>
      <c r="B7" s="377">
        <f t="shared" ref="B7:B14" si="2">1+1</f>
        <v>2</v>
      </c>
      <c r="C7" s="377">
        <f t="shared" si="0"/>
        <v>1</v>
      </c>
      <c r="D7" s="377">
        <v>1</v>
      </c>
      <c r="E7" s="378">
        <f>SUM(10,B7:D7,'Personal File'!$C$13)</f>
        <v>14</v>
      </c>
      <c r="F7" s="379" t="s">
        <v>467</v>
      </c>
      <c r="H7" s="468" t="s">
        <v>99</v>
      </c>
      <c r="I7" s="469">
        <v>0</v>
      </c>
      <c r="J7" s="470">
        <v>4</v>
      </c>
      <c r="K7" s="470">
        <v>1</v>
      </c>
      <c r="L7" s="470">
        <v>5</v>
      </c>
      <c r="M7" s="470">
        <v>3</v>
      </c>
      <c r="N7" s="471" t="s">
        <v>95</v>
      </c>
      <c r="O7" s="471" t="s">
        <v>95</v>
      </c>
      <c r="P7" s="472" t="s">
        <v>95</v>
      </c>
    </row>
    <row r="8" spans="1:24" ht="18" thickTop="1" thickBot="1">
      <c r="A8" s="376" t="s">
        <v>148</v>
      </c>
      <c r="B8" s="377">
        <f t="shared" si="2"/>
        <v>2</v>
      </c>
      <c r="C8" s="377">
        <f t="shared" si="0"/>
        <v>1</v>
      </c>
      <c r="D8" s="377">
        <v>1</v>
      </c>
      <c r="E8" s="378">
        <f>SUM(10,B8:D8,'Personal File'!$C$13)</f>
        <v>14</v>
      </c>
      <c r="F8" s="379" t="s">
        <v>467</v>
      </c>
    </row>
    <row r="9" spans="1:24" ht="17.399999999999999" thickTop="1">
      <c r="A9" s="495" t="s">
        <v>275</v>
      </c>
      <c r="B9" s="496">
        <f t="shared" si="2"/>
        <v>2</v>
      </c>
      <c r="C9" s="496">
        <f t="shared" si="0"/>
        <v>1</v>
      </c>
      <c r="D9" s="496">
        <v>1</v>
      </c>
      <c r="E9" s="497">
        <f>SUM(10,B9:D9,'Personal File'!$C$13)</f>
        <v>14</v>
      </c>
      <c r="F9" s="379" t="s">
        <v>468</v>
      </c>
      <c r="H9" s="388"/>
      <c r="I9" s="389" t="s">
        <v>271</v>
      </c>
      <c r="J9" s="390"/>
      <c r="K9" s="391"/>
      <c r="L9" s="391"/>
      <c r="M9" s="391"/>
      <c r="N9" s="391"/>
      <c r="O9" s="391"/>
      <c r="P9" s="392"/>
    </row>
    <row r="10" spans="1:24" ht="17.399999999999999" thickBot="1">
      <c r="A10" s="495" t="s">
        <v>275</v>
      </c>
      <c r="B10" s="496">
        <f t="shared" si="2"/>
        <v>2</v>
      </c>
      <c r="C10" s="496">
        <f t="shared" si="0"/>
        <v>1</v>
      </c>
      <c r="D10" s="496">
        <v>1</v>
      </c>
      <c r="E10" s="497">
        <f>SUM(10,B10:D10,'Personal File'!$C$13)</f>
        <v>14</v>
      </c>
      <c r="F10" s="379" t="s">
        <v>468</v>
      </c>
      <c r="H10" s="388"/>
      <c r="I10" s="393" t="s">
        <v>111</v>
      </c>
      <c r="J10" s="394" t="s">
        <v>103</v>
      </c>
      <c r="K10" s="394" t="s">
        <v>104</v>
      </c>
      <c r="L10" s="394" t="s">
        <v>105</v>
      </c>
      <c r="M10" s="394" t="s">
        <v>106</v>
      </c>
      <c r="N10" s="394" t="s">
        <v>107</v>
      </c>
      <c r="O10" s="394" t="s">
        <v>108</v>
      </c>
      <c r="P10" s="395" t="s">
        <v>109</v>
      </c>
    </row>
    <row r="11" spans="1:24" ht="17.399999999999999" thickTop="1">
      <c r="A11" s="495" t="s">
        <v>275</v>
      </c>
      <c r="B11" s="496">
        <f t="shared" si="2"/>
        <v>2</v>
      </c>
      <c r="C11" s="496">
        <f t="shared" si="0"/>
        <v>1</v>
      </c>
      <c r="D11" s="496">
        <v>1</v>
      </c>
      <c r="E11" s="497">
        <f>SUM(10,B11:D11,'Personal File'!$C$13)</f>
        <v>14</v>
      </c>
      <c r="F11" s="379" t="s">
        <v>468</v>
      </c>
      <c r="H11" s="396" t="s">
        <v>143</v>
      </c>
      <c r="I11" s="397">
        <v>4</v>
      </c>
      <c r="J11" s="398">
        <v>4</v>
      </c>
      <c r="K11" s="398">
        <v>3</v>
      </c>
      <c r="L11" s="398">
        <v>3</v>
      </c>
      <c r="M11" s="398">
        <v>2</v>
      </c>
      <c r="N11" s="399">
        <v>0</v>
      </c>
      <c r="O11" s="399">
        <v>0</v>
      </c>
      <c r="P11" s="400">
        <v>0</v>
      </c>
    </row>
    <row r="12" spans="1:24">
      <c r="A12" s="495" t="s">
        <v>275</v>
      </c>
      <c r="B12" s="496">
        <f t="shared" si="2"/>
        <v>2</v>
      </c>
      <c r="C12" s="496">
        <f t="shared" si="0"/>
        <v>1</v>
      </c>
      <c r="D12" s="496">
        <v>1</v>
      </c>
      <c r="E12" s="497">
        <f>SUM(10,B12:D12,'Personal File'!$C$13)</f>
        <v>14</v>
      </c>
      <c r="F12" s="379" t="s">
        <v>468</v>
      </c>
      <c r="H12" s="401" t="s">
        <v>240</v>
      </c>
      <c r="I12" s="402">
        <v>0</v>
      </c>
      <c r="J12" s="402">
        <v>1</v>
      </c>
      <c r="K12" s="402">
        <v>1</v>
      </c>
      <c r="L12" s="402">
        <v>1</v>
      </c>
      <c r="M12" s="402">
        <v>1</v>
      </c>
      <c r="N12" s="403">
        <v>0</v>
      </c>
      <c r="O12" s="403">
        <v>0</v>
      </c>
      <c r="P12" s="404">
        <v>0</v>
      </c>
    </row>
    <row r="13" spans="1:24">
      <c r="A13" s="495" t="s">
        <v>275</v>
      </c>
      <c r="B13" s="496">
        <f t="shared" si="2"/>
        <v>2</v>
      </c>
      <c r="C13" s="496">
        <f t="shared" si="0"/>
        <v>1</v>
      </c>
      <c r="D13" s="496">
        <v>1</v>
      </c>
      <c r="E13" s="497">
        <f>SUM(10,B13:D13,'Personal File'!$C$13)</f>
        <v>14</v>
      </c>
      <c r="F13" s="379" t="s">
        <v>468</v>
      </c>
      <c r="H13" s="401" t="s">
        <v>115</v>
      </c>
      <c r="I13" s="402">
        <v>0</v>
      </c>
      <c r="J13" s="402">
        <v>1</v>
      </c>
      <c r="K13" s="402">
        <v>1</v>
      </c>
      <c r="L13" s="402">
        <v>1</v>
      </c>
      <c r="M13" s="402">
        <v>1</v>
      </c>
      <c r="N13" s="403">
        <v>0</v>
      </c>
      <c r="O13" s="403">
        <v>0</v>
      </c>
      <c r="P13" s="404">
        <v>0</v>
      </c>
    </row>
    <row r="14" spans="1:24" ht="17.399999999999999" thickBot="1">
      <c r="A14" s="495" t="s">
        <v>275</v>
      </c>
      <c r="B14" s="496">
        <f t="shared" si="2"/>
        <v>2</v>
      </c>
      <c r="C14" s="496">
        <f t="shared" si="0"/>
        <v>1</v>
      </c>
      <c r="D14" s="496">
        <v>1</v>
      </c>
      <c r="E14" s="497">
        <f>SUM(10,B14:D14,'Personal File'!$C$13)</f>
        <v>14</v>
      </c>
      <c r="F14" s="379" t="s">
        <v>467</v>
      </c>
      <c r="H14" s="405" t="s">
        <v>119</v>
      </c>
      <c r="I14" s="436">
        <f t="shared" ref="I14" si="3">SUM(I11:I13)</f>
        <v>4</v>
      </c>
      <c r="J14" s="494">
        <f>2*SUM(J11:J13)</f>
        <v>12</v>
      </c>
      <c r="K14" s="436">
        <f t="shared" ref="K14:L14" si="4">SUM(K11:K13)</f>
        <v>5</v>
      </c>
      <c r="L14" s="436">
        <f t="shared" si="4"/>
        <v>5</v>
      </c>
      <c r="M14" s="436">
        <f t="shared" ref="M14" si="5">SUM(M11:M13)</f>
        <v>4</v>
      </c>
      <c r="N14" s="407">
        <v>0</v>
      </c>
      <c r="O14" s="407">
        <v>0</v>
      </c>
      <c r="P14" s="408">
        <v>0</v>
      </c>
    </row>
    <row r="15" spans="1:24" ht="18" thickTop="1" thickBot="1">
      <c r="A15" s="376" t="s">
        <v>278</v>
      </c>
      <c r="B15" s="377">
        <v>0</v>
      </c>
      <c r="C15" s="377">
        <f t="shared" si="0"/>
        <v>0</v>
      </c>
      <c r="D15" s="377">
        <v>1</v>
      </c>
      <c r="E15" s="378">
        <f>SUM(10,B15:D15,'Personal File'!$C$13)</f>
        <v>11</v>
      </c>
      <c r="F15" s="379" t="s">
        <v>467</v>
      </c>
      <c r="X15" s="422"/>
    </row>
    <row r="16" spans="1:24" ht="17.399999999999999" thickTop="1">
      <c r="A16" s="376" t="s">
        <v>147</v>
      </c>
      <c r="B16" s="377">
        <v>0</v>
      </c>
      <c r="C16" s="377">
        <f t="shared" si="0"/>
        <v>0</v>
      </c>
      <c r="D16" s="377">
        <v>1</v>
      </c>
      <c r="E16" s="378">
        <f>SUM(10,B16:D16,'Personal File'!$C$13)</f>
        <v>11</v>
      </c>
      <c r="F16" s="379" t="s">
        <v>468</v>
      </c>
      <c r="H16" s="432" t="s">
        <v>213</v>
      </c>
      <c r="I16" s="433" t="s">
        <v>272</v>
      </c>
      <c r="J16" s="433"/>
      <c r="K16" s="434" t="s">
        <v>274</v>
      </c>
      <c r="L16" s="433"/>
      <c r="M16" s="434" t="s">
        <v>273</v>
      </c>
      <c r="N16" s="434"/>
      <c r="O16" s="433"/>
      <c r="P16" s="435"/>
    </row>
    <row r="17" spans="1:16">
      <c r="A17" s="376" t="s">
        <v>147</v>
      </c>
      <c r="B17" s="377">
        <v>0</v>
      </c>
      <c r="C17" s="377">
        <f t="shared" si="0"/>
        <v>0</v>
      </c>
      <c r="D17" s="377">
        <v>1</v>
      </c>
      <c r="E17" s="378">
        <f>SUM(10,B17:D17,'Personal File'!$C$13)</f>
        <v>11</v>
      </c>
      <c r="F17" s="379" t="s">
        <v>467</v>
      </c>
      <c r="H17" s="417" t="s">
        <v>242</v>
      </c>
      <c r="I17" s="418">
        <f>'Personal File'!E4</f>
        <v>1</v>
      </c>
      <c r="J17" s="418"/>
      <c r="K17" s="419">
        <f>I17+('Personal File'!$E$6)</f>
        <v>8</v>
      </c>
      <c r="L17" s="420"/>
      <c r="M17" s="419">
        <f>I17+'Personal File'!$E$6+RIGHT(Feats!$C$14,1)</f>
        <v>11</v>
      </c>
      <c r="N17" s="420"/>
      <c r="O17" s="420"/>
      <c r="P17" s="421"/>
    </row>
    <row r="18" spans="1:16" ht="17.399999999999999" thickBot="1">
      <c r="A18" s="380" t="s">
        <v>460</v>
      </c>
      <c r="B18" s="381">
        <v>0</v>
      </c>
      <c r="C18" s="381">
        <f t="shared" si="0"/>
        <v>0</v>
      </c>
      <c r="D18" s="381">
        <v>1</v>
      </c>
      <c r="E18" s="382">
        <f>SUM(10,B18:D18,'Personal File'!$C$13)</f>
        <v>11</v>
      </c>
      <c r="F18" s="383" t="s">
        <v>467</v>
      </c>
      <c r="H18" s="423" t="s">
        <v>236</v>
      </c>
      <c r="I18" s="424">
        <f>'Personal File'!E3</f>
        <v>3</v>
      </c>
      <c r="J18" s="424"/>
      <c r="K18" s="425">
        <f>I18+'Personal File'!E5+'Personal File'!E6-3</f>
        <v>8</v>
      </c>
      <c r="L18" s="426"/>
      <c r="M18" s="425">
        <f>I18+'Personal File'!$E$5+'Personal File'!$E$6+RIGHT(Feats!$C$14,1)-3</f>
        <v>11</v>
      </c>
      <c r="N18" s="426"/>
      <c r="O18" s="426"/>
      <c r="P18" s="427"/>
    </row>
    <row r="19" spans="1:16" ht="18" thickTop="1" thickBot="1">
      <c r="A19" s="376" t="s">
        <v>290</v>
      </c>
      <c r="B19" s="377">
        <v>0</v>
      </c>
      <c r="C19" s="377">
        <f t="shared" si="0"/>
        <v>0</v>
      </c>
      <c r="D19" s="377">
        <v>2</v>
      </c>
      <c r="E19" s="378">
        <f>SUM(10,B19:D19,'Personal File'!$C$13)</f>
        <v>12</v>
      </c>
      <c r="F19" s="379" t="s">
        <v>468</v>
      </c>
    </row>
    <row r="20" spans="1:16" ht="22.2" thickTop="1" thickBot="1">
      <c r="A20" s="376" t="s">
        <v>214</v>
      </c>
      <c r="B20" s="377">
        <v>0</v>
      </c>
      <c r="C20" s="377">
        <f t="shared" si="0"/>
        <v>0</v>
      </c>
      <c r="D20" s="377">
        <v>2</v>
      </c>
      <c r="E20" s="378">
        <f>SUM(10,B20:D20,'Personal File'!$C$13)</f>
        <v>12</v>
      </c>
      <c r="F20" s="379" t="s">
        <v>467</v>
      </c>
      <c r="H20" s="437" t="s">
        <v>202</v>
      </c>
      <c r="I20" s="409"/>
      <c r="J20" s="410"/>
      <c r="K20" s="410"/>
      <c r="L20" s="410"/>
      <c r="M20" s="410"/>
      <c r="N20" s="411"/>
    </row>
    <row r="21" spans="1:16" ht="17.399999999999999" thickTop="1">
      <c r="A21" s="376" t="s">
        <v>348</v>
      </c>
      <c r="B21" s="377">
        <v>0</v>
      </c>
      <c r="C21" s="377">
        <f t="shared" si="0"/>
        <v>0</v>
      </c>
      <c r="D21" s="377">
        <v>2</v>
      </c>
      <c r="E21" s="378">
        <f>SUM(10,B21:D21,'Personal File'!$C$13)</f>
        <v>12</v>
      </c>
      <c r="F21" s="379" t="s">
        <v>467</v>
      </c>
      <c r="H21" s="428" t="s">
        <v>94</v>
      </c>
      <c r="I21" s="429" t="s">
        <v>328</v>
      </c>
      <c r="J21" s="478" t="s">
        <v>97</v>
      </c>
      <c r="K21" s="479"/>
      <c r="L21" s="430" t="s">
        <v>98</v>
      </c>
      <c r="M21" s="492" t="s">
        <v>99</v>
      </c>
      <c r="N21" s="493"/>
    </row>
    <row r="22" spans="1:16">
      <c r="A22" s="376" t="s">
        <v>349</v>
      </c>
      <c r="B22" s="377">
        <v>0</v>
      </c>
      <c r="C22" s="377">
        <f t="shared" si="0"/>
        <v>0</v>
      </c>
      <c r="D22" s="377">
        <v>2</v>
      </c>
      <c r="E22" s="378">
        <f>SUM(10,B22:D22,'Personal File'!$C$13)</f>
        <v>12</v>
      </c>
      <c r="F22" s="379" t="s">
        <v>467</v>
      </c>
      <c r="H22" s="412" t="s">
        <v>113</v>
      </c>
      <c r="I22" s="413">
        <v>0</v>
      </c>
      <c r="J22" s="480">
        <v>0</v>
      </c>
      <c r="K22" s="481"/>
      <c r="L22" s="414">
        <f>10+J22+K22+'Personal File'!$C$13+1</f>
        <v>15</v>
      </c>
      <c r="M22" s="486" t="s">
        <v>467</v>
      </c>
      <c r="N22" s="487"/>
    </row>
    <row r="23" spans="1:16">
      <c r="A23" s="380" t="s">
        <v>457</v>
      </c>
      <c r="B23" s="381">
        <f>1+1</f>
        <v>2</v>
      </c>
      <c r="C23" s="381">
        <f t="shared" si="0"/>
        <v>1</v>
      </c>
      <c r="D23" s="381">
        <v>2</v>
      </c>
      <c r="E23" s="382">
        <f>SUM(10,B23:D23,'Personal File'!$C$13)</f>
        <v>15</v>
      </c>
      <c r="F23" s="383" t="s">
        <v>467</v>
      </c>
      <c r="H23" s="415" t="s">
        <v>138</v>
      </c>
      <c r="I23" s="117">
        <v>0</v>
      </c>
      <c r="J23" s="482">
        <v>0</v>
      </c>
      <c r="K23" s="483"/>
      <c r="L23" s="118">
        <f>10+J23+K23+'Personal File'!$C$13+1</f>
        <v>15</v>
      </c>
      <c r="M23" s="488" t="s">
        <v>467</v>
      </c>
      <c r="N23" s="489"/>
    </row>
    <row r="24" spans="1:16">
      <c r="A24" s="127" t="s">
        <v>286</v>
      </c>
      <c r="B24" s="117">
        <f>1+1</f>
        <v>2</v>
      </c>
      <c r="C24" s="117">
        <f t="shared" si="0"/>
        <v>1</v>
      </c>
      <c r="D24" s="117">
        <v>3</v>
      </c>
      <c r="E24" s="258">
        <f>SUM(10,B24:D24,'Personal File'!$C$13)</f>
        <v>16</v>
      </c>
      <c r="F24" s="379" t="s">
        <v>467</v>
      </c>
      <c r="H24" s="415" t="s">
        <v>139</v>
      </c>
      <c r="I24" s="117">
        <v>0</v>
      </c>
      <c r="J24" s="482">
        <v>0</v>
      </c>
      <c r="K24" s="483"/>
      <c r="L24" s="118">
        <f>10+J24+K24+'Personal File'!$C$13+1</f>
        <v>15</v>
      </c>
      <c r="M24" s="488" t="s">
        <v>467</v>
      </c>
      <c r="N24" s="489"/>
    </row>
    <row r="25" spans="1:16" ht="17.399999999999999" thickBot="1">
      <c r="A25" s="127" t="s">
        <v>459</v>
      </c>
      <c r="B25" s="117">
        <v>0</v>
      </c>
      <c r="C25" s="117">
        <f t="shared" si="0"/>
        <v>0</v>
      </c>
      <c r="D25" s="117">
        <v>3</v>
      </c>
      <c r="E25" s="258">
        <f>SUM(10,B25:D25,'Personal File'!$C$13)</f>
        <v>13</v>
      </c>
      <c r="F25" s="379" t="s">
        <v>468</v>
      </c>
      <c r="H25" s="416" t="s">
        <v>140</v>
      </c>
      <c r="I25" s="385">
        <v>0</v>
      </c>
      <c r="J25" s="484">
        <v>2</v>
      </c>
      <c r="K25" s="485"/>
      <c r="L25" s="386">
        <f>10+J25+K25+'Personal File'!$C$13+1</f>
        <v>17</v>
      </c>
      <c r="M25" s="490" t="s">
        <v>467</v>
      </c>
      <c r="N25" s="491"/>
    </row>
    <row r="26" spans="1:16" ht="17.399999999999999" thickTop="1">
      <c r="A26" s="127" t="s">
        <v>287</v>
      </c>
      <c r="B26" s="117">
        <v>0</v>
      </c>
      <c r="C26" s="117">
        <f t="shared" si="0"/>
        <v>0</v>
      </c>
      <c r="D26" s="117">
        <v>3</v>
      </c>
      <c r="E26" s="258">
        <f>SUM(10,B26:D26,'Personal File'!$C$13)</f>
        <v>13</v>
      </c>
      <c r="F26" s="379" t="s">
        <v>468</v>
      </c>
    </row>
    <row r="27" spans="1:16">
      <c r="A27" s="127" t="s">
        <v>315</v>
      </c>
      <c r="B27" s="117">
        <v>0</v>
      </c>
      <c r="C27" s="117">
        <f t="shared" si="0"/>
        <v>0</v>
      </c>
      <c r="D27" s="117">
        <v>3</v>
      </c>
      <c r="E27" s="258">
        <f>SUM(10,B27:D27,'Personal File'!$C$13)</f>
        <v>13</v>
      </c>
      <c r="F27" s="379" t="s">
        <v>467</v>
      </c>
    </row>
    <row r="28" spans="1:16">
      <c r="A28" s="130" t="s">
        <v>319</v>
      </c>
      <c r="B28" s="144">
        <v>0</v>
      </c>
      <c r="C28" s="144">
        <f t="shared" si="0"/>
        <v>0</v>
      </c>
      <c r="D28" s="144">
        <v>3</v>
      </c>
      <c r="E28" s="384">
        <f>SUM(10,B28:D28,'Personal File'!$C$13)</f>
        <v>13</v>
      </c>
      <c r="F28" s="383" t="s">
        <v>468</v>
      </c>
    </row>
    <row r="29" spans="1:16">
      <c r="A29" s="127" t="s">
        <v>334</v>
      </c>
      <c r="B29" s="117">
        <v>0</v>
      </c>
      <c r="C29" s="117">
        <f t="shared" si="0"/>
        <v>0</v>
      </c>
      <c r="D29" s="117">
        <v>4</v>
      </c>
      <c r="E29" s="258">
        <f>SUM(10,B29:D29,'Personal File'!$C$13)</f>
        <v>14</v>
      </c>
      <c r="F29" s="379" t="s">
        <v>467</v>
      </c>
    </row>
    <row r="30" spans="1:16">
      <c r="A30" s="127" t="s">
        <v>345</v>
      </c>
      <c r="B30" s="117">
        <f>1+1</f>
        <v>2</v>
      </c>
      <c r="C30" s="117">
        <f t="shared" si="0"/>
        <v>1</v>
      </c>
      <c r="D30" s="117">
        <v>4</v>
      </c>
      <c r="E30" s="258">
        <f>SUM(10,B30:D30,'Personal File'!$C$13)</f>
        <v>17</v>
      </c>
      <c r="F30" s="379" t="s">
        <v>468</v>
      </c>
    </row>
    <row r="31" spans="1:16">
      <c r="A31" s="127" t="s">
        <v>331</v>
      </c>
      <c r="B31" s="117">
        <v>0</v>
      </c>
      <c r="C31" s="117">
        <f t="shared" si="0"/>
        <v>0</v>
      </c>
      <c r="D31" s="117">
        <v>4</v>
      </c>
      <c r="E31" s="258">
        <f>SUM(10,B31:D31,'Personal File'!$C$13)</f>
        <v>14</v>
      </c>
      <c r="F31" s="379" t="s">
        <v>467</v>
      </c>
    </row>
    <row r="32" spans="1:16">
      <c r="A32" s="130" t="s">
        <v>458</v>
      </c>
      <c r="B32" s="144">
        <v>0</v>
      </c>
      <c r="C32" s="144">
        <f t="shared" si="0"/>
        <v>0</v>
      </c>
      <c r="D32" s="144">
        <v>4</v>
      </c>
      <c r="E32" s="384">
        <f>SUM(10,B32:D32,'Personal File'!$C$13)</f>
        <v>14</v>
      </c>
      <c r="F32" s="383" t="s">
        <v>468</v>
      </c>
    </row>
    <row r="33" spans="1:6">
      <c r="A33" s="462"/>
      <c r="B33" s="463">
        <v>0</v>
      </c>
      <c r="C33" s="463">
        <f t="shared" ref="C33:C34" si="6">IF(B33=2,1,0)</f>
        <v>0</v>
      </c>
      <c r="D33" s="463">
        <v>5</v>
      </c>
      <c r="E33" s="464">
        <f>SUM(10,B33:D33,'Personal File'!$C$13)</f>
        <v>15</v>
      </c>
      <c r="F33" s="379" t="s">
        <v>467</v>
      </c>
    </row>
    <row r="34" spans="1:6" ht="17.399999999999999" thickBot="1">
      <c r="A34" s="465"/>
      <c r="B34" s="466">
        <v>0</v>
      </c>
      <c r="C34" s="466">
        <f t="shared" si="6"/>
        <v>0</v>
      </c>
      <c r="D34" s="466">
        <v>5</v>
      </c>
      <c r="E34" s="467">
        <f>SUM(10,B34:D34,'Personal File'!$C$13)</f>
        <v>15</v>
      </c>
      <c r="F34" s="387" t="s">
        <v>467</v>
      </c>
    </row>
    <row r="35" spans="1:6" ht="17.399999999999999" thickTop="1"/>
  </sheetData>
  <sortState ref="A3:F32">
    <sortCondition ref="D3:D32"/>
    <sortCondition ref="A3:A32"/>
  </sortState>
  <conditionalFormatting sqref="F32:F34 F3:F30">
    <cfRule type="cellIs" dxfId="19" priority="10" operator="equal">
      <formula>"þ"</formula>
    </cfRule>
  </conditionalFormatting>
  <conditionalFormatting sqref="F29">
    <cfRule type="cellIs" dxfId="18" priority="8" operator="equal">
      <formula>"þ"</formula>
    </cfRule>
  </conditionalFormatting>
  <conditionalFormatting sqref="F24">
    <cfRule type="cellIs" dxfId="17" priority="7" operator="equal">
      <formula>"þ"</formula>
    </cfRule>
  </conditionalFormatting>
  <conditionalFormatting sqref="F30">
    <cfRule type="cellIs" dxfId="16" priority="6" operator="equal">
      <formula>"þ"</formula>
    </cfRule>
  </conditionalFormatting>
  <conditionalFormatting sqref="F25">
    <cfRule type="cellIs" dxfId="15" priority="5" operator="equal">
      <formula>"þ"</formula>
    </cfRule>
  </conditionalFormatting>
  <conditionalFormatting sqref="F32">
    <cfRule type="cellIs" dxfId="14" priority="4" operator="equal">
      <formula>"þ"</formula>
    </cfRule>
  </conditionalFormatting>
  <conditionalFormatting sqref="F31">
    <cfRule type="cellIs" dxfId="13" priority="3" operator="equal">
      <formula>"þ"</formula>
    </cfRule>
  </conditionalFormatting>
  <conditionalFormatting sqref="F31">
    <cfRule type="cellIs" dxfId="12" priority="2" operator="equal">
      <formula>"þ"</formula>
    </cfRule>
  </conditionalFormatting>
  <conditionalFormatting sqref="B3:C34">
    <cfRule type="cellIs" dxfId="11" priority="1" operator="greater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
  <sheetViews>
    <sheetView showGridLines="0" workbookViewId="0"/>
  </sheetViews>
  <sheetFormatPr defaultColWidth="10.59765625" defaultRowHeight="16.8"/>
  <cols>
    <col min="1" max="1" width="34.796875" style="109" bestFit="1" customWidth="1"/>
    <col min="2" max="2" width="2.59765625" style="104" customWidth="1"/>
    <col min="3" max="3" width="44.69921875" style="106" bestFit="1" customWidth="1"/>
    <col min="4" max="4" width="10.59765625" style="106"/>
    <col min="5" max="5" width="23.5" style="106" bestFit="1" customWidth="1"/>
    <col min="6" max="16384" width="10.59765625" style="106"/>
  </cols>
  <sheetData>
    <row r="1" spans="1:3" ht="24" thickTop="1" thickBot="1">
      <c r="A1" s="306" t="s">
        <v>89</v>
      </c>
      <c r="C1" s="105" t="s">
        <v>241</v>
      </c>
    </row>
    <row r="2" spans="1:3">
      <c r="A2" s="305" t="s">
        <v>245</v>
      </c>
      <c r="C2" s="107" t="s">
        <v>141</v>
      </c>
    </row>
    <row r="3" spans="1:3" ht="17.399999999999999" thickBot="1">
      <c r="A3" s="267" t="s">
        <v>246</v>
      </c>
      <c r="C3" s="108" t="s">
        <v>142</v>
      </c>
    </row>
    <row r="4" spans="1:3" ht="18" thickTop="1" thickBot="1">
      <c r="A4" s="267" t="s">
        <v>454</v>
      </c>
    </row>
    <row r="5" spans="1:3" ht="24" thickTop="1" thickBot="1">
      <c r="A5" s="267" t="s">
        <v>429</v>
      </c>
      <c r="C5" s="105" t="s">
        <v>339</v>
      </c>
    </row>
    <row r="6" spans="1:3" ht="17.399999999999999" thickBot="1">
      <c r="A6" s="443" t="s">
        <v>425</v>
      </c>
      <c r="C6" s="351" t="s">
        <v>340</v>
      </c>
    </row>
    <row r="7" spans="1:3" ht="18" thickTop="1" thickBot="1">
      <c r="C7" s="352" t="s">
        <v>341</v>
      </c>
    </row>
    <row r="8" spans="1:3" ht="24" thickTop="1" thickBot="1">
      <c r="A8" s="307" t="s">
        <v>87</v>
      </c>
    </row>
    <row r="9" spans="1:3" ht="24" thickTop="1" thickBot="1">
      <c r="A9" s="110" t="s">
        <v>342</v>
      </c>
      <c r="C9" s="105" t="s">
        <v>354</v>
      </c>
    </row>
    <row r="10" spans="1:3" ht="17.399999999999999" thickBot="1">
      <c r="A10" s="114" t="s">
        <v>248</v>
      </c>
      <c r="C10" s="267" t="s">
        <v>247</v>
      </c>
    </row>
    <row r="11" spans="1:3" ht="18" thickTop="1" thickBot="1">
      <c r="C11" s="108"/>
    </row>
    <row r="12" spans="1:3" ht="24" thickTop="1" thickBot="1">
      <c r="A12" s="309" t="s">
        <v>73</v>
      </c>
    </row>
    <row r="13" spans="1:3" ht="24" thickTop="1" thickBot="1">
      <c r="A13" s="111" t="s">
        <v>251</v>
      </c>
      <c r="C13" s="105" t="s">
        <v>353</v>
      </c>
    </row>
    <row r="14" spans="1:3">
      <c r="A14" s="310" t="s">
        <v>252</v>
      </c>
      <c r="C14" s="267" t="s">
        <v>428</v>
      </c>
    </row>
    <row r="15" spans="1:3">
      <c r="A15" s="310" t="s">
        <v>249</v>
      </c>
      <c r="C15" s="267" t="s">
        <v>330</v>
      </c>
    </row>
    <row r="16" spans="1:3" ht="17.399999999999999" thickBot="1">
      <c r="A16" s="113" t="s">
        <v>250</v>
      </c>
      <c r="C16" s="267" t="s">
        <v>337</v>
      </c>
    </row>
    <row r="17" spans="1:3" ht="18" thickTop="1" thickBot="1">
      <c r="C17" s="267" t="s">
        <v>427</v>
      </c>
    </row>
    <row r="18" spans="1:3" ht="24" thickTop="1" thickBot="1">
      <c r="A18" s="308" t="s">
        <v>116</v>
      </c>
      <c r="C18" s="108" t="s">
        <v>365</v>
      </c>
    </row>
    <row r="19" spans="1:3">
      <c r="A19" s="112" t="s">
        <v>134</v>
      </c>
    </row>
    <row r="20" spans="1:3">
      <c r="A20" s="112" t="s">
        <v>133</v>
      </c>
    </row>
    <row r="21" spans="1:3">
      <c r="A21" s="115" t="s">
        <v>117</v>
      </c>
    </row>
    <row r="22" spans="1:3" ht="17.399999999999999" thickBot="1">
      <c r="A22" s="116" t="s">
        <v>118</v>
      </c>
    </row>
    <row r="23"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showGridLines="0" workbookViewId="0"/>
  </sheetViews>
  <sheetFormatPr defaultColWidth="13" defaultRowHeight="15.6"/>
  <cols>
    <col min="1" max="1" width="28.796875" style="38" bestFit="1" customWidth="1"/>
    <col min="2" max="2" width="8.59765625" style="38" customWidth="1"/>
    <col min="3" max="3" width="4.3984375" style="38" bestFit="1" customWidth="1"/>
    <col min="4" max="4" width="6.69921875" style="38" customWidth="1"/>
    <col min="5" max="5" width="8.5" style="38" bestFit="1" customWidth="1"/>
    <col min="6" max="6" width="8.8984375" style="38" bestFit="1" customWidth="1"/>
    <col min="7" max="7" width="4.5" style="38" bestFit="1" customWidth="1"/>
    <col min="8" max="8" width="5.59765625" style="38" bestFit="1" customWidth="1"/>
    <col min="9" max="9" width="5.5" style="38" bestFit="1" customWidth="1"/>
    <col min="10" max="10" width="6.19921875" style="38" bestFit="1" customWidth="1"/>
    <col min="11" max="11" width="24.19921875" style="38" bestFit="1" customWidth="1"/>
    <col min="12" max="12" width="3.3984375" style="33" customWidth="1"/>
    <col min="13" max="13" width="7.3984375" style="275" bestFit="1" customWidth="1"/>
    <col min="14" max="14" width="7.69921875" style="38" bestFit="1" customWidth="1"/>
    <col min="15" max="16384" width="13" style="33"/>
  </cols>
  <sheetData>
    <row r="1" spans="1:14" ht="23.4" thickBot="1">
      <c r="A1" s="31" t="s">
        <v>23</v>
      </c>
      <c r="B1" s="31"/>
      <c r="C1" s="31"/>
      <c r="D1" s="31"/>
      <c r="E1" s="31"/>
      <c r="F1" s="31"/>
      <c r="G1" s="31"/>
      <c r="H1" s="31"/>
      <c r="I1" s="31"/>
      <c r="J1" s="31"/>
      <c r="K1" s="31"/>
    </row>
    <row r="2" spans="1:14" ht="16.8" thickTop="1" thickBot="1">
      <c r="A2" s="69" t="s">
        <v>4</v>
      </c>
      <c r="B2" s="70" t="s">
        <v>5</v>
      </c>
      <c r="C2" s="70" t="s">
        <v>25</v>
      </c>
      <c r="D2" s="70" t="s">
        <v>26</v>
      </c>
      <c r="E2" s="71" t="s">
        <v>67</v>
      </c>
      <c r="F2" s="70" t="s">
        <v>24</v>
      </c>
      <c r="G2" s="70" t="s">
        <v>27</v>
      </c>
      <c r="H2" s="72" t="s">
        <v>88</v>
      </c>
      <c r="I2" s="73" t="s">
        <v>93</v>
      </c>
      <c r="J2" s="72" t="s">
        <v>79</v>
      </c>
      <c r="K2" s="74" t="s">
        <v>77</v>
      </c>
      <c r="M2" s="276" t="s">
        <v>206</v>
      </c>
    </row>
    <row r="3" spans="1:14">
      <c r="A3" s="281" t="s">
        <v>418</v>
      </c>
      <c r="B3" s="16" t="s">
        <v>126</v>
      </c>
      <c r="C3" s="17">
        <v>1</v>
      </c>
      <c r="D3" s="18" t="s">
        <v>419</v>
      </c>
      <c r="E3" s="18" t="s">
        <v>326</v>
      </c>
      <c r="F3" s="19" t="s">
        <v>327</v>
      </c>
      <c r="G3" s="20">
        <v>0.25</v>
      </c>
      <c r="H3" s="272">
        <f>'Personal File'!$B$8+'Personal File'!$C$10+D3</f>
        <v>7</v>
      </c>
      <c r="I3" s="273">
        <f t="shared" ref="I3:I4" ca="1" si="0">RANDBETWEEN(1,20)</f>
        <v>8</v>
      </c>
      <c r="J3" s="274">
        <f t="shared" ref="J3:J4" ca="1" si="1">I3+H3</f>
        <v>15</v>
      </c>
      <c r="K3" s="27"/>
      <c r="L3" s="266"/>
      <c r="M3" s="277">
        <v>2000</v>
      </c>
    </row>
    <row r="4" spans="1:14">
      <c r="A4" s="511" t="s">
        <v>455</v>
      </c>
      <c r="B4" s="512" t="s">
        <v>126</v>
      </c>
      <c r="C4" s="513">
        <v>1</v>
      </c>
      <c r="D4" s="514" t="s">
        <v>419</v>
      </c>
      <c r="E4" s="514" t="s">
        <v>326</v>
      </c>
      <c r="F4" s="515" t="s">
        <v>327</v>
      </c>
      <c r="G4" s="516" t="s">
        <v>95</v>
      </c>
      <c r="H4" s="517">
        <f>'Personal File'!$B$8+'Personal File'!$C$10+D4-5</f>
        <v>2</v>
      </c>
      <c r="I4" s="509">
        <f t="shared" ca="1" si="0"/>
        <v>12</v>
      </c>
      <c r="J4" s="518">
        <f t="shared" ca="1" si="1"/>
        <v>14</v>
      </c>
      <c r="K4" s="519" t="s">
        <v>456</v>
      </c>
      <c r="L4" s="266"/>
      <c r="M4" s="510" t="s">
        <v>95</v>
      </c>
    </row>
    <row r="5" spans="1:14" ht="16.2" thickBot="1">
      <c r="A5" s="21" t="s">
        <v>204</v>
      </c>
      <c r="B5" s="22" t="s">
        <v>126</v>
      </c>
      <c r="C5" s="23" t="str">
        <f>'Personal File'!$C$10</f>
        <v>+0</v>
      </c>
      <c r="D5" s="24" t="s">
        <v>62</v>
      </c>
      <c r="E5" s="24" t="s">
        <v>205</v>
      </c>
      <c r="F5" s="25" t="s">
        <v>125</v>
      </c>
      <c r="G5" s="26">
        <v>0</v>
      </c>
      <c r="H5" s="28">
        <f>'Personal File'!$B$8+'Personal File'!$C$10+D5</f>
        <v>6</v>
      </c>
      <c r="I5" s="75">
        <f t="shared" ref="I5" ca="1" si="2">RANDBETWEEN(1,20)</f>
        <v>5</v>
      </c>
      <c r="J5" s="76">
        <f t="shared" ref="J5" ca="1" si="3">I5+H5</f>
        <v>11</v>
      </c>
      <c r="K5" s="29" t="s">
        <v>117</v>
      </c>
      <c r="M5" s="299" t="s">
        <v>95</v>
      </c>
    </row>
    <row r="6" spans="1:14" ht="6" customHeight="1" thickTop="1" thickBot="1">
      <c r="I6" s="77"/>
      <c r="J6" s="77"/>
      <c r="M6" s="280"/>
    </row>
    <row r="7" spans="1:14" ht="16.8" thickTop="1" thickBot="1">
      <c r="A7" s="69" t="s">
        <v>7</v>
      </c>
      <c r="B7" s="70" t="s">
        <v>8</v>
      </c>
      <c r="C7" s="70" t="s">
        <v>25</v>
      </c>
      <c r="D7" s="70" t="s">
        <v>26</v>
      </c>
      <c r="E7" s="71" t="s">
        <v>67</v>
      </c>
      <c r="F7" s="70" t="s">
        <v>9</v>
      </c>
      <c r="G7" s="70" t="s">
        <v>27</v>
      </c>
      <c r="H7" s="72" t="s">
        <v>88</v>
      </c>
      <c r="I7" s="73" t="s">
        <v>93</v>
      </c>
      <c r="J7" s="72" t="s">
        <v>79</v>
      </c>
      <c r="K7" s="74" t="s">
        <v>77</v>
      </c>
      <c r="M7" s="276" t="s">
        <v>206</v>
      </c>
    </row>
    <row r="8" spans="1:14">
      <c r="A8" s="499" t="s">
        <v>470</v>
      </c>
      <c r="B8" s="500" t="s">
        <v>95</v>
      </c>
      <c r="C8" s="501" t="s">
        <v>95</v>
      </c>
      <c r="D8" s="502" t="s">
        <v>62</v>
      </c>
      <c r="E8" s="502" t="s">
        <v>95</v>
      </c>
      <c r="F8" s="503" t="s">
        <v>95</v>
      </c>
      <c r="G8" s="504" t="s">
        <v>95</v>
      </c>
      <c r="H8" s="505">
        <f>'Personal File'!$B$8+'Personal File'!$C$11+D8</f>
        <v>11</v>
      </c>
      <c r="I8" s="332">
        <f t="shared" ref="I8:I9" ca="1" si="4">RANDBETWEEN(1,20)</f>
        <v>17</v>
      </c>
      <c r="J8" s="506">
        <f t="shared" ref="J8" ca="1" si="5">I8+H8</f>
        <v>28</v>
      </c>
      <c r="K8" s="507" t="s">
        <v>117</v>
      </c>
      <c r="L8" s="331"/>
      <c r="M8" s="508" t="s">
        <v>95</v>
      </c>
    </row>
    <row r="9" spans="1:14" s="302" customFormat="1">
      <c r="A9" s="335" t="s">
        <v>338</v>
      </c>
      <c r="B9" s="336" t="s">
        <v>242</v>
      </c>
      <c r="C9" s="337" t="s">
        <v>95</v>
      </c>
      <c r="D9" s="338" t="s">
        <v>95</v>
      </c>
      <c r="E9" s="338" t="s">
        <v>95</v>
      </c>
      <c r="F9" s="339" t="s">
        <v>95</v>
      </c>
      <c r="G9" s="340" t="s">
        <v>95</v>
      </c>
      <c r="H9" s="341">
        <f>Spells!K17</f>
        <v>8</v>
      </c>
      <c r="I9" s="333">
        <f t="shared" ca="1" si="4"/>
        <v>20</v>
      </c>
      <c r="J9" s="341">
        <f t="shared" ref="J9:J10" ca="1" si="6">I9+H9</f>
        <v>28</v>
      </c>
      <c r="K9" s="347"/>
      <c r="L9" s="331"/>
      <c r="M9" s="349" t="s">
        <v>95</v>
      </c>
      <c r="N9" s="331"/>
    </row>
    <row r="10" spans="1:14" ht="16.2" thickBot="1">
      <c r="A10" s="342" t="s">
        <v>338</v>
      </c>
      <c r="B10" s="343" t="s">
        <v>236</v>
      </c>
      <c r="C10" s="344" t="s">
        <v>95</v>
      </c>
      <c r="D10" s="344" t="s">
        <v>95</v>
      </c>
      <c r="E10" s="343" t="s">
        <v>95</v>
      </c>
      <c r="F10" s="344" t="s">
        <v>95</v>
      </c>
      <c r="G10" s="345" t="s">
        <v>95</v>
      </c>
      <c r="H10" s="346">
        <f>Spells!K18</f>
        <v>8</v>
      </c>
      <c r="I10" s="334">
        <f t="shared" ref="I10" ca="1" si="7">RANDBETWEEN(1,20)</f>
        <v>8</v>
      </c>
      <c r="J10" s="346">
        <f t="shared" ca="1" si="6"/>
        <v>16</v>
      </c>
      <c r="K10" s="348"/>
      <c r="L10" s="331"/>
      <c r="M10" s="350" t="s">
        <v>95</v>
      </c>
    </row>
    <row r="11" spans="1:14" ht="6" customHeight="1" thickTop="1" thickBot="1">
      <c r="D11" s="78"/>
      <c r="E11" s="78"/>
      <c r="G11" s="68"/>
      <c r="H11" s="68"/>
      <c r="I11" s="77"/>
      <c r="J11" s="68"/>
      <c r="M11" s="280"/>
    </row>
    <row r="12" spans="1:14" ht="16.8" thickTop="1" thickBot="1">
      <c r="A12" s="69" t="s">
        <v>69</v>
      </c>
      <c r="B12" s="70" t="s">
        <v>17</v>
      </c>
      <c r="C12" s="70" t="s">
        <v>34</v>
      </c>
      <c r="D12" s="70" t="s">
        <v>79</v>
      </c>
      <c r="E12" s="70" t="s">
        <v>80</v>
      </c>
      <c r="F12" s="70" t="s">
        <v>81</v>
      </c>
      <c r="G12" s="70" t="s">
        <v>27</v>
      </c>
      <c r="H12" s="79" t="s">
        <v>77</v>
      </c>
      <c r="I12" s="80"/>
      <c r="J12" s="80"/>
      <c r="K12" s="81"/>
      <c r="M12" s="276" t="s">
        <v>206</v>
      </c>
    </row>
    <row r="13" spans="1:14">
      <c r="A13" s="522" t="s">
        <v>451</v>
      </c>
      <c r="B13" s="523">
        <v>4</v>
      </c>
      <c r="C13" s="524" t="s">
        <v>95</v>
      </c>
      <c r="D13" s="523" t="s">
        <v>95</v>
      </c>
      <c r="E13" s="525" t="s">
        <v>95</v>
      </c>
      <c r="F13" s="526" t="s">
        <v>95</v>
      </c>
      <c r="G13" s="527" t="s">
        <v>95</v>
      </c>
      <c r="H13" s="528"/>
      <c r="I13" s="529"/>
      <c r="J13" s="529"/>
      <c r="K13" s="530"/>
      <c r="M13" s="531" t="s">
        <v>95</v>
      </c>
      <c r="N13" s="298"/>
    </row>
    <row r="14" spans="1:14">
      <c r="A14" s="532" t="s">
        <v>148</v>
      </c>
      <c r="B14" s="533" t="s">
        <v>366</v>
      </c>
      <c r="C14" s="534" t="s">
        <v>95</v>
      </c>
      <c r="D14" s="533" t="s">
        <v>95</v>
      </c>
      <c r="E14" s="535" t="s">
        <v>95</v>
      </c>
      <c r="F14" s="536" t="s">
        <v>95</v>
      </c>
      <c r="G14" s="537" t="s">
        <v>95</v>
      </c>
      <c r="H14" s="538"/>
      <c r="I14" s="539"/>
      <c r="J14" s="539"/>
      <c r="K14" s="540"/>
      <c r="M14" s="541"/>
      <c r="N14" s="298"/>
    </row>
    <row r="15" spans="1:14" ht="16.2" thickBot="1">
      <c r="A15" s="21" t="s">
        <v>315</v>
      </c>
      <c r="B15" s="22" t="s">
        <v>367</v>
      </c>
      <c r="C15" s="82" t="s">
        <v>95</v>
      </c>
      <c r="D15" s="22" t="s">
        <v>95</v>
      </c>
      <c r="E15" s="371" t="s">
        <v>95</v>
      </c>
      <c r="F15" s="22" t="s">
        <v>95</v>
      </c>
      <c r="G15" s="26" t="s">
        <v>95</v>
      </c>
      <c r="H15" s="83"/>
      <c r="I15" s="84"/>
      <c r="J15" s="84"/>
      <c r="K15" s="85"/>
      <c r="M15" s="279" t="s">
        <v>95</v>
      </c>
    </row>
    <row r="16" spans="1:14" ht="6.75" customHeight="1" thickTop="1" thickBot="1">
      <c r="M16" s="280"/>
    </row>
    <row r="17" spans="1:14" ht="16.8" thickTop="1" thickBot="1">
      <c r="A17" s="86"/>
      <c r="B17" s="68"/>
      <c r="D17" s="87" t="s">
        <v>70</v>
      </c>
      <c r="E17" s="88"/>
      <c r="F17" s="79" t="s">
        <v>6</v>
      </c>
      <c r="G17" s="70" t="s">
        <v>27</v>
      </c>
      <c r="H17" s="72" t="s">
        <v>88</v>
      </c>
      <c r="I17" s="79" t="s">
        <v>77</v>
      </c>
      <c r="J17" s="80"/>
      <c r="K17" s="81"/>
      <c r="M17" s="276" t="s">
        <v>206</v>
      </c>
    </row>
    <row r="18" spans="1:14">
      <c r="A18" s="86"/>
      <c r="B18" s="359"/>
      <c r="D18" s="89"/>
      <c r="E18" s="90"/>
      <c r="F18" s="91"/>
      <c r="G18" s="20"/>
      <c r="H18" s="92"/>
      <c r="I18" s="93"/>
      <c r="J18" s="94"/>
      <c r="K18" s="95"/>
      <c r="M18" s="277"/>
    </row>
    <row r="19" spans="1:14" ht="16.2" thickBot="1">
      <c r="A19" s="86"/>
      <c r="B19" s="359"/>
      <c r="D19" s="96"/>
      <c r="E19" s="97"/>
      <c r="F19" s="98"/>
      <c r="G19" s="26"/>
      <c r="H19" s="99"/>
      <c r="I19" s="100"/>
      <c r="J19" s="101"/>
      <c r="K19" s="85"/>
      <c r="M19" s="279"/>
    </row>
    <row r="20" spans="1:14" ht="16.8" thickTop="1" thickBot="1">
      <c r="B20" s="33"/>
    </row>
    <row r="21" spans="1:14" ht="16.8" thickTop="1" thickBot="1">
      <c r="B21" s="33"/>
      <c r="D21" s="87" t="s">
        <v>203</v>
      </c>
      <c r="E21" s="80"/>
      <c r="F21" s="80"/>
      <c r="G21" s="102" t="s">
        <v>6</v>
      </c>
      <c r="H21" s="102" t="s">
        <v>97</v>
      </c>
      <c r="I21" s="102" t="s">
        <v>128</v>
      </c>
      <c r="J21" s="103" t="s">
        <v>77</v>
      </c>
      <c r="K21" s="81"/>
      <c r="M21" s="276" t="s">
        <v>206</v>
      </c>
    </row>
    <row r="22" spans="1:14">
      <c r="B22" s="33"/>
      <c r="D22" s="261" t="s">
        <v>356</v>
      </c>
      <c r="E22" s="262"/>
      <c r="F22" s="262"/>
      <c r="G22" s="263">
        <v>0</v>
      </c>
      <c r="H22" s="263">
        <v>3</v>
      </c>
      <c r="I22" s="263">
        <v>5</v>
      </c>
      <c r="J22" s="264"/>
      <c r="K22" s="265"/>
      <c r="L22" s="266"/>
      <c r="M22" s="278">
        <f t="shared" ref="M22:M27" si="8">25*G22*H22*I22</f>
        <v>0</v>
      </c>
      <c r="N22" s="33"/>
    </row>
    <row r="23" spans="1:14">
      <c r="B23" s="33"/>
      <c r="D23" s="261" t="s">
        <v>358</v>
      </c>
      <c r="E23" s="262"/>
      <c r="F23" s="262"/>
      <c r="G23" s="263">
        <v>2</v>
      </c>
      <c r="H23" s="263">
        <v>4</v>
      </c>
      <c r="I23" s="263">
        <v>9</v>
      </c>
      <c r="J23" s="264"/>
      <c r="K23" s="265"/>
      <c r="L23" s="266"/>
      <c r="M23" s="278">
        <f t="shared" si="8"/>
        <v>1800</v>
      </c>
      <c r="N23" s="33"/>
    </row>
    <row r="24" spans="1:14">
      <c r="B24" s="33"/>
      <c r="D24" s="261" t="s">
        <v>359</v>
      </c>
      <c r="E24" s="262"/>
      <c r="F24" s="262"/>
      <c r="G24" s="263">
        <v>2</v>
      </c>
      <c r="H24" s="263">
        <v>2</v>
      </c>
      <c r="I24" s="263">
        <v>6</v>
      </c>
      <c r="J24" s="264"/>
      <c r="K24" s="265"/>
      <c r="L24" s="266"/>
      <c r="M24" s="278">
        <f t="shared" si="8"/>
        <v>600</v>
      </c>
      <c r="N24" s="33"/>
    </row>
    <row r="25" spans="1:14">
      <c r="B25" s="33"/>
      <c r="D25" s="261" t="s">
        <v>360</v>
      </c>
      <c r="E25" s="262"/>
      <c r="F25" s="262"/>
      <c r="G25" s="263">
        <v>2</v>
      </c>
      <c r="H25" s="263">
        <v>3</v>
      </c>
      <c r="I25" s="263">
        <v>5</v>
      </c>
      <c r="J25" s="264"/>
      <c r="K25" s="265"/>
      <c r="L25" s="266"/>
      <c r="M25" s="278">
        <f t="shared" si="8"/>
        <v>750</v>
      </c>
      <c r="N25" s="33"/>
    </row>
    <row r="26" spans="1:14">
      <c r="B26" s="359"/>
      <c r="D26" s="261" t="s">
        <v>355</v>
      </c>
      <c r="E26" s="262"/>
      <c r="F26" s="262"/>
      <c r="G26" s="263">
        <v>2</v>
      </c>
      <c r="H26" s="263">
        <v>2</v>
      </c>
      <c r="I26" s="263">
        <v>4</v>
      </c>
      <c r="J26" s="264"/>
      <c r="K26" s="265"/>
      <c r="L26" s="266"/>
      <c r="M26" s="278">
        <f t="shared" si="8"/>
        <v>400</v>
      </c>
      <c r="N26" s="33"/>
    </row>
    <row r="27" spans="1:14">
      <c r="B27" s="33"/>
      <c r="D27" s="261" t="s">
        <v>357</v>
      </c>
      <c r="E27" s="262"/>
      <c r="F27" s="262"/>
      <c r="G27" s="263">
        <v>2</v>
      </c>
      <c r="H27" s="263">
        <v>3</v>
      </c>
      <c r="I27" s="263">
        <v>7</v>
      </c>
      <c r="J27" s="264"/>
      <c r="K27" s="265"/>
      <c r="L27" s="266"/>
      <c r="M27" s="278">
        <f t="shared" si="8"/>
        <v>1050</v>
      </c>
      <c r="N27" s="33"/>
    </row>
    <row r="28" spans="1:14">
      <c r="B28" s="33"/>
      <c r="D28" s="549" t="s">
        <v>471</v>
      </c>
      <c r="E28" s="550"/>
      <c r="F28" s="550"/>
      <c r="G28" s="551">
        <v>1</v>
      </c>
      <c r="H28" s="263" t="s">
        <v>95</v>
      </c>
      <c r="I28" s="263" t="s">
        <v>95</v>
      </c>
      <c r="J28" s="552"/>
      <c r="K28" s="553"/>
      <c r="L28" s="266"/>
      <c r="M28" s="554" t="s">
        <v>472</v>
      </c>
      <c r="N28" s="33"/>
    </row>
    <row r="29" spans="1:14" ht="16.2" thickBot="1">
      <c r="A29" s="33"/>
      <c r="B29" s="33"/>
      <c r="D29" s="268" t="s">
        <v>361</v>
      </c>
      <c r="E29" s="269"/>
      <c r="F29" s="269"/>
      <c r="G29" s="22">
        <v>1</v>
      </c>
      <c r="H29" s="22">
        <v>3</v>
      </c>
      <c r="I29" s="22" t="s">
        <v>95</v>
      </c>
      <c r="J29" s="270"/>
      <c r="K29" s="271"/>
      <c r="M29" s="279">
        <v>3000</v>
      </c>
      <c r="N29" s="77"/>
    </row>
    <row r="30" spans="1:14" ht="16.2" thickTop="1">
      <c r="A30" s="33"/>
      <c r="B30" s="33"/>
    </row>
    <row r="31" spans="1:14">
      <c r="A31" s="33"/>
      <c r="B31" s="33"/>
    </row>
    <row r="32" spans="1:14">
      <c r="A32" s="33"/>
      <c r="B32" s="33"/>
    </row>
    <row r="33" spans="1:2">
      <c r="A33" s="33"/>
      <c r="B33" s="33"/>
    </row>
    <row r="34" spans="1:2">
      <c r="A34" s="33"/>
      <c r="B34" s="33"/>
    </row>
    <row r="35" spans="1:2">
      <c r="A35" s="33"/>
      <c r="B35" s="33"/>
    </row>
  </sheetData>
  <sortState ref="D19:K39">
    <sortCondition ref="I19:I39"/>
    <sortCondition ref="D19:D39"/>
  </sortState>
  <phoneticPr fontId="0" type="noConversion"/>
  <conditionalFormatting sqref="I5">
    <cfRule type="cellIs" dxfId="10" priority="13" operator="equal">
      <formula>20</formula>
    </cfRule>
    <cfRule type="cellIs" dxfId="9" priority="14" operator="equal">
      <formula>1</formula>
    </cfRule>
  </conditionalFormatting>
  <conditionalFormatting sqref="I10">
    <cfRule type="cellIs" dxfId="8" priority="9" operator="equal">
      <formula>20</formula>
    </cfRule>
    <cfRule type="cellIs" dxfId="7" priority="10" operator="equal">
      <formula>1</formula>
    </cfRule>
  </conditionalFormatting>
  <conditionalFormatting sqref="I3:I4">
    <cfRule type="cellIs" dxfId="6" priority="3" operator="equal">
      <formula>20</formula>
    </cfRule>
    <cfRule type="cellIs" dxfId="5" priority="4" operator="equal">
      <formula>1</formula>
    </cfRule>
  </conditionalFormatting>
  <conditionalFormatting sqref="I8:I9">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showGridLines="0" workbookViewId="0"/>
  </sheetViews>
  <sheetFormatPr defaultColWidth="8.59765625" defaultRowHeight="15.6"/>
  <cols>
    <col min="1" max="1" width="28.796875" style="38" bestFit="1" customWidth="1"/>
    <col min="2" max="2" width="5" style="38" customWidth="1"/>
    <col min="3" max="3" width="4.59765625" style="68" bestFit="1" customWidth="1"/>
    <col min="4" max="5" width="13.296875" style="33" customWidth="1"/>
    <col min="6" max="6" width="2.3984375" style="33" customWidth="1"/>
    <col min="7" max="7" width="8.296875" style="33" bestFit="1" customWidth="1"/>
    <col min="8" max="16384" width="8.59765625" style="33"/>
  </cols>
  <sheetData>
    <row r="1" spans="1:8" ht="23.4" thickBot="1">
      <c r="A1" s="31" t="s">
        <v>74</v>
      </c>
      <c r="B1" s="31"/>
      <c r="C1" s="32"/>
      <c r="D1" s="31"/>
      <c r="E1" s="31"/>
    </row>
    <row r="2" spans="1:8" s="38" customFormat="1" ht="16.8" thickTop="1" thickBot="1">
      <c r="A2" s="34" t="s">
        <v>75</v>
      </c>
      <c r="B2" s="34" t="s">
        <v>6</v>
      </c>
      <c r="C2" s="35" t="s">
        <v>27</v>
      </c>
      <c r="D2" s="36" t="s">
        <v>76</v>
      </c>
      <c r="E2" s="37" t="s">
        <v>77</v>
      </c>
      <c r="G2" s="360" t="s">
        <v>206</v>
      </c>
    </row>
    <row r="3" spans="1:8">
      <c r="A3" s="39" t="s">
        <v>151</v>
      </c>
      <c r="B3" s="40">
        <v>1</v>
      </c>
      <c r="C3" s="41">
        <v>1.25</v>
      </c>
      <c r="D3" s="42"/>
      <c r="E3" s="43"/>
      <c r="G3" s="361">
        <v>0</v>
      </c>
    </row>
    <row r="4" spans="1:8">
      <c r="A4" s="44" t="s">
        <v>152</v>
      </c>
      <c r="B4" s="45">
        <v>1</v>
      </c>
      <c r="C4" s="46">
        <v>0.25</v>
      </c>
      <c r="D4" s="47"/>
      <c r="E4" s="48"/>
      <c r="G4" s="362">
        <v>0</v>
      </c>
    </row>
    <row r="5" spans="1:8">
      <c r="A5" s="44" t="s">
        <v>448</v>
      </c>
      <c r="B5" s="45">
        <v>1</v>
      </c>
      <c r="C5" s="46">
        <v>1</v>
      </c>
      <c r="D5" s="47"/>
      <c r="E5" s="48"/>
      <c r="G5" s="362">
        <v>9000</v>
      </c>
    </row>
    <row r="6" spans="1:8">
      <c r="A6" s="44" t="s">
        <v>449</v>
      </c>
      <c r="B6" s="45">
        <v>1</v>
      </c>
      <c r="C6" s="46">
        <v>1</v>
      </c>
      <c r="D6" s="47"/>
      <c r="E6" s="48"/>
      <c r="G6" s="362">
        <v>2000</v>
      </c>
    </row>
    <row r="7" spans="1:8">
      <c r="A7" s="44" t="s">
        <v>450</v>
      </c>
      <c r="B7" s="45">
        <v>1</v>
      </c>
      <c r="C7" s="46">
        <v>0</v>
      </c>
      <c r="D7" s="47"/>
      <c r="E7" s="48"/>
      <c r="G7" s="362">
        <v>15000</v>
      </c>
    </row>
    <row r="8" spans="1:8">
      <c r="A8" s="44" t="s">
        <v>451</v>
      </c>
      <c r="B8" s="45">
        <v>1</v>
      </c>
      <c r="C8" s="46">
        <v>1</v>
      </c>
      <c r="D8" s="47"/>
      <c r="E8" s="48"/>
      <c r="G8" s="362">
        <v>21000</v>
      </c>
    </row>
    <row r="9" spans="1:8">
      <c r="A9" s="44" t="s">
        <v>232</v>
      </c>
      <c r="B9" s="45">
        <v>1</v>
      </c>
      <c r="C9" s="46">
        <v>1</v>
      </c>
      <c r="D9" s="260"/>
      <c r="E9" s="48"/>
      <c r="G9" s="362">
        <v>750</v>
      </c>
      <c r="H9" s="266"/>
    </row>
    <row r="10" spans="1:8">
      <c r="A10" s="498" t="s">
        <v>333</v>
      </c>
      <c r="B10" s="45">
        <v>1</v>
      </c>
      <c r="C10" s="46">
        <v>0</v>
      </c>
      <c r="D10" s="260"/>
      <c r="E10" s="48"/>
      <c r="G10" s="362">
        <v>20000</v>
      </c>
      <c r="H10" s="266"/>
    </row>
    <row r="11" spans="1:8">
      <c r="A11" s="44" t="s">
        <v>150</v>
      </c>
      <c r="B11" s="45">
        <v>1</v>
      </c>
      <c r="C11" s="49">
        <f>0.25*B11</f>
        <v>0.25</v>
      </c>
      <c r="D11" s="47"/>
      <c r="E11" s="48"/>
      <c r="G11" s="363">
        <v>0</v>
      </c>
    </row>
    <row r="12" spans="1:8" ht="16.2" thickBot="1">
      <c r="A12" s="50" t="s">
        <v>153</v>
      </c>
      <c r="B12" s="51">
        <v>1</v>
      </c>
      <c r="C12" s="52">
        <v>1</v>
      </c>
      <c r="D12" s="53"/>
      <c r="E12" s="54"/>
      <c r="G12" s="364">
        <v>2</v>
      </c>
    </row>
    <row r="13" spans="1:8" ht="24" thickTop="1" thickBot="1">
      <c r="A13" s="31" t="s">
        <v>78</v>
      </c>
      <c r="B13" s="31"/>
      <c r="C13" s="55"/>
      <c r="D13" s="31"/>
      <c r="E13" s="56"/>
      <c r="G13" s="55"/>
    </row>
    <row r="14" spans="1:8" ht="16.8" thickTop="1" thickBot="1">
      <c r="A14" s="34" t="s">
        <v>75</v>
      </c>
      <c r="B14" s="34" t="s">
        <v>6</v>
      </c>
      <c r="C14" s="35" t="s">
        <v>27</v>
      </c>
      <c r="D14" s="36" t="s">
        <v>76</v>
      </c>
      <c r="E14" s="37" t="s">
        <v>77</v>
      </c>
      <c r="G14" s="360" t="s">
        <v>206</v>
      </c>
    </row>
    <row r="15" spans="1:8">
      <c r="A15" s="57" t="s">
        <v>123</v>
      </c>
      <c r="B15" s="40">
        <v>1</v>
      </c>
      <c r="C15" s="58">
        <v>0.5</v>
      </c>
      <c r="D15" s="59"/>
      <c r="E15" s="43"/>
      <c r="G15" s="365">
        <v>1</v>
      </c>
    </row>
    <row r="16" spans="1:8" ht="16.2" thickBot="1">
      <c r="A16" s="50"/>
      <c r="B16" s="51"/>
      <c r="C16" s="52"/>
      <c r="D16" s="53"/>
      <c r="E16" s="54"/>
      <c r="G16" s="363"/>
    </row>
    <row r="17" spans="1:7" ht="24" thickTop="1" thickBot="1">
      <c r="A17" s="31" t="s">
        <v>233</v>
      </c>
      <c r="B17" s="31"/>
      <c r="C17" s="55"/>
      <c r="D17" s="31"/>
      <c r="E17" s="56"/>
      <c r="F17" s="301"/>
      <c r="G17" s="364">
        <v>2000</v>
      </c>
    </row>
    <row r="18" spans="1:7" ht="16.8" thickTop="1" thickBot="1">
      <c r="A18" s="34" t="s">
        <v>75</v>
      </c>
      <c r="B18" s="34" t="s">
        <v>6</v>
      </c>
      <c r="C18" s="35" t="s">
        <v>27</v>
      </c>
      <c r="D18" s="36" t="s">
        <v>76</v>
      </c>
      <c r="E18" s="37" t="s">
        <v>77</v>
      </c>
      <c r="G18" s="360" t="s">
        <v>206</v>
      </c>
    </row>
    <row r="19" spans="1:7">
      <c r="A19" s="61" t="s">
        <v>216</v>
      </c>
      <c r="B19" s="62">
        <v>1</v>
      </c>
      <c r="C19" s="63">
        <v>5</v>
      </c>
      <c r="D19" s="64"/>
      <c r="E19" s="65"/>
      <c r="G19" s="366">
        <v>10</v>
      </c>
    </row>
    <row r="20" spans="1:7">
      <c r="A20" s="44" t="s">
        <v>127</v>
      </c>
      <c r="B20" s="60">
        <v>0</v>
      </c>
      <c r="C20" s="49">
        <f>B20/100</f>
        <v>0</v>
      </c>
      <c r="D20" s="64"/>
      <c r="E20" s="65"/>
      <c r="G20" s="366">
        <f>B20</f>
        <v>0</v>
      </c>
    </row>
    <row r="21" spans="1:7">
      <c r="A21" s="61" t="s">
        <v>217</v>
      </c>
      <c r="B21" s="62">
        <v>1</v>
      </c>
      <c r="C21" s="63">
        <v>4</v>
      </c>
      <c r="D21" s="64"/>
      <c r="E21" s="65"/>
      <c r="G21" s="366">
        <v>1</v>
      </c>
    </row>
    <row r="22" spans="1:7">
      <c r="A22" s="372" t="s">
        <v>420</v>
      </c>
      <c r="B22" s="60">
        <v>1</v>
      </c>
      <c r="C22" s="373">
        <v>4</v>
      </c>
      <c r="D22" s="374" t="s">
        <v>421</v>
      </c>
      <c r="E22" s="65"/>
      <c r="F22" s="266"/>
      <c r="G22" s="375">
        <v>7200</v>
      </c>
    </row>
    <row r="23" spans="1:7">
      <c r="A23" s="61" t="s">
        <v>122</v>
      </c>
      <c r="B23" s="62">
        <v>1</v>
      </c>
      <c r="C23" s="63">
        <v>0</v>
      </c>
      <c r="D23" s="64"/>
      <c r="E23" s="65"/>
      <c r="G23" s="366">
        <v>1</v>
      </c>
    </row>
    <row r="24" spans="1:7" ht="16.2" thickBot="1">
      <c r="A24" s="66" t="s">
        <v>149</v>
      </c>
      <c r="B24" s="67">
        <v>4</v>
      </c>
      <c r="C24" s="52">
        <v>0</v>
      </c>
      <c r="D24" s="53"/>
      <c r="E24" s="54"/>
      <c r="G24" s="364">
        <v>0</v>
      </c>
    </row>
    <row r="25" spans="1:7" ht="16.2" thickTop="1">
      <c r="B25" s="300" t="s">
        <v>234</v>
      </c>
      <c r="C25" s="330">
        <f>SUM(C19:C24)/100</f>
        <v>0.13</v>
      </c>
    </row>
    <row r="26" spans="1:7">
      <c r="A26" s="33"/>
      <c r="E26" s="207" t="s">
        <v>422</v>
      </c>
      <c r="F26" s="266"/>
      <c r="G26" s="438">
        <f>SUM(G3:G24,Martial!M3:M29)</f>
        <v>86565</v>
      </c>
    </row>
  </sheetData>
  <sortState ref="A40:D52">
    <sortCondition ref="A40:A52"/>
  </sortState>
  <phoneticPr fontId="0" type="noConversion"/>
  <conditionalFormatting sqref="C25">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Warmage</vt:lpstr>
      <vt:lpstr>Spells</vt:lpstr>
      <vt:lpstr>Feats</vt:lpstr>
      <vt:lpstr>Martial</vt:lpstr>
      <vt:lpstr>Equipment</vt:lpstr>
      <vt:lpstr>'Personal File'!Print_Area</vt:lpstr>
      <vt:lpstr>Skills!Print_Area</vt:lpstr>
      <vt:lpstr>Spellbook!Print_Area</vt:lpstr>
      <vt:lpstr>Warmage!Print_Area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2018-05-07T15:50:00Z</dcterms:modified>
</cp:coreProperties>
</file>