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1604" yWindow="-12" windowWidth="11448" windowHeight="10224" tabRatio="638"/>
  </bookViews>
  <sheets>
    <sheet name="Personal File" sheetId="4" r:id="rId1"/>
    <sheet name="Skills" sheetId="15" r:id="rId2"/>
    <sheet name="Invocations" sheetId="24" r:id="rId3"/>
    <sheet name="Feats" sheetId="20" r:id="rId4"/>
    <sheet name="Martial" sheetId="6" r:id="rId5"/>
    <sheet name="Equipment" sheetId="19" r:id="rId6"/>
  </sheets>
  <externalReferences>
    <externalReference r:id="rId7"/>
  </externalReferences>
  <definedNames>
    <definedName name="NoShade">'[1]Spell Sheet'!$FH$1</definedName>
    <definedName name="OLE_LINK1" localSheetId="3">Feats!#REF!</definedName>
    <definedName name="_xlnm.Print_Area" localSheetId="5">Equipment!#REF!</definedName>
    <definedName name="_xlnm.Print_Area" localSheetId="3">Feats!#REF!</definedName>
    <definedName name="_xlnm.Print_Area" localSheetId="2">Invocations!$A$1:$I$5</definedName>
    <definedName name="_xlnm.Print_Area" localSheetId="4">Martial!#REF!</definedName>
    <definedName name="_xlnm.Print_Area" localSheetId="0">'Personal File'!$A$1:$H$38</definedName>
    <definedName name="_xlnm.Print_Area" localSheetId="1">Skills!$A$1:$K$36</definedName>
  </definedNames>
  <calcPr calcId="145621"/>
</workbook>
</file>

<file path=xl/calcChain.xml><?xml version="1.0" encoding="utf-8"?>
<calcChain xmlns="http://schemas.openxmlformats.org/spreadsheetml/2006/main">
  <c r="G5" i="24" l="1"/>
  <c r="G4" i="24"/>
  <c r="G3" i="24"/>
  <c r="B5" i="15" l="1"/>
  <c r="B4" i="15"/>
  <c r="B3" i="15"/>
  <c r="I8" i="6" l="1"/>
  <c r="I9" i="6"/>
  <c r="B13" i="4" l="1"/>
  <c r="B12" i="4"/>
  <c r="B11" i="4"/>
  <c r="B10" i="4"/>
  <c r="B9" i="4"/>
  <c r="B8" i="4"/>
  <c r="M29" i="6" l="1"/>
  <c r="C22" i="19" l="1"/>
  <c r="C21" i="19"/>
  <c r="C16" i="19"/>
  <c r="I5" i="6" l="1"/>
  <c r="C35" i="19" l="1"/>
  <c r="G7" i="19"/>
  <c r="G6" i="19"/>
  <c r="B6" i="4" l="1"/>
  <c r="I3" i="6"/>
  <c r="I4" i="6"/>
  <c r="C15" i="19"/>
  <c r="H49" i="15" l="1"/>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E62" i="15"/>
  <c r="G37" i="19" l="1"/>
  <c r="G39" i="19" s="1"/>
  <c r="B51" i="15" l="1"/>
  <c r="H48" i="15" l="1"/>
  <c r="H7" i="15"/>
  <c r="H6" i="15"/>
  <c r="C36" i="19" l="1"/>
  <c r="H4" i="15" l="1"/>
  <c r="H3" i="15"/>
  <c r="H5" i="15" l="1"/>
  <c r="E9" i="4" l="1"/>
  <c r="C8" i="4" l="1"/>
  <c r="H5" i="6" s="1"/>
  <c r="H4" i="6" l="1"/>
  <c r="J4" i="6" s="1"/>
  <c r="J5" i="6"/>
  <c r="H3" i="6"/>
  <c r="J3" i="6" s="1"/>
  <c r="D9" i="15"/>
  <c r="C5" i="6"/>
  <c r="E9" i="15" l="1"/>
  <c r="G9" i="15"/>
  <c r="I9" i="15" s="1"/>
  <c r="C10" i="4"/>
  <c r="E10" i="4" s="1"/>
  <c r="D3" i="15" l="1"/>
  <c r="D10" i="15"/>
  <c r="C9" i="4"/>
  <c r="C11" i="4"/>
  <c r="C12" i="4"/>
  <c r="C13" i="4"/>
  <c r="E11" i="4" l="1"/>
  <c r="E13" i="4" s="1"/>
  <c r="E12" i="4" s="1"/>
  <c r="H8" i="6"/>
  <c r="J8" i="6" s="1"/>
  <c r="H9" i="6"/>
  <c r="J9" i="6" s="1"/>
  <c r="D5" i="15"/>
  <c r="E5" i="15" s="1"/>
  <c r="E59" i="15"/>
  <c r="E55" i="15"/>
  <c r="D27" i="15"/>
  <c r="E52" i="15"/>
  <c r="E58" i="15"/>
  <c r="E54" i="15"/>
  <c r="E61" i="15"/>
  <c r="E57" i="15"/>
  <c r="E53" i="15"/>
  <c r="E60" i="15"/>
  <c r="E56" i="15"/>
  <c r="D8" i="15"/>
  <c r="D15" i="15"/>
  <c r="D13" i="15"/>
  <c r="G3" i="15"/>
  <c r="I3" i="15" s="1"/>
  <c r="E3" i="15"/>
  <c r="E10" i="15"/>
  <c r="G10" i="15"/>
  <c r="I10" i="15" s="1"/>
  <c r="D4" i="15"/>
  <c r="D7" i="15"/>
  <c r="D14" i="15"/>
  <c r="D6" i="15"/>
  <c r="D11" i="15"/>
  <c r="D12" i="15"/>
  <c r="B7" i="4"/>
  <c r="D30" i="15"/>
  <c r="D31" i="15"/>
  <c r="D25" i="15"/>
  <c r="D28" i="15"/>
  <c r="D33" i="15"/>
  <c r="D26" i="15"/>
  <c r="D32" i="15"/>
  <c r="H50" i="15"/>
  <c r="G5" i="15" l="1"/>
  <c r="I5" i="15" s="1"/>
  <c r="E51" i="15"/>
  <c r="G27" i="15"/>
  <c r="I27" i="15" s="1"/>
  <c r="E2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1" i="15"/>
  <c r="G31" i="15"/>
  <c r="I31" i="15" s="1"/>
  <c r="E30" i="15"/>
  <c r="G30" i="15"/>
  <c r="I30" i="15" s="1"/>
  <c r="E26" i="15"/>
  <c r="G26" i="15"/>
  <c r="E28" i="15"/>
  <c r="G28" i="15"/>
  <c r="E32" i="15"/>
  <c r="G32" i="15"/>
  <c r="E33" i="15"/>
  <c r="G33" i="15"/>
  <c r="E25" i="15"/>
  <c r="G25" i="15"/>
  <c r="I25" i="15" l="1"/>
  <c r="I33" i="15"/>
  <c r="I32" i="15"/>
  <c r="I28" i="15"/>
  <c r="I26" i="15"/>
  <c r="D29" i="15" l="1"/>
  <c r="E29" i="15" l="1"/>
  <c r="G29" i="15"/>
  <c r="I29" i="15" l="1"/>
  <c r="D38" i="15" l="1"/>
  <c r="E38" i="15" l="1"/>
  <c r="G38" i="15"/>
  <c r="D44" i="15"/>
  <c r="D19" i="15"/>
  <c r="D24" i="15"/>
  <c r="D46" i="15"/>
  <c r="D43" i="15"/>
  <c r="D48" i="15"/>
  <c r="D45" i="15"/>
  <c r="D47" i="15"/>
  <c r="D40" i="15"/>
  <c r="D49" i="15"/>
  <c r="D36" i="15"/>
  <c r="D42" i="15"/>
  <c r="D50" i="15"/>
  <c r="D41" i="15"/>
  <c r="D39" i="15"/>
  <c r="G39" i="15" s="1"/>
  <c r="I39" i="15" s="1"/>
  <c r="D37" i="15"/>
  <c r="D35" i="15"/>
  <c r="D34" i="15"/>
  <c r="D23" i="15"/>
  <c r="D22" i="15"/>
  <c r="D21" i="15"/>
  <c r="D20" i="15"/>
  <c r="D18" i="15"/>
  <c r="D17" i="15"/>
  <c r="D16" i="15"/>
  <c r="I38" i="15" l="1"/>
  <c r="E16" i="15"/>
  <c r="G16" i="15"/>
  <c r="E18" i="15"/>
  <c r="G18" i="15"/>
  <c r="E21" i="15"/>
  <c r="G21" i="15"/>
  <c r="E23" i="15"/>
  <c r="G23" i="15"/>
  <c r="E35" i="15"/>
  <c r="G35" i="15"/>
  <c r="E39" i="15"/>
  <c r="E50" i="15"/>
  <c r="G50" i="15"/>
  <c r="E36" i="15"/>
  <c r="G36" i="15"/>
  <c r="E40" i="15"/>
  <c r="G40" i="15"/>
  <c r="E45" i="15"/>
  <c r="G45" i="15"/>
  <c r="E46" i="15"/>
  <c r="G46" i="15"/>
  <c r="E19" i="15"/>
  <c r="G19" i="15"/>
  <c r="E17" i="15"/>
  <c r="G17" i="15"/>
  <c r="E20" i="15"/>
  <c r="G20" i="15"/>
  <c r="E22" i="15"/>
  <c r="G22" i="15"/>
  <c r="E34" i="15"/>
  <c r="G34" i="15"/>
  <c r="E37" i="15"/>
  <c r="G37" i="15"/>
  <c r="E41" i="15"/>
  <c r="G41" i="15"/>
  <c r="E42" i="15"/>
  <c r="G42" i="15"/>
  <c r="E49" i="15"/>
  <c r="G49" i="15"/>
  <c r="E47" i="15"/>
  <c r="G47" i="15"/>
  <c r="E48" i="15"/>
  <c r="G48" i="15"/>
  <c r="E43" i="15"/>
  <c r="G43" i="15"/>
  <c r="E24" i="15"/>
  <c r="G24" i="15"/>
  <c r="E44" i="15"/>
  <c r="G44" i="15"/>
  <c r="I44" i="15" l="1"/>
  <c r="I24" i="15"/>
  <c r="I43" i="15"/>
  <c r="I48" i="15"/>
  <c r="I47" i="15"/>
  <c r="I49" i="15"/>
  <c r="I42" i="15"/>
  <c r="I41" i="15"/>
  <c r="I37" i="15"/>
  <c r="I34" i="15"/>
  <c r="I22" i="15"/>
  <c r="I20" i="15"/>
  <c r="I17" i="15"/>
  <c r="I19" i="15"/>
  <c r="I46" i="15"/>
  <c r="I45" i="15"/>
  <c r="I40" i="15"/>
  <c r="I36" i="15"/>
  <c r="I50" i="15"/>
  <c r="I35" i="15"/>
  <c r="I23" i="15"/>
  <c r="I21" i="15"/>
  <c r="I18" i="15"/>
  <c r="I16" i="15"/>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 xml:space="preserve">BAB 4 +1 Small
</t>
        </r>
        <r>
          <rPr>
            <i/>
            <sz val="12"/>
            <color indexed="81"/>
            <rFont val="Times New Roman"/>
            <family val="1"/>
          </rPr>
          <t>haste +1        bless +1
shaken -2</t>
        </r>
      </text>
    </comment>
    <comment ref="B8" authorId="0">
      <text>
        <r>
          <rPr>
            <sz val="12"/>
            <color indexed="81"/>
            <rFont val="Times New Roman"/>
            <family val="1"/>
          </rPr>
          <t xml:space="preserve">+4 </t>
        </r>
        <r>
          <rPr>
            <i/>
            <sz val="12"/>
            <color indexed="81"/>
            <rFont val="Times New Roman"/>
            <family val="1"/>
          </rPr>
          <t>bull’s strength</t>
        </r>
      </text>
    </comment>
    <comment ref="E8" authorId="0">
      <text>
        <r>
          <rPr>
            <sz val="12"/>
            <color indexed="81"/>
            <rFont val="Times New Roman"/>
            <family val="1"/>
          </rPr>
          <t>See PHB 162</t>
        </r>
      </text>
    </comment>
    <comment ref="B9" authorId="0">
      <text>
        <r>
          <rPr>
            <sz val="12"/>
            <color indexed="81"/>
            <rFont val="Times New Roman"/>
            <family val="1"/>
          </rPr>
          <t xml:space="preserve">Gloves of Dexterity +2
+4 </t>
        </r>
        <r>
          <rPr>
            <i/>
            <sz val="12"/>
            <color indexed="81"/>
            <rFont val="Times New Roman"/>
            <family val="1"/>
          </rPr>
          <t>cat’s grace</t>
        </r>
      </text>
    </comment>
    <comment ref="E9" authorId="0">
      <text>
        <r>
          <rPr>
            <sz val="12"/>
            <color indexed="81"/>
            <rFont val="Times New Roman"/>
            <family val="1"/>
          </rPr>
          <t>Haversack weighs 5 lbs.; included in the formula</t>
        </r>
      </text>
    </comment>
    <comment ref="B10" authorId="0">
      <text>
        <r>
          <rPr>
            <sz val="12"/>
            <color indexed="81"/>
            <rFont val="Times New Roman"/>
            <family val="1"/>
          </rPr>
          <t xml:space="preserve">+4 </t>
        </r>
        <r>
          <rPr>
            <i/>
            <sz val="12"/>
            <color indexed="81"/>
            <rFont val="Times New Roman"/>
            <family val="1"/>
          </rPr>
          <t>bear’s endurance</t>
        </r>
      </text>
    </comment>
    <comment ref="E10" authorId="0">
      <text>
        <r>
          <rPr>
            <sz val="12"/>
            <color indexed="81"/>
            <rFont val="Times New Roman"/>
            <family val="1"/>
          </rPr>
          <t xml:space="preserve">   [(3 * 4 Diviner) * 75%]
+ [(3 * 8 Cleric) * 75%]
+ [(4 * 4 Mystic Theurge) * 75%]
+ (10 * 2 Con)</t>
        </r>
      </text>
    </comment>
    <comment ref="B11" authorId="0">
      <text>
        <r>
          <rPr>
            <sz val="12"/>
            <color indexed="81"/>
            <rFont val="Times New Roman"/>
            <family val="1"/>
          </rPr>
          <t>Headband of Intellect +2</t>
        </r>
      </text>
    </comment>
    <comment ref="E11" authorId="0">
      <text>
        <r>
          <rPr>
            <i/>
            <sz val="12"/>
            <color indexed="81"/>
            <rFont val="Times New Roman"/>
            <family val="1"/>
          </rPr>
          <t>+3 shield of faith
+1 haste
+3 shield of faith</t>
        </r>
      </text>
    </comment>
    <comment ref="B12" authorId="0">
      <text>
        <r>
          <rPr>
            <sz val="12"/>
            <color indexed="81"/>
            <rFont val="Times New Roman"/>
            <family val="1"/>
          </rPr>
          <t>Periapt of Wisdom +4</t>
        </r>
      </text>
    </comment>
    <comment ref="E13" authorId="0">
      <text>
        <r>
          <rPr>
            <b/>
            <i/>
            <sz val="12"/>
            <color indexed="81"/>
            <rFont val="Times New Roman"/>
            <family val="1"/>
          </rPr>
          <t>Actual bonuses are drawn from the Martial tab</t>
        </r>
        <r>
          <rPr>
            <i/>
            <sz val="12"/>
            <color indexed="81"/>
            <rFont val="Times New Roman"/>
            <family val="1"/>
          </rPr>
          <t xml:space="preserve">
+4 mage armor
+6 greater mage armor
dragonskin +3</t>
        </r>
      </text>
    </comment>
  </commentList>
</comments>
</file>

<file path=xl/comments2.xml><?xml version="1.0" encoding="utf-8"?>
<comments xmlns="http://schemas.openxmlformats.org/spreadsheetml/2006/main">
  <authors>
    <author>Alexis Álvarez</author>
  </authors>
  <commentList>
    <comment ref="F5" authorId="0">
      <text>
        <r>
          <rPr>
            <sz val="12"/>
            <color indexed="81"/>
            <rFont val="Times New Roman"/>
            <family val="1"/>
          </rPr>
          <t>Iron Will +4</t>
        </r>
      </text>
    </comment>
    <comment ref="F21" authorId="0">
      <text>
        <r>
          <rPr>
            <sz val="12"/>
            <color indexed="81"/>
            <rFont val="Times New Roman"/>
            <family val="1"/>
          </rPr>
          <t>Small +4
Whisper Gnome +4</t>
        </r>
      </text>
    </comment>
    <comment ref="F34" authorId="0">
      <text>
        <r>
          <rPr>
            <sz val="12"/>
            <color indexed="81"/>
            <rFont val="Times New Roman"/>
            <family val="1"/>
          </rPr>
          <t>Gnome +2</t>
        </r>
      </text>
    </comment>
    <comment ref="F35" authorId="0">
      <text>
        <r>
          <rPr>
            <sz val="12"/>
            <color indexed="81"/>
            <rFont val="Times New Roman"/>
            <family val="1"/>
          </rPr>
          <t>Gnome (Small) +4</t>
        </r>
      </text>
    </comment>
    <comment ref="F44" authorId="0">
      <text>
        <r>
          <rPr>
            <sz val="12"/>
            <color indexed="81"/>
            <rFont val="Times New Roman"/>
            <family val="1"/>
          </rPr>
          <t>Skill Focus +2</t>
        </r>
      </text>
    </comment>
    <comment ref="F45"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A2"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A3"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4"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5" authorId="0">
      <text>
        <r>
          <rPr>
            <sz val="12"/>
            <rFont val="Times New Roman"/>
            <family val="1"/>
          </rPr>
          <t xml:space="preserve">You literally see the emanations of magic around you.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As long as you have a divination spell of 3rd level or higher available to cast, you can sense magical auras (as if you had cast detect magic).  The range of your detection is equal to 5 feet per level of the highest-level divination spell you have available to cast. Activating or concentrating on this ability requires a standard action.
As a secondary benefit, you gain a +1 competence bonus to your caster level when casting divination spells.
Complete Arcane 82</t>
        </r>
      </text>
    </comment>
    <comment ref="A6" authorId="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List>
</comments>
</file>

<file path=xl/comments4.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comments5.xml><?xml version="1.0" encoding="utf-8"?>
<comments xmlns="http://schemas.openxmlformats.org/spreadsheetml/2006/main">
  <authors>
    <author>Alexis Álvarez</author>
  </authors>
  <commentList>
    <comment ref="A8" authorId="0">
      <text>
        <r>
          <rPr>
            <b/>
            <sz val="12"/>
            <color indexed="81"/>
            <rFont val="Times New Roman"/>
            <family val="1"/>
          </rPr>
          <t xml:space="preserve">Price (Item Level):  </t>
        </r>
        <r>
          <rPr>
            <sz val="12"/>
            <rFont val="Times New Roman"/>
            <family val="1"/>
          </rPr>
          <t xml:space="preserve">1,000 gp (4th) (+1); 4,000 (8th) (+2); 9,000 (12th) (+3); 16,000 (14th) (+4); 25,000 (15th) (+5)
</t>
        </r>
        <r>
          <rPr>
            <b/>
            <sz val="12"/>
            <color indexed="81"/>
            <rFont val="Times New Roman"/>
            <family val="1"/>
          </rPr>
          <t xml:space="preserve">Body Slot:  </t>
        </r>
        <r>
          <rPr>
            <sz val="12"/>
            <rFont val="Times New Roman"/>
            <family val="1"/>
          </rPr>
          <t xml:space="preserve">Torso
</t>
        </r>
        <r>
          <rPr>
            <b/>
            <sz val="12"/>
            <color indexed="81"/>
            <rFont val="Times New Roman"/>
            <family val="1"/>
          </rPr>
          <t>Caster Level:</t>
        </r>
        <r>
          <rPr>
            <sz val="12"/>
            <rFont val="Times New Roman"/>
            <family val="1"/>
          </rPr>
          <t xml:space="preserve">  10th
</t>
        </r>
        <r>
          <rPr>
            <b/>
            <sz val="12"/>
            <color indexed="81"/>
            <rFont val="Times New Roman"/>
            <family val="1"/>
          </rPr>
          <t xml:space="preserve">Aura:  </t>
        </r>
        <r>
          <rPr>
            <sz val="12"/>
            <rFont val="Times New Roman"/>
            <family val="1"/>
          </rPr>
          <t xml:space="preserve">Moderate; (DC 20) abjuration
</t>
        </r>
        <r>
          <rPr>
            <b/>
            <sz val="12"/>
            <color indexed="81"/>
            <rFont val="Times New Roman"/>
            <family val="1"/>
          </rPr>
          <t xml:space="preserve">Activation:  </t>
        </r>
        <r>
          <rPr>
            <sz val="12"/>
            <rFont val="Times New Roman"/>
            <family val="1"/>
          </rPr>
          <t xml:space="preserve">—
</t>
        </r>
        <r>
          <rPr>
            <b/>
            <sz val="12"/>
            <color indexed="81"/>
            <rFont val="Times New Roman"/>
            <family val="1"/>
          </rPr>
          <t xml:space="preserve">Weight:  </t>
        </r>
        <r>
          <rPr>
            <sz val="12"/>
            <rFont val="Times New Roman"/>
            <family val="1"/>
          </rPr>
          <t>1 lb.
This elegantly styled white leather vest is edged in silver piping and has silver buttons.
A vest of resistance offers magical protection in the form of a +1 to +5 resistance bonus on saving throws.
MIC 147</t>
        </r>
      </text>
    </comment>
    <comment ref="A9" authorId="0">
      <text>
        <r>
          <rPr>
            <sz val="12"/>
            <color indexed="81"/>
            <rFont val="Times New Roman"/>
            <family val="1"/>
          </rPr>
          <t>Although it appears to be a normal pearl on a light chain, a periapt of wisdom actually increases the possessor’s Wisdom score in the form of an enhancement bonus of +2, +4, or +6 (depending on the individual item).
DMG 263 - 264</t>
        </r>
      </text>
    </comment>
    <comment ref="A10" authorId="0">
      <text>
        <r>
          <rPr>
            <sz val="12"/>
            <color indexed="81"/>
            <rFont val="Times New Roman"/>
            <family val="1"/>
          </rPr>
          <t>These thin leather gloves are very flexible and allow for delicate manipulation.  They add to the wearer’s Dexterity score in the form of an enhancement bonus of +2, +4, or +6.
Both gloves must be worn for the magic to be effective.
DMG 257</t>
        </r>
      </text>
    </comment>
    <comment ref="A11" authorId="0">
      <text>
        <r>
          <rPr>
            <sz val="12"/>
            <color indexed="81"/>
            <rFont val="Times New Roman"/>
            <family val="1"/>
          </rPr>
          <t>This device is a light cord with a small gem set so that it rests upon the forehead of the wearer.  The headband adds to the wearer’s Intelligence score in the form of an enhancement bonus of +2, +4, or +6. This enhancement bonus does not earn the wearer extra skill points when a new level is attained; use the unenhanced Intelligence bonus to determine skill points.
DMG 258</t>
        </r>
      </text>
    </comment>
  </commentList>
</comments>
</file>

<file path=xl/sharedStrings.xml><?xml version="1.0" encoding="utf-8"?>
<sst xmlns="http://schemas.openxmlformats.org/spreadsheetml/2006/main" count="369" uniqueCount="229">
  <si>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</si>
  <si>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</si>
  <si>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</si>
  <si>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</si>
  <si>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</si>
  <si>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</si>
  <si>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</si>
  <si>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</si>
  <si>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</si>
  <si>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</si>
  <si>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</si>
  <si>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</si>
  <si>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</si>
  <si>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</si>
  <si>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</si>
  <si>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</si>
  <si>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</si>
  <si>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</si>
  <si>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</si>
  <si>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</si>
  <si>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</si>
  <si>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</si>
  <si>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</si>
  <si>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</si>
  <si>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</si>
  <si>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</si>
  <si>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</si>
  <si>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</si>
  <si>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</si>
  <si>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</si>
  <si>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</si>
  <si>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</si>
  <si>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</si>
  <si>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</si>
  <si>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</si>
  <si>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</si>
  <si>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</si>
  <si>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</si>
  <si>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</si>
  <si>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</si>
  <si>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</si>
  <si>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</si>
  <si>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</si>
  <si>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</si>
  <si>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</si>
  <si>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</si>
  <si>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</si>
  <si>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</si>
  <si>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</si>
  <si>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</si>
  <si>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</si>
  <si>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</si>
  <si>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</si>
  <si>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</si>
  <si>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</si>
  <si>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</si>
  <si>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</si>
  <si>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</si>
  <si>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</si>
  <si>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</si>
  <si>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</si>
  <si>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</si>
  <si>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</si>
  <si>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</si>
  <si>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</si>
  <si>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</si>
  <si>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</si>
  <si>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</si>
  <si>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</si>
  <si>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</si>
  <si>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</si>
  <si>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</si>
  <si>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</si>
  <si>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</si>
  <si>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</si>
  <si>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</si>
  <si>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</si>
  <si>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</si>
  <si>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</si>
  <si>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</si>
  <si>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</si>
  <si>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</si>
  <si>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</si>
  <si>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</si>
  <si>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</si>
  <si>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</si>
  <si>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</si>
  <si>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</si>
  <si>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</si>
  <si>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</si>
  <si>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</si>
  <si>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</si>
  <si>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</si>
  <si>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</si>
  <si>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</si>
  <si>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</si>
  <si>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Level</t>
  </si>
  <si>
    <t>Knowledge:  Religion</t>
  </si>
  <si>
    <t>Knowledge:  Dungeoneering</t>
  </si>
  <si>
    <t>Skill/Save</t>
  </si>
  <si>
    <t>Knowledge:  Archit./Engin.</t>
  </si>
  <si>
    <t>Knowledge:  History</t>
  </si>
  <si>
    <t>Flint &amp; Steel</t>
  </si>
  <si>
    <t>Initiative:</t>
  </si>
  <si>
    <t>Bludgeon</t>
  </si>
  <si>
    <t>Actual Speed:</t>
  </si>
  <si>
    <t>CLev</t>
  </si>
  <si>
    <t>Knowledge:  Nature</t>
  </si>
  <si>
    <t>Knowledge:  Nobility &amp; Royalty</t>
  </si>
  <si>
    <t>FF AC:</t>
  </si>
  <si>
    <t>30’</t>
  </si>
  <si>
    <t>Belt Pouch</t>
  </si>
  <si>
    <t>Backpack</t>
  </si>
  <si>
    <t>4</t>
  </si>
  <si>
    <t>8</t>
  </si>
  <si>
    <t>Range</t>
  </si>
  <si>
    <t>Duration</t>
  </si>
  <si>
    <t>Instant</t>
  </si>
  <si>
    <t>Personal</t>
  </si>
  <si>
    <t>Wands, Scrolls and Potions</t>
  </si>
  <si>
    <t>Grapple, Unarmed Strike</t>
  </si>
  <si>
    <t>x2</t>
  </si>
  <si>
    <t>Value</t>
  </si>
  <si>
    <t>Equity on this page:</t>
  </si>
  <si>
    <t>Total Equity:</t>
  </si>
  <si>
    <t>Silk Rope</t>
  </si>
  <si>
    <t>Fortitude</t>
  </si>
  <si>
    <t>Reflex</t>
  </si>
  <si>
    <t>% of 100-lb limit</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</si>
  <si>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</si>
  <si>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Craft:  [type]</t>
  </si>
  <si>
    <t>Perform:    [type]</t>
  </si>
  <si>
    <t>19-20, x2</t>
  </si>
  <si>
    <t>Prcg/Slsh</t>
  </si>
  <si>
    <t>Wealth Cap (10):</t>
  </si>
  <si>
    <t>?</t>
  </si>
  <si>
    <t>Profession:  Sailor</t>
  </si>
  <si>
    <t>Human</t>
  </si>
  <si>
    <t>Knowledge:  Geography</t>
  </si>
  <si>
    <t>Speak Language:  [type]</t>
  </si>
  <si>
    <t>24 hours</t>
  </si>
  <si>
    <t>Daggers (2)</t>
  </si>
  <si>
    <t>Explorer’s Outfit</t>
  </si>
  <si>
    <t>Periapt of Wisdom +4</t>
  </si>
  <si>
    <t>Headband of Intellect +2</t>
  </si>
  <si>
    <t>Gloves of Dexterity +2</t>
  </si>
  <si>
    <t>Sealing Wax</t>
  </si>
  <si>
    <t>Spell Component Pouch</t>
  </si>
  <si>
    <t>Vest of Resistance +2</t>
  </si>
  <si>
    <t>Metamagic Rod of Extend, lesser</t>
  </si>
  <si>
    <t>Map Case</t>
  </si>
  <si>
    <t>1d4</t>
  </si>
  <si>
    <t>Pearls of Power 1</t>
  </si>
  <si>
    <t>Pearl of Power 2</t>
  </si>
  <si>
    <t>Chalk</t>
  </si>
  <si>
    <t>Ink</t>
  </si>
  <si>
    <t>Inkpen</t>
  </si>
  <si>
    <t>Parchment</t>
  </si>
  <si>
    <t>Sewing Needle</t>
  </si>
  <si>
    <t>eight</t>
  </si>
  <si>
    <t>Daily Rations</t>
  </si>
  <si>
    <t>Extend up to 3 3rd-level or lower</t>
  </si>
  <si>
    <t>Waterskin</t>
  </si>
  <si>
    <t>Fishhook</t>
  </si>
  <si>
    <t>Holy Symbol</t>
  </si>
  <si>
    <t>Equipment Carried in Haversack</t>
  </si>
  <si>
    <t>Maps</t>
  </si>
  <si>
    <t>"Maximizing Upper Body Mass"</t>
  </si>
  <si>
    <t>"Tough Guy's Journal of Being Tough"</t>
  </si>
  <si>
    <t>"The Better Part of Valor"</t>
  </si>
  <si>
    <t>"The Quick and the Nimble"</t>
  </si>
  <si>
    <t>"How Not to Be Wrong: The Power of Mathematical Thinking"</t>
  </si>
  <si>
    <t>"How to Win Friends and Influence NPCs"</t>
  </si>
  <si>
    <t>Gold on Hand:</t>
  </si>
  <si>
    <t>AC:</t>
  </si>
  <si>
    <t>Deity:</t>
  </si>
  <si>
    <t>Rea</t>
  </si>
  <si>
    <t>Chaotic Good</t>
  </si>
  <si>
    <t>Warlock</t>
  </si>
  <si>
    <t>Female</t>
  </si>
  <si>
    <t>Played by Tim Swanson</t>
  </si>
  <si>
    <t>Sho</t>
  </si>
  <si>
    <t>Warlock 1</t>
  </si>
  <si>
    <t>Warlock 2</t>
  </si>
  <si>
    <t>Warlock 3</t>
  </si>
  <si>
    <t>Warlock 4</t>
  </si>
  <si>
    <t>Warlock 5</t>
  </si>
  <si>
    <t>Warlock 6</t>
  </si>
  <si>
    <t>Warlock 7</t>
  </si>
  <si>
    <t>Warlock 8</t>
  </si>
  <si>
    <t>Warlock 9</t>
  </si>
  <si>
    <t>Warlock 10</t>
  </si>
  <si>
    <t>+6 to Bluff, Diplomacy, and Intimidate</t>
  </si>
  <si>
    <t>S, 1</t>
  </si>
  <si>
    <t>Least</t>
  </si>
  <si>
    <t>Beguiling Influence</t>
  </si>
  <si>
    <t>n/a</t>
  </si>
  <si>
    <t>Eldritch Blast</t>
  </si>
  <si>
    <t>Properties</t>
  </si>
  <si>
    <t>Components &amp; Casting</t>
  </si>
  <si>
    <t>ESP</t>
  </si>
  <si>
    <t>Grade</t>
  </si>
  <si>
    <t>Invocations</t>
  </si>
  <si>
    <t>Warlock Features</t>
  </si>
  <si>
    <t>Human:  Improved Initiative</t>
  </si>
  <si>
    <t>1st:  Iron Will</t>
  </si>
  <si>
    <t>3rd:  Lightning Reflexes</t>
  </si>
  <si>
    <t>6th:  Persuasive</t>
  </si>
  <si>
    <t>9th:  Negotiator</t>
  </si>
  <si>
    <t>Charm</t>
  </si>
  <si>
    <t>Ghost Touch Spear +1</t>
  </si>
  <si>
    <t>1</t>
  </si>
  <si>
    <t>Piercing</t>
  </si>
  <si>
    <t>Ranged Touch Attack</t>
  </si>
  <si>
    <t>Mithral Shirt</t>
  </si>
  <si>
    <t>Simple Weapons, Light Armor</t>
  </si>
  <si>
    <t>Common, 2 more</t>
  </si>
  <si>
    <t>60’</t>
  </si>
  <si>
    <t>Detect Magic</t>
  </si>
  <si>
    <t>Deceive Item</t>
  </si>
  <si>
    <t>Fiendish Resilience 1</t>
  </si>
  <si>
    <t>Eldritch Blast 5d6</t>
  </si>
  <si>
    <t>5d6, x2 on 20</t>
  </si>
  <si>
    <t>Energy Resistance 5</t>
  </si>
  <si>
    <t>Damage Reduction 2/cold iron</t>
  </si>
  <si>
    <t>Invocation (least):  Beguiling Influence</t>
  </si>
  <si>
    <t>Invocation (lesser):  Charm</t>
  </si>
  <si>
    <t>Invocations, 6</t>
  </si>
  <si>
    <t>Save DC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</si>
</sst>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2">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indexed="57"/>
      <name val="Times New Roman"/>
      <family val="1"/>
    </font>
    <font>
      <sz val="12"/>
      <color theme="0"/>
      <name val="Times New Roman"/>
      <family val="1"/>
    </font>
    <font>
      <sz val="13"/>
      <color rgb="FFFF0000"/>
      <name val="Times New Roman"/>
      <family val="1"/>
    </font>
    <font>
      <b/>
      <i/>
      <sz val="13"/>
      <color indexed="17"/>
      <name val="Times New Roman"/>
      <family val="1"/>
    </font>
    <font>
      <sz val="13"/>
      <color indexed="20"/>
      <name val="Times New Roman"/>
      <family val="1"/>
    </font>
    <font>
      <sz val="13"/>
      <color rgb="FF6600CC"/>
      <name val="Times New Roman"/>
      <family val="1"/>
    </font>
    <font>
      <i/>
      <sz val="18"/>
      <color rgb="FF6600CC"/>
      <name val="Times New Roman"/>
      <family val="1"/>
    </font>
  </fonts>
  <fills count="1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indexed="46"/>
        <bgColor indexed="64"/>
      </patternFill>
    </fill>
    <fill>
      <patternFill patternType="solid">
        <fgColor rgb="FF6600CC"/>
        <bgColor indexed="64"/>
      </patternFill>
    </fill>
    <fill>
      <patternFill patternType="solid">
        <fgColor rgb="FFCC99FF"/>
        <bgColor indexed="64"/>
      </patternFill>
    </fill>
    <fill>
      <patternFill patternType="solid">
        <fgColor rgb="FFFFFF00"/>
        <bgColor indexed="64"/>
      </patternFill>
    </fill>
  </fills>
  <borders count="12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hair">
        <color indexed="64"/>
      </left>
      <right/>
      <top style="hair">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double">
        <color indexed="64"/>
      </right>
      <top/>
      <bottom style="hair">
        <color indexed="64"/>
      </bottom>
      <diagonal/>
    </border>
    <border>
      <left/>
      <right style="double">
        <color indexed="64"/>
      </right>
      <top style="medium">
        <color indexed="64"/>
      </top>
      <bottom style="thin">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bottom style="hair">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375">
    <xf numFmtId="0" fontId="0" fillId="0" borderId="0" xfId="0"/>
    <xf numFmtId="0" fontId="12" fillId="3" borderId="68"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9" borderId="35" xfId="0" applyNumberFormat="1" applyFont="1" applyFill="1" applyBorder="1" applyAlignment="1">
      <alignment horizontal="center" vertical="center" wrapText="1"/>
    </xf>
    <xf numFmtId="0" fontId="12" fillId="3" borderId="69" xfId="0" applyFont="1" applyFill="1" applyBorder="1" applyAlignment="1">
      <alignment horizontal="center" vertical="center"/>
    </xf>
    <xf numFmtId="0" fontId="4" fillId="0" borderId="0" xfId="0" applyFont="1" applyBorder="1" applyAlignment="1">
      <alignment vertical="center"/>
    </xf>
    <xf numFmtId="0" fontId="2" fillId="0" borderId="74" xfId="0" applyFont="1" applyFill="1" applyBorder="1" applyAlignment="1">
      <alignment horizontal="center" vertical="center"/>
    </xf>
    <xf numFmtId="0" fontId="2" fillId="0" borderId="74" xfId="0" quotePrefix="1" applyFont="1" applyFill="1" applyBorder="1" applyAlignment="1">
      <alignment horizontal="center" vertical="center" wrapText="1"/>
    </xf>
    <xf numFmtId="49" fontId="2" fillId="0" borderId="74" xfId="2" applyNumberFormat="1" applyFont="1" applyFill="1" applyBorder="1" applyAlignment="1">
      <alignment horizontal="center" vertical="center"/>
    </xf>
    <xf numFmtId="0" fontId="2" fillId="0" borderId="74" xfId="0" applyFont="1" applyFill="1" applyBorder="1" applyAlignment="1">
      <alignment horizontal="center" vertical="center" shrinkToFit="1"/>
    </xf>
    <xf numFmtId="164" fontId="2" fillId="0" borderId="74" xfId="0" applyNumberFormat="1" applyFont="1" applyFill="1" applyBorder="1" applyAlignment="1">
      <alignment horizontal="center" vertical="center"/>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5" fillId="0" borderId="78" xfId="0" quotePrefix="1" applyFont="1" applyFill="1" applyBorder="1" applyAlignment="1">
      <alignment horizontal="center" vertical="center" wrapText="1"/>
    </xf>
    <xf numFmtId="49" fontId="2" fillId="0" borderId="78" xfId="2" applyNumberFormat="1" applyFont="1" applyFill="1" applyBorder="1" applyAlignment="1">
      <alignment horizontal="center" vertical="center"/>
    </xf>
    <xf numFmtId="0" fontId="2" fillId="0" borderId="78" xfId="0" applyFont="1" applyFill="1" applyBorder="1" applyAlignment="1">
      <alignment horizontal="center" vertical="center" shrinkToFit="1"/>
    </xf>
    <xf numFmtId="164" fontId="2" fillId="0" borderId="78" xfId="0" applyNumberFormat="1" applyFont="1" applyFill="1" applyBorder="1" applyAlignment="1">
      <alignment horizontal="center" vertical="center"/>
    </xf>
    <xf numFmtId="0" fontId="2" fillId="0" borderId="76" xfId="0" quotePrefix="1" applyFont="1" applyBorder="1" applyAlignment="1">
      <alignment horizontal="center" vertical="center"/>
    </xf>
    <xf numFmtId="1" fontId="5" fillId="0" borderId="79" xfId="0" applyNumberFormat="1" applyFont="1" applyFill="1" applyBorder="1" applyAlignment="1">
      <alignment horizontal="center" vertical="center"/>
    </xf>
    <xf numFmtId="0" fontId="2" fillId="0" borderId="100" xfId="0" quotePrefix="1" applyFont="1" applyFill="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84" xfId="0" applyFont="1" applyBorder="1" applyAlignment="1">
      <alignment horizontal="center" vertical="center" shrinkToFit="1"/>
    </xf>
    <xf numFmtId="0" fontId="2" fillId="0" borderId="88"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6" xfId="0" applyFont="1" applyFill="1" applyBorder="1" applyAlignment="1">
      <alignment horizontal="center" vertical="center" shrinkToFit="1"/>
    </xf>
    <xf numFmtId="0" fontId="2" fillId="0" borderId="62"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5" xfId="0" applyFont="1" applyFill="1" applyBorder="1" applyAlignment="1">
      <alignment horizontal="center" vertical="center" shrinkToFit="1"/>
    </xf>
    <xf numFmtId="0" fontId="2" fillId="0" borderId="63"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4"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98" xfId="0" applyFont="1" applyFill="1" applyBorder="1" applyAlignment="1">
      <alignment horizontal="center" vertical="center" shrinkToFit="1"/>
    </xf>
    <xf numFmtId="0" fontId="2" fillId="0" borderId="89" xfId="0" applyFont="1" applyBorder="1" applyAlignment="1">
      <alignment horizontal="center" vertical="center" shrinkToFit="1"/>
    </xf>
    <xf numFmtId="164" fontId="5" fillId="0" borderId="89" xfId="0" applyNumberFormat="1" applyFont="1" applyBorder="1" applyAlignment="1">
      <alignment horizontal="center" vertical="center" shrinkToFit="1"/>
    </xf>
    <xf numFmtId="0" fontId="5" fillId="0" borderId="89" xfId="0" applyFont="1" applyBorder="1" applyAlignment="1">
      <alignment horizontal="left" vertical="center"/>
    </xf>
    <xf numFmtId="0" fontId="2" fillId="0" borderId="99" xfId="0" applyFont="1" applyBorder="1" applyAlignment="1">
      <alignment horizontal="left" vertical="center" shrinkToFit="1"/>
    </xf>
    <xf numFmtId="0" fontId="2" fillId="0" borderId="85"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6" fillId="9" borderId="22" xfId="0" applyFont="1" applyFill="1" applyBorder="1" applyAlignment="1">
      <alignment horizontal="center" vertical="center"/>
    </xf>
    <xf numFmtId="0" fontId="21" fillId="7" borderId="19" xfId="0" applyFont="1" applyFill="1" applyBorder="1" applyAlignment="1">
      <alignment horizontal="center" vertical="center"/>
    </xf>
    <xf numFmtId="1" fontId="47" fillId="9" borderId="79" xfId="0" applyNumberFormat="1" applyFont="1" applyFill="1" applyBorder="1" applyAlignment="1">
      <alignment horizontal="center" vertical="center"/>
    </xf>
    <xf numFmtId="1" fontId="2" fillId="0" borderId="79"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81"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78" xfId="0" quotePrefix="1" applyFont="1" applyFill="1" applyBorder="1" applyAlignment="1">
      <alignment horizontal="center" vertical="center"/>
    </xf>
    <xf numFmtId="164" fontId="2" fillId="0" borderId="79" xfId="0" applyNumberFormat="1" applyFont="1" applyFill="1" applyBorder="1" applyAlignment="1">
      <alignment horizontal="centerContinuous" vertical="center"/>
    </xf>
    <xf numFmtId="164" fontId="2" fillId="0" borderId="83" xfId="0" applyNumberFormat="1" applyFont="1" applyFill="1" applyBorder="1" applyAlignment="1">
      <alignment horizontal="centerContinuous" vertical="center"/>
    </xf>
    <xf numFmtId="0" fontId="5" fillId="0" borderId="80"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0" fontId="2" fillId="0" borderId="75" xfId="0" applyFont="1" applyFill="1" applyBorder="1" applyAlignment="1">
      <alignment horizontal="centerContinuous" vertical="center"/>
    </xf>
    <xf numFmtId="49" fontId="2" fillId="0" borderId="75" xfId="0" applyNumberFormat="1" applyFont="1" applyFill="1" applyBorder="1" applyAlignment="1">
      <alignment horizontal="center" vertical="center"/>
    </xf>
    <xf numFmtId="49" fontId="2" fillId="0" borderId="75" xfId="0" applyNumberFormat="1" applyFont="1" applyFill="1" applyBorder="1" applyAlignment="1">
      <alignment horizontal="centerContinuous" vertical="center"/>
    </xf>
    <xf numFmtId="49" fontId="2" fillId="0" borderId="92" xfId="0" applyNumberFormat="1" applyFont="1" applyFill="1" applyBorder="1" applyAlignment="1">
      <alignment horizontal="centerContinuous" vertical="center"/>
    </xf>
    <xf numFmtId="0" fontId="2" fillId="0" borderId="93" xfId="0" applyFont="1" applyFill="1" applyBorder="1" applyAlignment="1">
      <alignment horizontal="centerContinuous" vertical="center"/>
    </xf>
    <xf numFmtId="0" fontId="2" fillId="0" borderId="94" xfId="0" applyFont="1" applyFill="1" applyBorder="1" applyAlignment="1">
      <alignment horizontal="centerContinuous" vertical="center"/>
    </xf>
    <xf numFmtId="0" fontId="5" fillId="0" borderId="95" xfId="0" applyFont="1" applyFill="1" applyBorder="1" applyAlignment="1">
      <alignment horizontal="centerContinuous" vertical="center"/>
    </xf>
    <xf numFmtId="0" fontId="5" fillId="0" borderId="79" xfId="0" applyFont="1" applyFill="1" applyBorder="1" applyAlignment="1">
      <alignment horizontal="centerContinuous" vertical="center"/>
    </xf>
    <xf numFmtId="49" fontId="2" fillId="0" borderId="78" xfId="0" applyNumberFormat="1" applyFont="1" applyFill="1" applyBorder="1" applyAlignment="1">
      <alignment horizontal="center" vertical="center"/>
    </xf>
    <xf numFmtId="49" fontId="2" fillId="0" borderId="79" xfId="0" applyNumberFormat="1" applyFont="1" applyFill="1" applyBorder="1" applyAlignment="1">
      <alignment horizontal="centerContinuous" vertical="center"/>
    </xf>
    <xf numFmtId="49" fontId="2" fillId="0" borderId="83" xfId="0" applyNumberFormat="1" applyFont="1" applyFill="1" applyBorder="1" applyAlignment="1">
      <alignment horizontal="centerContinuous" vertical="center"/>
    </xf>
    <xf numFmtId="0" fontId="21" fillId="7" borderId="86" xfId="0" applyFont="1" applyFill="1" applyBorder="1" applyAlignment="1">
      <alignment horizontal="center" vertical="center"/>
    </xf>
    <xf numFmtId="0" fontId="21" fillId="7" borderId="87"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9"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7" xfId="0" applyFont="1" applyFill="1" applyBorder="1" applyAlignment="1">
      <alignment vertical="center"/>
    </xf>
    <xf numFmtId="0" fontId="6" fillId="0" borderId="58" xfId="0" applyFont="1" applyFill="1" applyBorder="1" applyAlignment="1">
      <alignment horizontal="center" vertical="center"/>
    </xf>
    <xf numFmtId="0" fontId="7" fillId="0" borderId="58" xfId="0" applyFont="1" applyFill="1" applyBorder="1" applyAlignment="1">
      <alignment horizontal="center" vertical="center"/>
    </xf>
    <xf numFmtId="0" fontId="44" fillId="0" borderId="58" xfId="0" applyFont="1" applyFill="1" applyBorder="1" applyAlignment="1">
      <alignment horizontal="center" vertical="center" wrapText="1"/>
    </xf>
    <xf numFmtId="1" fontId="7" fillId="0" borderId="58" xfId="0" applyNumberFormat="1" applyFont="1" applyFill="1" applyBorder="1" applyAlignment="1">
      <alignment horizontal="center" vertical="center" wrapText="1"/>
    </xf>
    <xf numFmtId="0" fontId="45" fillId="9" borderId="58" xfId="0" applyNumberFormat="1" applyFont="1" applyFill="1" applyBorder="1" applyAlignment="1">
      <alignment horizontal="center" vertical="center"/>
    </xf>
    <xf numFmtId="49" fontId="7" fillId="0" borderId="58"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9"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0" xfId="0" applyFont="1" applyFill="1" applyBorder="1" applyAlignment="1">
      <alignment horizontal="right" vertical="center"/>
    </xf>
    <xf numFmtId="0" fontId="43" fillId="2" borderId="61" xfId="0" applyFont="1" applyFill="1" applyBorder="1" applyAlignment="1">
      <alignment horizontal="left" vertical="center"/>
    </xf>
    <xf numFmtId="0" fontId="20" fillId="2" borderId="61" xfId="0" applyFont="1" applyFill="1" applyBorder="1" applyAlignment="1">
      <alignment horizontal="left" vertical="center"/>
    </xf>
    <xf numFmtId="0" fontId="4" fillId="2" borderId="61" xfId="0" applyFont="1" applyFill="1" applyBorder="1" applyAlignment="1">
      <alignment horizontal="centerContinuous" vertical="center"/>
    </xf>
    <xf numFmtId="0" fontId="5" fillId="2" borderId="61" xfId="0" applyFont="1" applyFill="1" applyBorder="1" applyAlignment="1">
      <alignment horizontal="centerContinuous" vertical="center"/>
    </xf>
    <xf numFmtId="0" fontId="35" fillId="2" borderId="101"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4" xfId="0" applyFont="1" applyFill="1" applyBorder="1" applyAlignment="1">
      <alignment horizontal="right" vertical="center"/>
    </xf>
    <xf numFmtId="0" fontId="6" fillId="4" borderId="96" xfId="0" applyFont="1" applyFill="1" applyBorder="1" applyAlignment="1">
      <alignment horizontal="right" vertical="center"/>
    </xf>
    <xf numFmtId="49" fontId="7" fillId="0" borderId="66"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97" xfId="0" applyFont="1" applyBorder="1" applyAlignment="1">
      <alignment horizontal="centerContinuous" vertical="center"/>
    </xf>
    <xf numFmtId="0" fontId="48"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103" xfId="0" applyFont="1" applyFill="1" applyBorder="1" applyAlignment="1">
      <alignment horizontal="centerContinuous" vertical="center" shrinkToFit="1"/>
    </xf>
    <xf numFmtId="0" fontId="21" fillId="0" borderId="104" xfId="0" applyFont="1" applyFill="1" applyBorder="1" applyAlignment="1">
      <alignment horizontal="centerContinuous" vertical="center"/>
    </xf>
    <xf numFmtId="0" fontId="2" fillId="0" borderId="105" xfId="0" applyFont="1" applyFill="1" applyBorder="1" applyAlignment="1">
      <alignment horizontal="center"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2" fillId="0" borderId="94" xfId="0" applyFont="1" applyFill="1" applyBorder="1" applyAlignment="1">
      <alignment horizontal="centerContinuous" vertical="center" shrinkToFit="1"/>
    </xf>
    <xf numFmtId="0" fontId="21" fillId="0" borderId="83" xfId="0" applyFont="1" applyFill="1" applyBorder="1" applyAlignment="1">
      <alignment horizontal="centerContinuous" vertical="center"/>
    </xf>
    <xf numFmtId="0" fontId="2" fillId="0" borderId="79" xfId="0" applyFont="1" applyFill="1" applyBorder="1" applyAlignment="1">
      <alignment horizontal="centerContinuous" vertical="center"/>
    </xf>
    <xf numFmtId="0" fontId="2" fillId="0" borderId="80" xfId="0" applyFont="1" applyFill="1" applyBorder="1" applyAlignment="1">
      <alignment horizontal="centerContinuous" vertical="center"/>
    </xf>
    <xf numFmtId="1" fontId="5" fillId="0" borderId="106" xfId="0" applyNumberFormat="1" applyFont="1" applyFill="1" applyBorder="1" applyAlignment="1">
      <alignment horizontal="center" vertical="center"/>
    </xf>
    <xf numFmtId="1" fontId="47" fillId="9" borderId="106" xfId="0" applyNumberFormat="1" applyFont="1" applyFill="1" applyBorder="1" applyAlignment="1">
      <alignment horizontal="center" vertical="center"/>
    </xf>
    <xf numFmtId="1" fontId="2" fillId="0" borderId="106"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70"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73" xfId="0" applyFont="1" applyFill="1" applyBorder="1" applyAlignment="1">
      <alignment horizontal="center" vertical="center"/>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52" fillId="0" borderId="1" xfId="0" applyFont="1" applyFill="1" applyBorder="1" applyAlignment="1">
      <alignment vertical="center"/>
    </xf>
    <xf numFmtId="0" fontId="6" fillId="0" borderId="25" xfId="0" applyFont="1" applyFill="1" applyBorder="1" applyAlignment="1">
      <alignment horizontal="center" vertical="center"/>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3" fillId="0" borderId="1" xfId="0" applyFont="1" applyFill="1" applyBorder="1" applyAlignment="1">
      <alignment vertical="center"/>
    </xf>
    <xf numFmtId="0" fontId="7" fillId="0" borderId="59"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82"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02"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41" fillId="0" borderId="31" xfId="0" applyFont="1" applyFill="1" applyBorder="1" applyAlignment="1">
      <alignment horizontal="centerContinuous" vertical="center"/>
    </xf>
    <xf numFmtId="0" fontId="54" fillId="0" borderId="31" xfId="0" applyFont="1" applyBorder="1" applyAlignment="1">
      <alignment horizontal="centerContinuous" vertical="center" wrapText="1"/>
    </xf>
    <xf numFmtId="0" fontId="55" fillId="0" borderId="31" xfId="0" applyFont="1" applyFill="1" applyBorder="1" applyAlignment="1">
      <alignment horizontal="centerContinuous" vertical="center" wrapText="1"/>
    </xf>
    <xf numFmtId="0" fontId="7" fillId="0" borderId="27" xfId="0" quotePrefix="1" applyFont="1" applyFill="1" applyBorder="1" applyAlignment="1">
      <alignment horizontal="center" vertical="center"/>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45" fillId="9" borderId="13" xfId="0" applyNumberFormat="1"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9" fontId="2" fillId="0" borderId="0" xfId="2" applyFont="1" applyBorder="1" applyAlignment="1">
      <alignment horizontal="center"/>
    </xf>
    <xf numFmtId="164" fontId="2" fillId="0" borderId="13"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5" fillId="0" borderId="0" xfId="0" applyFont="1" applyFill="1" applyBorder="1" applyAlignment="1">
      <alignment horizontal="center" vertical="center"/>
    </xf>
    <xf numFmtId="1" fontId="47" fillId="9" borderId="71" xfId="0" applyNumberFormat="1" applyFont="1" applyFill="1" applyBorder="1" applyAlignment="1">
      <alignment horizontal="center" vertical="center"/>
    </xf>
    <xf numFmtId="1" fontId="47" fillId="9" borderId="78" xfId="0" applyNumberFormat="1" applyFont="1" applyFill="1" applyBorder="1" applyAlignment="1">
      <alignment horizontal="center" vertical="center"/>
    </xf>
    <xf numFmtId="0" fontId="56" fillId="11" borderId="108" xfId="0" applyFont="1" applyFill="1" applyBorder="1" applyAlignment="1">
      <alignment horizontal="center" vertical="center"/>
    </xf>
    <xf numFmtId="0" fontId="56" fillId="11" borderId="71" xfId="0" applyFont="1" applyFill="1" applyBorder="1" applyAlignment="1">
      <alignment horizontal="center" vertical="center"/>
    </xf>
    <xf numFmtId="0" fontId="56" fillId="11" borderId="71" xfId="0" quotePrefix="1" applyFont="1" applyFill="1" applyBorder="1" applyAlignment="1">
      <alignment horizontal="center" vertical="center" wrapText="1"/>
    </xf>
    <xf numFmtId="49" fontId="56" fillId="11" borderId="71" xfId="2" applyNumberFormat="1" applyFont="1" applyFill="1" applyBorder="1" applyAlignment="1">
      <alignment horizontal="center" vertical="center"/>
    </xf>
    <xf numFmtId="0" fontId="56" fillId="11" borderId="71" xfId="0" applyFont="1" applyFill="1" applyBorder="1" applyAlignment="1">
      <alignment horizontal="center" vertical="center" shrinkToFit="1"/>
    </xf>
    <xf numFmtId="164" fontId="56" fillId="11" borderId="71" xfId="0" applyNumberFormat="1" applyFont="1" applyFill="1" applyBorder="1" applyAlignment="1">
      <alignment horizontal="center" vertical="center"/>
    </xf>
    <xf numFmtId="1" fontId="56" fillId="11" borderId="72" xfId="0" applyNumberFormat="1" applyFont="1" applyFill="1" applyBorder="1" applyAlignment="1">
      <alignment horizontal="center" vertical="center"/>
    </xf>
    <xf numFmtId="0" fontId="56" fillId="11" borderId="109" xfId="0" quotePrefix="1" applyFont="1" applyFill="1" applyBorder="1" applyAlignment="1">
      <alignment horizontal="center" vertical="center"/>
    </xf>
    <xf numFmtId="1" fontId="56" fillId="11" borderId="34" xfId="0" applyNumberFormat="1" applyFont="1" applyFill="1" applyBorder="1" applyAlignment="1">
      <alignment horizontal="center" vertical="center"/>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7"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0" fontId="2" fillId="0" borderId="45" xfId="0" applyFont="1" applyFill="1" applyBorder="1" applyAlignment="1">
      <alignment horizontal="center" vertical="center" shrinkToFit="1"/>
    </xf>
    <xf numFmtId="9" fontId="2" fillId="0" borderId="78" xfId="0" applyNumberFormat="1" applyFont="1" applyFill="1" applyBorder="1" applyAlignment="1">
      <alignment horizontal="center" vertical="center"/>
    </xf>
    <xf numFmtId="164" fontId="2" fillId="0" borderId="89" xfId="0" applyNumberFormat="1" applyFont="1" applyBorder="1" applyAlignment="1">
      <alignment horizontal="center" vertical="center" shrinkToFit="1"/>
    </xf>
    <xf numFmtId="0" fontId="2" fillId="0" borderId="111" xfId="0" applyFont="1" applyBorder="1" applyAlignment="1">
      <alignment horizontal="left" vertical="center"/>
    </xf>
    <xf numFmtId="1" fontId="2" fillId="0" borderId="110" xfId="0" applyNumberFormat="1" applyFont="1" applyBorder="1" applyAlignment="1">
      <alignment horizontal="center" vertical="center" shrinkToFit="1"/>
    </xf>
    <xf numFmtId="165" fontId="2" fillId="0" borderId="0" xfId="0" applyNumberFormat="1" applyFont="1" applyBorder="1" applyAlignment="1">
      <alignment vertical="center"/>
    </xf>
    <xf numFmtId="0" fontId="7" fillId="0" borderId="65" xfId="0" applyNumberFormat="1" applyFont="1" applyFill="1" applyBorder="1" applyAlignment="1">
      <alignment horizontal="centerContinuous" vertical="center"/>
    </xf>
    <xf numFmtId="0" fontId="2" fillId="0" borderId="67" xfId="0" applyNumberFormat="1" applyFont="1" applyFill="1" applyBorder="1" applyAlignment="1">
      <alignment horizontal="centerContinuous" vertical="center"/>
    </xf>
    <xf numFmtId="0" fontId="15" fillId="0" borderId="0" xfId="0" applyFont="1" applyBorder="1" applyAlignment="1">
      <alignment horizontal="centerContinuous" wrapText="1"/>
    </xf>
    <xf numFmtId="0" fontId="2" fillId="0" borderId="0" xfId="0" applyFont="1" applyBorder="1" applyAlignment="1">
      <alignment wrapText="1"/>
    </xf>
    <xf numFmtId="0" fontId="4" fillId="0" borderId="0" xfId="0" applyFont="1" applyBorder="1" applyAlignment="1">
      <alignment wrapText="1"/>
    </xf>
    <xf numFmtId="0" fontId="4" fillId="0" borderId="0" xfId="0" applyFont="1" applyBorder="1" applyAlignment="1">
      <alignment horizontal="right" wrapText="1"/>
    </xf>
    <xf numFmtId="0" fontId="2" fillId="0" borderId="0" xfId="0" applyFont="1" applyBorder="1" applyAlignment="1">
      <alignment horizontal="left" wrapText="1"/>
    </xf>
    <xf numFmtId="0" fontId="22" fillId="6" borderId="1" xfId="0" applyFont="1" applyFill="1" applyBorder="1" applyAlignment="1">
      <alignment vertical="center"/>
    </xf>
    <xf numFmtId="49" fontId="2" fillId="0" borderId="0" xfId="0" applyNumberFormat="1" applyFont="1" applyBorder="1" applyAlignment="1">
      <alignment horizontal="center" vertical="center"/>
    </xf>
    <xf numFmtId="1" fontId="7" fillId="0" borderId="28" xfId="0" applyNumberFormat="1" applyFont="1" applyFill="1" applyBorder="1" applyAlignment="1">
      <alignment horizontal="center" vertical="center"/>
    </xf>
    <xf numFmtId="0" fontId="57" fillId="0" borderId="34" xfId="0" applyFont="1" applyFill="1" applyBorder="1" applyAlignment="1">
      <alignment horizontal="centerContinuous" vertical="center"/>
    </xf>
    <xf numFmtId="0" fontId="57" fillId="0" borderId="47" xfId="0" applyFont="1" applyFill="1" applyBorder="1" applyAlignment="1">
      <alignment horizontal="centerContinuous" vertical="center"/>
    </xf>
    <xf numFmtId="0" fontId="5" fillId="0" borderId="0" xfId="0" applyFont="1" applyBorder="1" applyAlignment="1">
      <alignment horizontal="right" vertical="center"/>
    </xf>
    <xf numFmtId="0" fontId="2" fillId="0" borderId="89" xfId="0" applyFont="1" applyBorder="1" applyAlignment="1">
      <alignment horizontal="left" vertical="center"/>
    </xf>
    <xf numFmtId="0" fontId="2" fillId="0" borderId="116" xfId="0" applyFont="1" applyBorder="1" applyAlignment="1">
      <alignment horizontal="center" vertical="center" shrinkToFit="1"/>
    </xf>
    <xf numFmtId="0" fontId="2" fillId="0" borderId="117" xfId="0" applyFont="1" applyBorder="1" applyAlignment="1">
      <alignment horizontal="center" vertical="center" shrinkToFit="1"/>
    </xf>
    <xf numFmtId="164" fontId="2" fillId="0" borderId="118" xfId="0" applyNumberFormat="1" applyFont="1" applyBorder="1" applyAlignment="1">
      <alignment horizontal="center" vertical="center" shrinkToFit="1"/>
    </xf>
    <xf numFmtId="0" fontId="5" fillId="0" borderId="118" xfId="0" applyFont="1" applyBorder="1" applyAlignment="1">
      <alignment horizontal="left" vertical="center"/>
    </xf>
    <xf numFmtId="0" fontId="5" fillId="0" borderId="119" xfId="0" applyFont="1" applyBorder="1" applyAlignment="1">
      <alignment horizontal="left" vertical="center" shrinkToFit="1"/>
    </xf>
    <xf numFmtId="1" fontId="2" fillId="0" borderId="70" xfId="0" applyNumberFormat="1" applyFont="1" applyBorder="1" applyAlignment="1">
      <alignment horizontal="center" vertical="center" shrinkToFit="1"/>
    </xf>
    <xf numFmtId="0" fontId="2" fillId="0" borderId="0" xfId="0" applyFont="1" applyBorder="1" applyAlignment="1">
      <alignment horizontal="right" vertical="center"/>
    </xf>
    <xf numFmtId="1" fontId="7" fillId="0" borderId="12" xfId="0" applyNumberFormat="1" applyFont="1" applyFill="1" applyBorder="1" applyAlignment="1">
      <alignment horizontal="center" vertical="center"/>
    </xf>
    <xf numFmtId="0" fontId="2" fillId="0" borderId="120" xfId="0" applyFont="1" applyFill="1" applyBorder="1" applyAlignment="1">
      <alignment horizontal="center" vertical="center"/>
    </xf>
    <xf numFmtId="0" fontId="2" fillId="0" borderId="105" xfId="0" quotePrefix="1" applyFont="1" applyFill="1" applyBorder="1" applyAlignment="1">
      <alignment horizontal="center" vertical="center" wrapText="1"/>
    </xf>
    <xf numFmtId="49" fontId="2" fillId="0" borderId="105" xfId="2" applyNumberFormat="1" applyFont="1" applyFill="1" applyBorder="1" applyAlignment="1">
      <alignment horizontal="center" vertical="center"/>
    </xf>
    <xf numFmtId="0" fontId="2" fillId="0" borderId="105" xfId="0" applyFont="1" applyFill="1" applyBorder="1" applyAlignment="1">
      <alignment horizontal="center" vertical="center" shrinkToFit="1"/>
    </xf>
    <xf numFmtId="164" fontId="2" fillId="0" borderId="105" xfId="0" applyNumberFormat="1" applyFont="1" applyFill="1" applyBorder="1" applyAlignment="1">
      <alignment horizontal="center" vertical="center"/>
    </xf>
    <xf numFmtId="0" fontId="2" fillId="0" borderId="114" xfId="0" quotePrefix="1" applyFont="1" applyBorder="1" applyAlignment="1">
      <alignment horizontal="center" vertical="center"/>
    </xf>
    <xf numFmtId="0" fontId="3" fillId="0" borderId="0" xfId="0" applyFont="1" applyBorder="1" applyAlignment="1">
      <alignment horizontal="centerContinuous"/>
    </xf>
    <xf numFmtId="0" fontId="6" fillId="8" borderId="1" xfId="0" applyFont="1" applyFill="1" applyBorder="1" applyAlignment="1">
      <alignment horizontal="right" vertical="center"/>
    </xf>
    <xf numFmtId="0" fontId="7" fillId="8" borderId="0" xfId="0" applyFont="1" applyFill="1" applyBorder="1" applyAlignment="1">
      <alignment horizontal="centerContinuous" vertical="center"/>
    </xf>
    <xf numFmtId="0" fontId="6" fillId="8" borderId="0" xfId="0" applyFont="1" applyFill="1" applyBorder="1" applyAlignment="1">
      <alignment horizontal="right" vertical="center"/>
    </xf>
    <xf numFmtId="0" fontId="7" fillId="8" borderId="0" xfId="0" applyFont="1" applyFill="1" applyBorder="1" applyAlignment="1">
      <alignment horizontal="center" vertical="center"/>
    </xf>
    <xf numFmtId="0" fontId="7" fillId="12" borderId="24" xfId="0" quotePrefix="1" applyFont="1" applyFill="1" applyBorder="1" applyAlignment="1">
      <alignment horizontal="center" vertical="center"/>
    </xf>
    <xf numFmtId="0" fontId="7" fillId="0" borderId="0" xfId="0" applyNumberFormat="1" applyFont="1" applyFill="1" applyBorder="1" applyAlignment="1">
      <alignment wrapText="1"/>
    </xf>
    <xf numFmtId="9" fontId="7" fillId="0" borderId="0" xfId="2" applyFont="1" applyFill="1" applyBorder="1" applyAlignment="1">
      <alignment horizontal="center" wrapText="1"/>
    </xf>
    <xf numFmtId="0" fontId="7" fillId="0" borderId="0" xfId="0" applyFont="1" applyFill="1" applyBorder="1" applyAlignment="1">
      <alignment horizontal="center" wrapText="1"/>
    </xf>
    <xf numFmtId="0" fontId="58" fillId="0" borderId="0" xfId="0" applyFont="1" applyFill="1" applyBorder="1" applyAlignment="1">
      <alignment wrapText="1"/>
    </xf>
    <xf numFmtId="0" fontId="7" fillId="0" borderId="33" xfId="0" quotePrefix="1" applyNumberFormat="1" applyFont="1" applyBorder="1" applyAlignment="1">
      <alignment horizontal="center" vertical="center" wrapText="1"/>
    </xf>
    <xf numFmtId="0" fontId="7" fillId="0" borderId="46" xfId="2" applyNumberFormat="1" applyFont="1" applyBorder="1" applyAlignment="1">
      <alignment horizontal="center" vertical="center" shrinkToFit="1"/>
    </xf>
    <xf numFmtId="9" fontId="7" fillId="0" borderId="46" xfId="2" applyFont="1" applyBorder="1" applyAlignment="1">
      <alignment horizontal="center" vertical="center" shrinkToFit="1"/>
    </xf>
    <xf numFmtId="0" fontId="7" fillId="0" borderId="44" xfId="2" applyNumberFormat="1" applyFont="1" applyBorder="1" applyAlignment="1">
      <alignment horizontal="center" vertical="center" shrinkToFit="1"/>
    </xf>
    <xf numFmtId="0" fontId="7" fillId="0" borderId="44" xfId="0" applyFont="1" applyBorder="1" applyAlignment="1">
      <alignment horizontal="center" vertical="center" wrapText="1"/>
    </xf>
    <xf numFmtId="0" fontId="59" fillId="0" borderId="8" xfId="0" applyFont="1" applyBorder="1" applyAlignment="1">
      <alignment horizontal="center" vertical="center" shrinkToFit="1"/>
    </xf>
    <xf numFmtId="49" fontId="7" fillId="0" borderId="27" xfId="0" applyNumberFormat="1" applyFont="1" applyBorder="1" applyAlignment="1">
      <alignment horizontal="center" vertical="center" wrapText="1"/>
    </xf>
    <xf numFmtId="0" fontId="7" fillId="0" borderId="25" xfId="0" applyNumberFormat="1" applyFont="1" applyBorder="1" applyAlignment="1">
      <alignment horizontal="center" vertical="center" shrinkToFit="1"/>
    </xf>
    <xf numFmtId="0" fontId="7" fillId="0" borderId="25" xfId="0" applyFont="1" applyBorder="1" applyAlignment="1">
      <alignment horizontal="center" vertical="center" wrapText="1"/>
    </xf>
    <xf numFmtId="0" fontId="59" fillId="0" borderId="1" xfId="0" applyFont="1" applyBorder="1" applyAlignment="1">
      <alignment horizontal="center" vertical="center" shrinkToFit="1"/>
    </xf>
    <xf numFmtId="0" fontId="12" fillId="10" borderId="115" xfId="0" applyFont="1" applyFill="1" applyBorder="1" applyAlignment="1">
      <alignment horizontal="centerContinuous" wrapText="1"/>
    </xf>
    <xf numFmtId="0" fontId="12" fillId="10" borderId="113" xfId="0" applyFont="1" applyFill="1" applyBorder="1" applyAlignment="1">
      <alignment horizontal="center" wrapText="1"/>
    </xf>
    <xf numFmtId="0" fontId="21" fillId="10" borderId="113" xfId="0" applyFont="1" applyFill="1" applyBorder="1" applyAlignment="1">
      <alignment horizontal="center" wrapText="1"/>
    </xf>
    <xf numFmtId="0" fontId="12" fillId="10" borderId="112" xfId="0" applyFont="1" applyFill="1" applyBorder="1" applyAlignment="1">
      <alignment horizontal="centerContinuous" wrapText="1"/>
    </xf>
    <xf numFmtId="0" fontId="50" fillId="0" borderId="23" xfId="0" applyFont="1" applyBorder="1" applyAlignment="1">
      <alignment horizontal="centerContinuous" wrapText="1"/>
    </xf>
    <xf numFmtId="0" fontId="39" fillId="0" borderId="47" xfId="0" applyFont="1" applyFill="1" applyBorder="1" applyAlignment="1">
      <alignment horizontal="center" vertical="center" shrinkToFit="1"/>
    </xf>
    <xf numFmtId="0" fontId="57" fillId="0" borderId="34" xfId="0" applyFont="1" applyFill="1" applyBorder="1" applyAlignment="1">
      <alignment horizontal="centerContinuous" vertical="center" shrinkToFit="1"/>
    </xf>
    <xf numFmtId="0" fontId="57" fillId="0" borderId="34" xfId="0" applyFont="1" applyFill="1" applyBorder="1" applyAlignment="1">
      <alignment horizontal="center" vertical="center" shrinkToFit="1"/>
    </xf>
    <xf numFmtId="0" fontId="2" fillId="0" borderId="100" xfId="0" applyFont="1" applyFill="1" applyBorder="1" applyAlignment="1">
      <alignment horizontal="center" vertical="center"/>
    </xf>
    <xf numFmtId="0" fontId="7" fillId="13" borderId="54" xfId="0" applyFont="1" applyFill="1" applyBorder="1" applyAlignment="1">
      <alignment horizontal="centerContinuous" vertical="center"/>
    </xf>
    <xf numFmtId="0" fontId="7" fillId="13" borderId="47" xfId="0" applyFont="1" applyFill="1" applyBorder="1" applyAlignment="1">
      <alignment horizontal="centerContinuous" vertical="center"/>
    </xf>
    <xf numFmtId="0" fontId="60" fillId="0" borderId="34" xfId="0" applyFont="1" applyFill="1" applyBorder="1" applyAlignment="1">
      <alignment horizontal="center" vertical="center" shrinkToFit="1"/>
    </xf>
    <xf numFmtId="0" fontId="60" fillId="0" borderId="55" xfId="0" applyFont="1" applyFill="1" applyBorder="1" applyAlignment="1">
      <alignment horizontal="center" vertical="center" shrinkToFit="1"/>
    </xf>
    <xf numFmtId="0" fontId="61" fillId="0" borderId="31" xfId="0" applyFont="1" applyBorder="1" applyAlignment="1">
      <alignment horizontal="centerContinuous" vertical="center"/>
    </xf>
    <xf numFmtId="0" fontId="7" fillId="12" borderId="58" xfId="0" applyFont="1" applyFill="1" applyBorder="1" applyAlignment="1">
      <alignment horizontal="center" vertical="center" wrapText="1"/>
    </xf>
    <xf numFmtId="49" fontId="7" fillId="0" borderId="26" xfId="2" applyNumberFormat="1" applyFont="1" applyBorder="1" applyAlignment="1">
      <alignment horizontal="center" vertical="center" shrinkToFit="1"/>
    </xf>
    <xf numFmtId="49" fontId="7" fillId="0" borderId="46" xfId="2" applyNumberFormat="1" applyFont="1" applyBorder="1" applyAlignment="1">
      <alignment horizontal="center" vertical="center" shrinkToFit="1"/>
    </xf>
  </cellXfs>
  <cellStyles count="12">
    <cellStyle name="Excel Built-in Normal" xfId="6"/>
    <cellStyle name="Hyperlink" xfId="1" builtinId="8"/>
    <cellStyle name="Normal" xfId="0" builtinId="0"/>
    <cellStyle name="Normal 2" xfId="4"/>
    <cellStyle name="Normal 2 2" xfId="5"/>
    <cellStyle name="Normal 2 3" xfId="11"/>
    <cellStyle name="Normal 3" xfId="8"/>
    <cellStyle name="Normal 4" xfId="9"/>
    <cellStyle name="Normal 5" xfId="7"/>
    <cellStyle name="Percent" xfId="2" builtinId="5"/>
    <cellStyle name="Percent 2" xfId="3"/>
    <cellStyle name="Percent 2 2" xfId="10"/>
  </cellStyles>
  <dxfs count="11">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99FF"/>
      <color rgb="FF6600CC"/>
      <color rgb="FF0000FF"/>
      <color rgb="FF9999FF"/>
      <color rgb="FFCCFFCC"/>
      <color rgb="FF00FF99"/>
      <color rgb="FF00FF00"/>
      <color rgb="FF009900"/>
      <color rgb="FF00CC66"/>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53340</xdr:colOff>
      <xdr:row>9</xdr:row>
      <xdr:rowOff>76200</xdr:rowOff>
    </xdr:from>
    <xdr:to>
      <xdr:col>6</xdr:col>
      <xdr:colOff>1234440</xdr:colOff>
      <xdr:row>12</xdr:row>
      <xdr:rowOff>160020</xdr:rowOff>
    </xdr:to>
    <xdr:sp macro="" textlink="">
      <xdr:nvSpPr>
        <xdr:cNvPr id="1084" name="Text Box 60"/>
        <xdr:cNvSpPr txBox="1">
          <a:spLocks noChangeArrowheads="1"/>
        </xdr:cNvSpPr>
      </xdr:nvSpPr>
      <xdr:spPr bwMode="auto">
        <a:xfrm>
          <a:off x="4107180" y="2407920"/>
          <a:ext cx="2301240" cy="7239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Damage Reduction 2/cold iron</a:t>
          </a:r>
        </a:p>
      </xdr:txBody>
    </xdr:sp>
    <xdr:clientData/>
  </xdr:twoCellAnchor>
  <xdr:twoCellAnchor>
    <xdr:from>
      <xdr:col>0</xdr:col>
      <xdr:colOff>38100</xdr:colOff>
      <xdr:row>13</xdr:row>
      <xdr:rowOff>60960</xdr:rowOff>
    </xdr:from>
    <xdr:to>
      <xdr:col>6</xdr:col>
      <xdr:colOff>1257300</xdr:colOff>
      <xdr:row>37</xdr:row>
      <xdr:rowOff>175260</xdr:rowOff>
    </xdr:to>
    <xdr:sp macro="" textlink="">
      <xdr:nvSpPr>
        <xdr:cNvPr id="2" name="TextBox 1"/>
        <xdr:cNvSpPr txBox="1"/>
      </xdr:nvSpPr>
      <xdr:spPr>
        <a:xfrm>
          <a:off x="38100" y="3253740"/>
          <a:ext cx="6393180" cy="2682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solidFill>
                <a:schemeClr val="dk1"/>
              </a:solidFill>
              <a:effectLst/>
              <a:latin typeface="Times New Roman" panose="02020603050405020304" pitchFamily="18" charset="0"/>
              <a:ea typeface="+mn-ea"/>
              <a:cs typeface="Times New Roman" panose="02020603050405020304" pitchFamily="18" charset="0"/>
            </a:rPr>
            <a:t>Physical Description:  </a:t>
          </a:r>
          <a:r>
            <a:rPr lang="en-US" sz="1200">
              <a:solidFill>
                <a:schemeClr val="dk1"/>
              </a:solidFill>
              <a:effectLst/>
              <a:latin typeface="Times New Roman" panose="02020603050405020304" pitchFamily="18" charset="0"/>
              <a:ea typeface="+mn-ea"/>
              <a:cs typeface="Times New Roman" panose="02020603050405020304" pitchFamily="18" charset="0"/>
            </a:rPr>
            <a:t>About 20 years old Rea stands 5’ 11” and weighs in at a solidly muscled 170 lbs.  Her hair was tightly braided so not to give any opponent something to use against her, but when let it down it flowed in a rich auburn wave over her shoulders.  Her eyes were a dark brown that could be warm or cold, soft or hard, depending on her mood.</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 </a:t>
          </a: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History:  </a:t>
          </a:r>
          <a:r>
            <a:rPr lang="en-US" sz="1200">
              <a:solidFill>
                <a:schemeClr val="dk1"/>
              </a:solidFill>
              <a:effectLst/>
              <a:latin typeface="Times New Roman" panose="02020603050405020304" pitchFamily="18" charset="0"/>
              <a:ea typeface="+mn-ea"/>
              <a:cs typeface="Times New Roman" panose="02020603050405020304" pitchFamily="18" charset="0"/>
            </a:rPr>
            <a:t>Rea Sho was born on a small farm out in the middle of the armpit of a backwater frontier.  She knew there must be more to life than this. Every night she’d lay on her back, staring up at the endless spread of stars and sky.  Every night she’d feel herself fall into that immense sea of stars. Shortly after her sixteenth birthday she thought she started hearing something call back to her from that unending night sky, a kind of subtle song that whispered power.  As she grew older the voice had gotten clearer and clearer until she one night she heard not the song of the stars but the screams from her home.  As she cleared the trees she saw the little log cabin she called home was up in flame. Her parents and siblings bodies scattered around the yard like broken scarecrows.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Seeing a strangely dressed raider laughing as he pawed through her family’s bodies and the sky song exploded through soul and filled her with power.  Throwing her hands forward as if she was pushing something away a visible shock-wave ripped toward the raider, smashing into him and knocking him down.  Running up to him, Rea grabbed up a fallen spear and plunged it into her family’s killer.</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 </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Hours later, Rea was standing outside the ruins of her home looking at the three new graves she’d just finished filling. In her hand was an amulet that the raider was wearing. She hoped that it would lead her to some answers.  Why was this raider here? What was he looking for? Was this a case of mistaken identity? All she knew was she had to find out where he came from.  In a blink the amulet flashed with magic and transported her someplace else.  When she awoke she found herself in a city on a different plane.  Life would never be the same.</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 </a:t>
          </a: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Personality:  </a:t>
          </a:r>
          <a:r>
            <a:rPr lang="en-US" sz="1200">
              <a:solidFill>
                <a:schemeClr val="dk1"/>
              </a:solidFill>
              <a:effectLst/>
              <a:latin typeface="Times New Roman" panose="02020603050405020304" pitchFamily="18" charset="0"/>
              <a:ea typeface="+mn-ea"/>
              <a:cs typeface="Times New Roman" panose="02020603050405020304" pitchFamily="18" charset="0"/>
            </a:rPr>
            <a:t>Rea is a firm believer in personal ethics. Its always up to an individual to do the right thing. She’s always willing to be the first up front to talk things over, smooth things out, spread a believable lie when necessary.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17220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opchopy@comcast.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9"/>
  <sheetViews>
    <sheetView showGridLines="0" tabSelected="1" zoomScaleNormal="100" workbookViewId="0"/>
  </sheetViews>
  <sheetFormatPr defaultColWidth="13" defaultRowHeight="15.6"/>
  <cols>
    <col min="1" max="1" width="14.3984375" style="169" bestFit="1" customWidth="1"/>
    <col min="2" max="2" width="10" style="171" customWidth="1"/>
    <col min="3" max="3" width="5.5" style="171" customWidth="1"/>
    <col min="4" max="4" width="13.69921875" style="169" bestFit="1" customWidth="1"/>
    <col min="5" max="5" width="9.59765625" style="171" bestFit="1" customWidth="1"/>
    <col min="6" max="6" width="15.5" style="169" customWidth="1"/>
    <col min="7" max="7" width="15.5" style="171" customWidth="1"/>
    <col min="8" max="16384" width="13" style="24"/>
  </cols>
  <sheetData>
    <row r="1" spans="1:7" ht="29.4" thickTop="1" thickBot="1">
      <c r="A1" s="174" t="s">
        <v>176</v>
      </c>
      <c r="B1" s="175" t="s">
        <v>181</v>
      </c>
      <c r="C1" s="176"/>
      <c r="D1" s="177"/>
      <c r="E1" s="178"/>
      <c r="F1" s="177"/>
      <c r="G1" s="179" t="s">
        <v>180</v>
      </c>
    </row>
    <row r="2" spans="1:7" ht="17.399999999999999" thickTop="1">
      <c r="A2" s="180" t="s">
        <v>0</v>
      </c>
      <c r="B2" s="181" t="s">
        <v>137</v>
      </c>
      <c r="C2" s="181"/>
      <c r="D2" s="182" t="s">
        <v>175</v>
      </c>
      <c r="E2" s="183" t="s">
        <v>135</v>
      </c>
      <c r="F2" s="184"/>
      <c r="G2" s="185"/>
    </row>
    <row r="3" spans="1:7" ht="16.8">
      <c r="A3" s="180" t="s">
        <v>63</v>
      </c>
      <c r="B3" s="181" t="s">
        <v>178</v>
      </c>
      <c r="C3" s="181"/>
      <c r="D3" s="182" t="s">
        <v>64</v>
      </c>
      <c r="E3" s="183">
        <v>10</v>
      </c>
      <c r="F3" s="182"/>
      <c r="G3" s="185"/>
    </row>
    <row r="4" spans="1:7" ht="16.8">
      <c r="A4" s="339" t="s">
        <v>63</v>
      </c>
      <c r="B4" s="340"/>
      <c r="C4" s="340"/>
      <c r="D4" s="341" t="s">
        <v>64</v>
      </c>
      <c r="E4" s="342"/>
      <c r="F4" s="182"/>
      <c r="G4" s="185"/>
    </row>
    <row r="5" spans="1:7" ht="17.399999999999999" thickBot="1">
      <c r="A5" s="180" t="s">
        <v>65</v>
      </c>
      <c r="B5" s="181" t="s">
        <v>177</v>
      </c>
      <c r="C5" s="181"/>
      <c r="D5" s="182" t="s">
        <v>1</v>
      </c>
      <c r="E5" s="183" t="s">
        <v>179</v>
      </c>
      <c r="F5" s="182"/>
      <c r="G5" s="185"/>
    </row>
    <row r="6" spans="1:7" ht="17.399999999999999" thickTop="1">
      <c r="A6" s="186" t="s">
        <v>85</v>
      </c>
      <c r="B6" s="310">
        <f>2+1+2</f>
        <v>5</v>
      </c>
      <c r="C6" s="311"/>
      <c r="D6" s="187" t="s">
        <v>73</v>
      </c>
      <c r="E6" s="188" t="s">
        <v>110</v>
      </c>
      <c r="F6" s="189"/>
      <c r="G6" s="185"/>
    </row>
    <row r="7" spans="1:7" ht="17.399999999999999" thickBot="1">
      <c r="A7" s="190" t="s">
        <v>103</v>
      </c>
      <c r="B7" s="191" t="str">
        <f>C9</f>
        <v>+2</v>
      </c>
      <c r="C7" s="192"/>
      <c r="D7" s="193" t="s">
        <v>105</v>
      </c>
      <c r="E7" s="194" t="s">
        <v>110</v>
      </c>
      <c r="F7" s="189"/>
      <c r="G7" s="185"/>
    </row>
    <row r="8" spans="1:7" ht="17.399999999999999" thickTop="1">
      <c r="A8" s="195" t="s">
        <v>2</v>
      </c>
      <c r="B8" s="281">
        <f>9</f>
        <v>9</v>
      </c>
      <c r="C8" s="196">
        <f>IF(B8&gt;9.9,CONCATENATE("+",ROUNDDOWN((B8-10)/2,0)),ROUNDUP((B8-10)/2,0))</f>
        <v>-1</v>
      </c>
      <c r="D8" s="197" t="s">
        <v>71</v>
      </c>
      <c r="E8" s="266" t="s">
        <v>129</v>
      </c>
      <c r="F8" s="189"/>
      <c r="G8" s="185"/>
    </row>
    <row r="9" spans="1:7" ht="16.8">
      <c r="A9" s="198" t="s">
        <v>3</v>
      </c>
      <c r="B9" s="265">
        <f>14</f>
        <v>14</v>
      </c>
      <c r="C9" s="199" t="str">
        <f t="shared" ref="C9:C13" si="0">IF(B9&gt;9.9,CONCATENATE("+",ROUNDDOWN((B9-10)/2,0)),ROUNDUP((B9-10)/2,0))</f>
        <v>+2</v>
      </c>
      <c r="D9" s="200" t="s">
        <v>72</v>
      </c>
      <c r="E9" s="201">
        <f>SUM(Martial!G5:G17)+SUM(Equipment!C3:C16)+5</f>
        <v>9.58</v>
      </c>
      <c r="F9" s="189"/>
      <c r="G9" s="185"/>
    </row>
    <row r="10" spans="1:7" ht="16.8">
      <c r="A10" s="202" t="s">
        <v>12</v>
      </c>
      <c r="B10" s="265">
        <f>10</f>
        <v>10</v>
      </c>
      <c r="C10" s="203" t="str">
        <f t="shared" si="0"/>
        <v>+0</v>
      </c>
      <c r="D10" s="200" t="s">
        <v>14</v>
      </c>
      <c r="E10" s="204">
        <f>ROUNDUP(((E3*4)*0.75)+((E4*4)*0.75)+((E3+E4)*C10),0)</f>
        <v>30</v>
      </c>
      <c r="F10" s="189"/>
      <c r="G10" s="185"/>
    </row>
    <row r="11" spans="1:7" ht="16.8">
      <c r="A11" s="205" t="s">
        <v>13</v>
      </c>
      <c r="B11" s="265">
        <f>14</f>
        <v>14</v>
      </c>
      <c r="C11" s="199" t="str">
        <f t="shared" si="0"/>
        <v>+2</v>
      </c>
      <c r="D11" s="206" t="s">
        <v>86</v>
      </c>
      <c r="E11" s="319">
        <f>11+C9</f>
        <v>13</v>
      </c>
      <c r="F11" s="276"/>
      <c r="G11" s="185"/>
    </row>
    <row r="12" spans="1:7" ht="16.8">
      <c r="A12" s="207" t="s">
        <v>15</v>
      </c>
      <c r="B12" s="265">
        <f>10</f>
        <v>10</v>
      </c>
      <c r="C12" s="199" t="str">
        <f t="shared" si="0"/>
        <v>+0</v>
      </c>
      <c r="D12" s="206" t="s">
        <v>109</v>
      </c>
      <c r="E12" s="319">
        <f>E13-C9</f>
        <v>11</v>
      </c>
      <c r="F12" s="276"/>
      <c r="G12" s="185"/>
    </row>
    <row r="13" spans="1:7" ht="17.399999999999999" thickBot="1">
      <c r="A13" s="208" t="s">
        <v>11</v>
      </c>
      <c r="B13" s="343">
        <f>18+4</f>
        <v>22</v>
      </c>
      <c r="C13" s="209" t="str">
        <f t="shared" si="0"/>
        <v>+6</v>
      </c>
      <c r="D13" s="210" t="s">
        <v>174</v>
      </c>
      <c r="E13" s="331">
        <f>E11+SUM(Martial!B12:B13)</f>
        <v>13</v>
      </c>
      <c r="F13" s="276"/>
      <c r="G13" s="185"/>
    </row>
    <row r="14" spans="1:7" s="7" customFormat="1" ht="17.399999999999999" thickTop="1">
      <c r="A14" s="211"/>
      <c r="B14" s="212"/>
      <c r="C14" s="212"/>
      <c r="D14" s="212"/>
      <c r="E14" s="212"/>
      <c r="F14" s="212"/>
      <c r="G14" s="213"/>
    </row>
    <row r="15" spans="1:7" s="7" customFormat="1" ht="16.8">
      <c r="A15" s="214"/>
      <c r="B15" s="215"/>
      <c r="C15" s="215"/>
      <c r="D15" s="215"/>
      <c r="E15" s="215"/>
      <c r="F15" s="215"/>
      <c r="G15" s="216"/>
    </row>
    <row r="16" spans="1:7" s="7" customFormat="1" ht="16.8">
      <c r="A16" s="214"/>
      <c r="B16" s="215"/>
      <c r="C16" s="215"/>
      <c r="D16" s="215"/>
      <c r="E16" s="215"/>
      <c r="F16" s="215"/>
      <c r="G16" s="216"/>
    </row>
    <row r="17" spans="1:7" s="7" customFormat="1" ht="16.8">
      <c r="A17" s="214"/>
      <c r="B17" s="215"/>
      <c r="C17" s="215"/>
      <c r="D17" s="215"/>
      <c r="E17" s="215"/>
      <c r="F17" s="215"/>
      <c r="G17" s="216"/>
    </row>
    <row r="18" spans="1:7" s="7" customFormat="1" ht="16.8">
      <c r="A18" s="214"/>
      <c r="B18" s="215"/>
      <c r="C18" s="215"/>
      <c r="D18" s="215"/>
      <c r="E18" s="215"/>
      <c r="F18" s="215"/>
      <c r="G18" s="216"/>
    </row>
    <row r="19" spans="1:7" s="7" customFormat="1" ht="16.8">
      <c r="A19" s="214"/>
      <c r="B19" s="215"/>
      <c r="C19" s="215"/>
      <c r="D19" s="215"/>
      <c r="E19" s="215"/>
      <c r="F19" s="215"/>
      <c r="G19" s="216"/>
    </row>
    <row r="20" spans="1:7" s="7" customFormat="1" ht="16.8">
      <c r="A20" s="214"/>
      <c r="B20" s="215"/>
      <c r="C20" s="215"/>
      <c r="D20" s="215"/>
      <c r="E20" s="215"/>
      <c r="F20" s="215"/>
      <c r="G20" s="216"/>
    </row>
    <row r="21" spans="1:7" s="7" customFormat="1" ht="16.8">
      <c r="A21" s="214"/>
      <c r="B21" s="215"/>
      <c r="C21" s="215"/>
      <c r="D21" s="215"/>
      <c r="E21" s="215"/>
      <c r="F21" s="215"/>
      <c r="G21" s="216"/>
    </row>
    <row r="22" spans="1:7" s="7" customFormat="1" ht="16.8">
      <c r="A22" s="214"/>
      <c r="B22" s="215"/>
      <c r="C22" s="215"/>
      <c r="D22" s="215"/>
      <c r="E22" s="215"/>
      <c r="F22" s="215"/>
      <c r="G22" s="216"/>
    </row>
    <row r="23" spans="1:7" s="7" customFormat="1" ht="16.8">
      <c r="A23" s="214"/>
      <c r="B23" s="215"/>
      <c r="C23" s="215"/>
      <c r="D23" s="215"/>
      <c r="E23" s="215"/>
      <c r="F23" s="215"/>
      <c r="G23" s="216"/>
    </row>
    <row r="24" spans="1:7" s="7" customFormat="1" ht="16.8">
      <c r="A24" s="214"/>
      <c r="B24" s="215"/>
      <c r="C24" s="215"/>
      <c r="D24" s="215"/>
      <c r="E24" s="215"/>
      <c r="F24" s="215"/>
      <c r="G24" s="216"/>
    </row>
    <row r="25" spans="1:7" s="7" customFormat="1" ht="16.8">
      <c r="A25" s="214"/>
      <c r="B25" s="215"/>
      <c r="C25" s="215"/>
      <c r="D25" s="215"/>
      <c r="E25" s="215"/>
      <c r="F25" s="215"/>
      <c r="G25" s="216"/>
    </row>
    <row r="26" spans="1:7" s="7" customFormat="1" ht="16.8">
      <c r="A26" s="214"/>
      <c r="B26" s="215"/>
      <c r="C26" s="215"/>
      <c r="D26" s="215"/>
      <c r="E26" s="215"/>
      <c r="F26" s="215"/>
      <c r="G26" s="216"/>
    </row>
    <row r="27" spans="1:7" s="7" customFormat="1" ht="16.8">
      <c r="A27" s="214"/>
      <c r="B27" s="215"/>
      <c r="C27" s="215"/>
      <c r="D27" s="215"/>
      <c r="E27" s="215"/>
      <c r="F27" s="215"/>
      <c r="G27" s="216"/>
    </row>
    <row r="28" spans="1:7" s="7" customFormat="1" ht="16.8">
      <c r="A28" s="214"/>
      <c r="B28" s="215"/>
      <c r="C28" s="215"/>
      <c r="D28" s="215"/>
      <c r="E28" s="215"/>
      <c r="F28" s="215"/>
      <c r="G28" s="216"/>
    </row>
    <row r="29" spans="1:7" s="7" customFormat="1" ht="16.8">
      <c r="A29" s="214"/>
      <c r="B29" s="215"/>
      <c r="C29" s="215"/>
      <c r="D29" s="215"/>
      <c r="E29" s="215"/>
      <c r="F29" s="215"/>
      <c r="G29" s="216"/>
    </row>
    <row r="30" spans="1:7" s="7" customFormat="1" ht="16.8">
      <c r="A30" s="214"/>
      <c r="B30" s="215"/>
      <c r="C30" s="215"/>
      <c r="D30" s="215"/>
      <c r="E30" s="215"/>
      <c r="F30" s="215"/>
      <c r="G30" s="216"/>
    </row>
    <row r="31" spans="1:7" s="7" customFormat="1" ht="16.8">
      <c r="A31" s="214"/>
      <c r="B31" s="215"/>
      <c r="C31" s="215"/>
      <c r="D31" s="215"/>
      <c r="E31" s="215"/>
      <c r="F31" s="215"/>
      <c r="G31" s="216"/>
    </row>
    <row r="32" spans="1:7" s="7" customFormat="1" ht="16.8">
      <c r="A32" s="214"/>
      <c r="B32" s="215"/>
      <c r="C32" s="215"/>
      <c r="D32" s="215"/>
      <c r="E32" s="215"/>
      <c r="F32" s="215"/>
      <c r="G32" s="216"/>
    </row>
    <row r="33" spans="1:7" s="7" customFormat="1" ht="16.8">
      <c r="A33" s="214"/>
      <c r="B33" s="215"/>
      <c r="C33" s="215"/>
      <c r="D33" s="215"/>
      <c r="E33" s="215"/>
      <c r="F33" s="215"/>
      <c r="G33" s="216"/>
    </row>
    <row r="34" spans="1:7" s="7" customFormat="1" ht="16.8">
      <c r="A34" s="214"/>
      <c r="B34" s="215"/>
      <c r="C34" s="215"/>
      <c r="D34" s="215"/>
      <c r="E34" s="215"/>
      <c r="F34" s="215"/>
      <c r="G34" s="216"/>
    </row>
    <row r="35" spans="1:7" s="7" customFormat="1" ht="16.8">
      <c r="A35" s="214"/>
      <c r="B35" s="215"/>
      <c r="C35" s="215"/>
      <c r="D35" s="215"/>
      <c r="E35" s="215"/>
      <c r="F35" s="215"/>
      <c r="G35" s="216"/>
    </row>
    <row r="36" spans="1:7" s="7" customFormat="1" ht="16.8">
      <c r="A36" s="214"/>
      <c r="B36" s="215"/>
      <c r="C36" s="215"/>
      <c r="D36" s="215"/>
      <c r="E36" s="215"/>
      <c r="F36" s="215"/>
      <c r="G36" s="216"/>
    </row>
    <row r="37" spans="1:7" s="7" customFormat="1" ht="16.8">
      <c r="A37" s="214"/>
      <c r="B37" s="215"/>
      <c r="C37" s="215"/>
      <c r="D37" s="215"/>
      <c r="E37" s="215"/>
      <c r="F37" s="215"/>
      <c r="G37" s="216"/>
    </row>
    <row r="38" spans="1:7" ht="17.399999999999999" thickBot="1">
      <c r="A38" s="217"/>
      <c r="B38" s="218"/>
      <c r="C38" s="218"/>
      <c r="D38" s="218"/>
      <c r="E38" s="218"/>
      <c r="F38" s="218"/>
      <c r="G38" s="219"/>
    </row>
    <row r="39" spans="1:7" ht="16.2" thickTop="1"/>
  </sheetData>
  <phoneticPr fontId="0" type="noConversion"/>
  <conditionalFormatting sqref="E9">
    <cfRule type="cellIs" dxfId="10" priority="1" stopIfTrue="1" operator="greaterThan">
      <formula>50</formula>
    </cfRule>
    <cfRule type="cellIs" dxfId="9"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2"/>
  <sheetViews>
    <sheetView showGridLines="0" workbookViewId="0">
      <pane ySplit="2" topLeftCell="A3" activePane="bottomLeft" state="frozen"/>
      <selection pane="bottomLeft" activeCell="A3" sqref="A3"/>
    </sheetView>
  </sheetViews>
  <sheetFormatPr defaultColWidth="13" defaultRowHeight="15.6"/>
  <cols>
    <col min="1" max="1" width="32.796875" style="169" bestFit="1" customWidth="1"/>
    <col min="2" max="2" width="5.8984375" style="169" bestFit="1" customWidth="1"/>
    <col min="3" max="3" width="7.59765625" style="171" hidden="1" customWidth="1"/>
    <col min="4" max="4" width="7.19921875" style="171" hidden="1" customWidth="1"/>
    <col min="5" max="5" width="9.19921875" style="171" bestFit="1" customWidth="1"/>
    <col min="6" max="6" width="7.3984375" style="171" customWidth="1"/>
    <col min="7" max="7" width="6" style="172" bestFit="1" customWidth="1"/>
    <col min="8" max="8" width="5.19921875" style="172" bestFit="1" customWidth="1"/>
    <col min="9" max="9" width="7.5" style="172" customWidth="1"/>
    <col min="10" max="10" width="26.59765625" style="169" customWidth="1"/>
    <col min="11" max="16384" width="13" style="24"/>
  </cols>
  <sheetData>
    <row r="1" spans="1:10" ht="23.4" thickBot="1">
      <c r="A1" s="100" t="s">
        <v>10</v>
      </c>
      <c r="B1" s="101"/>
      <c r="C1" s="101"/>
      <c r="D1" s="101"/>
      <c r="E1" s="101"/>
      <c r="F1" s="101"/>
      <c r="G1" s="102"/>
      <c r="H1" s="102"/>
      <c r="I1" s="102"/>
      <c r="J1" s="101"/>
    </row>
    <row r="2" spans="1:10" s="7" customFormat="1" ht="34.200000000000003" thickBot="1">
      <c r="A2" s="1" t="s">
        <v>99</v>
      </c>
      <c r="B2" s="2" t="s">
        <v>29</v>
      </c>
      <c r="C2" s="2" t="s">
        <v>36</v>
      </c>
      <c r="D2" s="2" t="s">
        <v>28</v>
      </c>
      <c r="E2" s="3" t="s">
        <v>61</v>
      </c>
      <c r="F2" s="3" t="s">
        <v>37</v>
      </c>
      <c r="G2" s="4" t="s">
        <v>66</v>
      </c>
      <c r="H2" s="5" t="s">
        <v>93</v>
      </c>
      <c r="I2" s="4" t="s">
        <v>79</v>
      </c>
      <c r="J2" s="6" t="s">
        <v>78</v>
      </c>
    </row>
    <row r="3" spans="1:10" s="7" customFormat="1" ht="16.8">
      <c r="A3" s="245" t="s">
        <v>126</v>
      </c>
      <c r="B3" s="246">
        <f>3</f>
        <v>3</v>
      </c>
      <c r="C3" s="98" t="s">
        <v>31</v>
      </c>
      <c r="D3" s="98" t="str">
        <f>IF(C3="Str",'Personal File'!$C$8,IF(C3="Dex",'Personal File'!$C$9,IF(C3="Con",'Personal File'!$C$10,IF(C3="Int",'Personal File'!$C$11,IF(C3="Wis",'Personal File'!$C$12,IF(C3="Cha",'Personal File'!$C$13))))))</f>
        <v>+0</v>
      </c>
      <c r="E3" s="251" t="str">
        <f t="shared" ref="E3" si="0">CONCATENATE(C3," (",D3,")")</f>
        <v>Con (+0)</v>
      </c>
      <c r="F3" s="124">
        <v>0</v>
      </c>
      <c r="G3" s="247">
        <f t="shared" ref="G3:G4" si="1">B3+D3+F3</f>
        <v>3</v>
      </c>
      <c r="H3" s="103">
        <f t="shared" ref="H3:H49" ca="1" si="2">RANDBETWEEN(1,20)</f>
        <v>16</v>
      </c>
      <c r="I3" s="248">
        <f t="shared" ref="I3:I4" ca="1" si="3">SUM(G3:H3)</f>
        <v>19</v>
      </c>
      <c r="J3" s="277"/>
    </row>
    <row r="4" spans="1:10" s="7" customFormat="1" ht="16.8">
      <c r="A4" s="249" t="s">
        <v>127</v>
      </c>
      <c r="B4" s="246">
        <f>3</f>
        <v>3</v>
      </c>
      <c r="C4" s="98" t="s">
        <v>34</v>
      </c>
      <c r="D4" s="98" t="str">
        <f>IF(C4="Str",'Personal File'!$C$8,IF(C4="Dex",'Personal File'!$C$9,IF(C4="Con",'Personal File'!$C$10,IF(C4="Int",'Personal File'!$C$11,IF(C4="Wis",'Personal File'!$C$12,IF(C4="Cha",'Personal File'!$C$13))))))</f>
        <v>+2</v>
      </c>
      <c r="E4" s="104" t="str">
        <f t="shared" ref="E4" si="4">CONCATENATE(C4," (",D4,")")</f>
        <v>Dex (+2)</v>
      </c>
      <c r="F4" s="124">
        <v>0</v>
      </c>
      <c r="G4" s="247">
        <f t="shared" si="1"/>
        <v>5</v>
      </c>
      <c r="H4" s="103">
        <f t="shared" ca="1" si="2"/>
        <v>1</v>
      </c>
      <c r="I4" s="248">
        <f t="shared" ca="1" si="3"/>
        <v>6</v>
      </c>
      <c r="J4" s="160"/>
    </row>
    <row r="5" spans="1:10" s="7" customFormat="1" ht="16.8">
      <c r="A5" s="105" t="s">
        <v>68</v>
      </c>
      <c r="B5" s="106">
        <f>7</f>
        <v>7</v>
      </c>
      <c r="C5" s="107" t="s">
        <v>33</v>
      </c>
      <c r="D5" s="107" t="str">
        <f>IF(C5="Str",'Personal File'!$C$8,IF(C5="Dex",'Personal File'!$C$9,IF(C5="Con",'Personal File'!$C$10,IF(C5="Int",'Personal File'!$C$11,IF(C5="Wis",'Personal File'!$C$12,IF(C5="Cha",'Personal File'!$C$13))))))</f>
        <v>+0</v>
      </c>
      <c r="E5" s="108" t="str">
        <f t="shared" ref="E5:E6" si="5">CONCATENATE(C5," (",D5,")")</f>
        <v>Wis (+0)</v>
      </c>
      <c r="F5" s="372">
        <v>4</v>
      </c>
      <c r="G5" s="109">
        <f t="shared" ref="G5:G50" si="6">B5+D5+F5</f>
        <v>11</v>
      </c>
      <c r="H5" s="110">
        <f t="shared" ca="1" si="2"/>
        <v>18</v>
      </c>
      <c r="I5" s="111">
        <f t="shared" ref="I5" ca="1" si="7">SUM(G5:H5)</f>
        <v>29</v>
      </c>
      <c r="J5" s="250"/>
    </row>
    <row r="6" spans="1:10" s="118" customFormat="1" ht="16.8">
      <c r="A6" s="136" t="s">
        <v>38</v>
      </c>
      <c r="B6" s="99">
        <v>0</v>
      </c>
      <c r="C6" s="137" t="s">
        <v>32</v>
      </c>
      <c r="D6" s="138" t="str">
        <f>IF(C6="Str",'Personal File'!$C$8,IF(C6="Dex",'Personal File'!$C$9,IF(C6="Con",'Personal File'!$C$10,IF(C6="Int",'Personal File'!$C$11,IF(C6="Wis",'Personal File'!$C$12,IF(C6="Cha",'Personal File'!$C$13))))))</f>
        <v>+2</v>
      </c>
      <c r="E6" s="139" t="str">
        <f t="shared" si="5"/>
        <v>Int (+2)</v>
      </c>
      <c r="F6" s="124" t="s">
        <v>62</v>
      </c>
      <c r="G6" s="124">
        <f t="shared" si="6"/>
        <v>2</v>
      </c>
      <c r="H6" s="275">
        <f t="shared" ca="1" si="2"/>
        <v>5</v>
      </c>
      <c r="I6" s="124">
        <f ca="1">SUM(G6:H6)</f>
        <v>7</v>
      </c>
      <c r="J6" s="160"/>
    </row>
    <row r="7" spans="1:10" s="119" customFormat="1" ht="16.8">
      <c r="A7" s="133" t="s">
        <v>39</v>
      </c>
      <c r="B7" s="99">
        <v>0</v>
      </c>
      <c r="C7" s="134" t="s">
        <v>34</v>
      </c>
      <c r="D7" s="135" t="str">
        <f>IF(C7="Str",'Personal File'!$C$8,IF(C7="Dex",'Personal File'!$C$9,IF(C7="Con",'Personal File'!$C$10,IF(C7="Int",'Personal File'!$C$11,IF(C7="Wis",'Personal File'!$C$12,IF(C7="Cha",'Personal File'!$C$13))))))</f>
        <v>+2</v>
      </c>
      <c r="E7" s="104" t="str">
        <f t="shared" ref="E7:E50" si="8">CONCATENATE(C7," (",D7,")")</f>
        <v>Dex (+2)</v>
      </c>
      <c r="F7" s="124" t="s">
        <v>62</v>
      </c>
      <c r="G7" s="124">
        <f t="shared" si="6"/>
        <v>2</v>
      </c>
      <c r="H7" s="103">
        <f t="shared" ca="1" si="2"/>
        <v>11</v>
      </c>
      <c r="I7" s="124">
        <f t="shared" ref="I7" ca="1" si="9">SUM(G7:H7)</f>
        <v>13</v>
      </c>
      <c r="J7" s="160"/>
    </row>
    <row r="8" spans="1:10" s="126" customFormat="1" ht="16.8">
      <c r="A8" s="120" t="s">
        <v>40</v>
      </c>
      <c r="B8" s="99">
        <v>0</v>
      </c>
      <c r="C8" s="121" t="s">
        <v>30</v>
      </c>
      <c r="D8" s="122" t="str">
        <f>IF(C8="Str",'Personal File'!$C$8,IF(C8="Dex",'Personal File'!$C$9,IF(C8="Con",'Personal File'!$C$10,IF(C8="Int",'Personal File'!$C$11,IF(C8="Wis",'Personal File'!$C$12,IF(C8="Cha",'Personal File'!$C$13))))))</f>
        <v>+6</v>
      </c>
      <c r="E8" s="123" t="str">
        <f t="shared" si="8"/>
        <v>Cha (+6)</v>
      </c>
      <c r="F8" s="124" t="s">
        <v>62</v>
      </c>
      <c r="G8" s="124">
        <f t="shared" si="6"/>
        <v>6</v>
      </c>
      <c r="H8" s="103">
        <f t="shared" ca="1" si="2"/>
        <v>16</v>
      </c>
      <c r="I8" s="124">
        <f t="shared" ref="I8:I50" ca="1" si="10">SUM(G8:H8)</f>
        <v>22</v>
      </c>
      <c r="J8" s="160"/>
    </row>
    <row r="9" spans="1:10" s="127" customFormat="1" ht="16.8">
      <c r="A9" s="151" t="s">
        <v>41</v>
      </c>
      <c r="B9" s="99">
        <v>0</v>
      </c>
      <c r="C9" s="152" t="s">
        <v>35</v>
      </c>
      <c r="D9" s="153">
        <f>IF(C9="Str",'Personal File'!$C$8,IF(C9="Dex",'Personal File'!$C$9,IF(C9="Con",'Personal File'!$C$10,IF(C9="Int",'Personal File'!$C$11,IF(C9="Wis",'Personal File'!$C$12,IF(C9="Cha",'Personal File'!$C$13))))))</f>
        <v>-1</v>
      </c>
      <c r="E9" s="154" t="str">
        <f t="shared" si="8"/>
        <v>Str (-1)</v>
      </c>
      <c r="F9" s="124" t="s">
        <v>62</v>
      </c>
      <c r="G9" s="124">
        <f t="shared" si="6"/>
        <v>-1</v>
      </c>
      <c r="H9" s="103">
        <f t="shared" ca="1" si="2"/>
        <v>7</v>
      </c>
      <c r="I9" s="124">
        <f t="shared" ca="1" si="10"/>
        <v>6</v>
      </c>
      <c r="J9" s="160"/>
    </row>
    <row r="10" spans="1:10" s="127" customFormat="1" ht="16.8">
      <c r="A10" s="128" t="s">
        <v>16</v>
      </c>
      <c r="B10" s="113">
        <v>13</v>
      </c>
      <c r="C10" s="129" t="s">
        <v>31</v>
      </c>
      <c r="D10" s="130" t="str">
        <f>IF(C10="Str",'Personal File'!$C$8,IF(C10="Dex",'Personal File'!$C$9,IF(C10="Con",'Personal File'!$C$10,IF(C10="Int",'Personal File'!$C$11,IF(C10="Wis",'Personal File'!$C$12,IF(C10="Cha",'Personal File'!$C$13))))))</f>
        <v>+0</v>
      </c>
      <c r="E10" s="131" t="str">
        <f t="shared" si="8"/>
        <v>Con (+0)</v>
      </c>
      <c r="F10" s="117" t="s">
        <v>62</v>
      </c>
      <c r="G10" s="117">
        <f t="shared" si="6"/>
        <v>13</v>
      </c>
      <c r="H10" s="103">
        <f t="shared" ca="1" si="2"/>
        <v>8</v>
      </c>
      <c r="I10" s="117">
        <f t="shared" ca="1" si="10"/>
        <v>21</v>
      </c>
      <c r="J10" s="159"/>
    </row>
    <row r="11" spans="1:10" s="118" customFormat="1" ht="16.8">
      <c r="A11" s="136" t="s">
        <v>130</v>
      </c>
      <c r="B11" s="99">
        <v>0</v>
      </c>
      <c r="C11" s="137" t="s">
        <v>32</v>
      </c>
      <c r="D11" s="138" t="str">
        <f>IF(C11="Str",'Personal File'!$C$8,IF(C11="Dex",'Personal File'!$C$9,IF(C11="Con",'Personal File'!$C$10,IF(C11="Int",'Personal File'!$C$11,IF(C11="Wis",'Personal File'!$C$12,IF(C11="Cha",'Personal File'!$C$13))))))</f>
        <v>+2</v>
      </c>
      <c r="E11" s="139" t="str">
        <f t="shared" si="8"/>
        <v>Int (+2)</v>
      </c>
      <c r="F11" s="124" t="s">
        <v>62</v>
      </c>
      <c r="G11" s="124">
        <f t="shared" si="6"/>
        <v>2</v>
      </c>
      <c r="H11" s="103">
        <f t="shared" ca="1" si="2"/>
        <v>18</v>
      </c>
      <c r="I11" s="220">
        <f t="shared" ca="1" si="10"/>
        <v>20</v>
      </c>
      <c r="J11" s="270"/>
    </row>
    <row r="12" spans="1:10" s="132" customFormat="1" ht="16.8">
      <c r="A12" s="112" t="s">
        <v>42</v>
      </c>
      <c r="B12" s="113">
        <v>12</v>
      </c>
      <c r="C12" s="114" t="s">
        <v>32</v>
      </c>
      <c r="D12" s="115" t="str">
        <f>IF(C12="Str",'Personal File'!$C$8,IF(C12="Dex",'Personal File'!$C$9,IF(C12="Con",'Personal File'!$C$10,IF(C12="Int",'Personal File'!$C$11,IF(C12="Wis",'Personal File'!$C$12,IF(C12="Cha",'Personal File'!$C$13))))))</f>
        <v>+2</v>
      </c>
      <c r="E12" s="116" t="str">
        <f t="shared" si="8"/>
        <v>Int (+2)</v>
      </c>
      <c r="F12" s="117" t="s">
        <v>62</v>
      </c>
      <c r="G12" s="117">
        <f t="shared" si="6"/>
        <v>14</v>
      </c>
      <c r="H12" s="103">
        <f t="shared" ca="1" si="2"/>
        <v>6</v>
      </c>
      <c r="I12" s="117">
        <f t="shared" ca="1" si="10"/>
        <v>20</v>
      </c>
      <c r="J12" s="159"/>
    </row>
    <row r="13" spans="1:10" s="119" customFormat="1" ht="16.8">
      <c r="A13" s="120" t="s">
        <v>43</v>
      </c>
      <c r="B13" s="99">
        <v>0</v>
      </c>
      <c r="C13" s="121" t="s">
        <v>30</v>
      </c>
      <c r="D13" s="122" t="str">
        <f>IF(C13="Str",'Personal File'!$C$8,IF(C13="Dex",'Personal File'!$C$9,IF(C13="Con",'Personal File'!$C$10,IF(C13="Int",'Personal File'!$C$11,IF(C13="Wis",'Personal File'!$C$12,IF(C13="Cha",'Personal File'!$C$13))))))</f>
        <v>+6</v>
      </c>
      <c r="E13" s="123" t="str">
        <f t="shared" si="8"/>
        <v>Cha (+6)</v>
      </c>
      <c r="F13" s="124" t="s">
        <v>62</v>
      </c>
      <c r="G13" s="124">
        <f t="shared" si="6"/>
        <v>6</v>
      </c>
      <c r="H13" s="103">
        <f t="shared" ca="1" si="2"/>
        <v>12</v>
      </c>
      <c r="I13" s="124">
        <f t="shared" ca="1" si="10"/>
        <v>18</v>
      </c>
      <c r="J13" s="160"/>
    </row>
    <row r="14" spans="1:10" s="119" customFormat="1" ht="16.8">
      <c r="A14" s="155" t="s">
        <v>44</v>
      </c>
      <c r="B14" s="141">
        <v>0</v>
      </c>
      <c r="C14" s="156" t="s">
        <v>32</v>
      </c>
      <c r="D14" s="157" t="str">
        <f>IF(C14="Str",'Personal File'!$C$8,IF(C14="Dex",'Personal File'!$C$9,IF(C14="Con",'Personal File'!$C$10,IF(C14="Int",'Personal File'!$C$11,IF(C14="Wis",'Personal File'!$C$12,IF(C14="Cha",'Personal File'!$C$13))))))</f>
        <v>+2</v>
      </c>
      <c r="E14" s="158" t="str">
        <f t="shared" si="8"/>
        <v>Int (+2)</v>
      </c>
      <c r="F14" s="145" t="s">
        <v>62</v>
      </c>
      <c r="G14" s="145">
        <f t="shared" si="6"/>
        <v>2</v>
      </c>
      <c r="H14" s="103">
        <f t="shared" ca="1" si="2"/>
        <v>12</v>
      </c>
      <c r="I14" s="145">
        <f t="shared" ca="1" si="10"/>
        <v>14</v>
      </c>
      <c r="J14" s="278"/>
    </row>
    <row r="15" spans="1:10" s="119" customFormat="1" ht="16.8">
      <c r="A15" s="120" t="s">
        <v>45</v>
      </c>
      <c r="B15" s="99">
        <v>0</v>
      </c>
      <c r="C15" s="121" t="s">
        <v>30</v>
      </c>
      <c r="D15" s="122" t="str">
        <f>IF(C15="Str",'Personal File'!$C$8,IF(C15="Dex",'Personal File'!$C$9,IF(C15="Con",'Personal File'!$C$10,IF(C15="Int",'Personal File'!$C$11,IF(C15="Wis",'Personal File'!$C$12,IF(C15="Cha",'Personal File'!$C$13))))))</f>
        <v>+6</v>
      </c>
      <c r="E15" s="123" t="str">
        <f t="shared" si="8"/>
        <v>Cha (+6)</v>
      </c>
      <c r="F15" s="124" t="s">
        <v>62</v>
      </c>
      <c r="G15" s="124">
        <f t="shared" si="6"/>
        <v>6</v>
      </c>
      <c r="H15" s="103">
        <f t="shared" ca="1" si="2"/>
        <v>3</v>
      </c>
      <c r="I15" s="124">
        <f t="shared" ca="1" si="10"/>
        <v>9</v>
      </c>
      <c r="J15" s="160"/>
    </row>
    <row r="16" spans="1:10" s="119" customFormat="1" ht="16.8">
      <c r="A16" s="133" t="s">
        <v>46</v>
      </c>
      <c r="B16" s="99">
        <v>0</v>
      </c>
      <c r="C16" s="134" t="s">
        <v>34</v>
      </c>
      <c r="D16" s="135" t="str">
        <f>IF(C16="Str",'Personal File'!$C$8,IF(C16="Dex",'Personal File'!$C$9,IF(C16="Con",'Personal File'!$C$10,IF(C16="Int",'Personal File'!$C$11,IF(C16="Wis",'Personal File'!$C$12,IF(C16="Cha",'Personal File'!$C$13))))))</f>
        <v>+2</v>
      </c>
      <c r="E16" s="104" t="str">
        <f t="shared" si="8"/>
        <v>Dex (+2)</v>
      </c>
      <c r="F16" s="124" t="s">
        <v>62</v>
      </c>
      <c r="G16" s="124">
        <f t="shared" si="6"/>
        <v>2</v>
      </c>
      <c r="H16" s="103">
        <f t="shared" ca="1" si="2"/>
        <v>19</v>
      </c>
      <c r="I16" s="124">
        <f t="shared" ca="1" si="10"/>
        <v>21</v>
      </c>
      <c r="J16" s="160"/>
    </row>
    <row r="17" spans="1:10" s="119" customFormat="1" ht="16.8">
      <c r="A17" s="136" t="s">
        <v>47</v>
      </c>
      <c r="B17" s="99">
        <v>0</v>
      </c>
      <c r="C17" s="137" t="s">
        <v>32</v>
      </c>
      <c r="D17" s="138" t="str">
        <f>IF(C17="Str",'Personal File'!$C$8,IF(C17="Dex",'Personal File'!$C$9,IF(C17="Con",'Personal File'!$C$10,IF(C17="Int",'Personal File'!$C$11,IF(C17="Wis",'Personal File'!$C$12,IF(C17="Cha",'Personal File'!$C$13))))))</f>
        <v>+2</v>
      </c>
      <c r="E17" s="139" t="str">
        <f t="shared" si="8"/>
        <v>Int (+2)</v>
      </c>
      <c r="F17" s="124" t="s">
        <v>62</v>
      </c>
      <c r="G17" s="124">
        <f t="shared" si="6"/>
        <v>2</v>
      </c>
      <c r="H17" s="103">
        <f t="shared" ca="1" si="2"/>
        <v>1</v>
      </c>
      <c r="I17" s="124">
        <f t="shared" ca="1" si="10"/>
        <v>3</v>
      </c>
      <c r="J17" s="160"/>
    </row>
    <row r="18" spans="1:10" s="119" customFormat="1" ht="16.8">
      <c r="A18" s="120" t="s">
        <v>48</v>
      </c>
      <c r="B18" s="99">
        <v>0</v>
      </c>
      <c r="C18" s="121" t="s">
        <v>30</v>
      </c>
      <c r="D18" s="122" t="str">
        <f>IF(C18="Str",'Personal File'!$C$8,IF(C18="Dex",'Personal File'!$C$9,IF(C18="Con",'Personal File'!$C$10,IF(C18="Int",'Personal File'!$C$11,IF(C18="Wis",'Personal File'!$C$12,IF(C18="Cha",'Personal File'!$C$13))))))</f>
        <v>+6</v>
      </c>
      <c r="E18" s="123" t="str">
        <f t="shared" si="8"/>
        <v>Cha (+6)</v>
      </c>
      <c r="F18" s="124" t="s">
        <v>62</v>
      </c>
      <c r="G18" s="124">
        <f t="shared" si="6"/>
        <v>6</v>
      </c>
      <c r="H18" s="103">
        <f t="shared" ca="1" si="2"/>
        <v>2</v>
      </c>
      <c r="I18" s="124">
        <f t="shared" ca="1" si="10"/>
        <v>8</v>
      </c>
      <c r="J18" s="160"/>
    </row>
    <row r="19" spans="1:10" s="119" customFormat="1" ht="16.8">
      <c r="A19" s="140" t="s">
        <v>18</v>
      </c>
      <c r="B19" s="141">
        <v>0</v>
      </c>
      <c r="C19" s="142" t="s">
        <v>30</v>
      </c>
      <c r="D19" s="143" t="str">
        <f>IF(C19="Str",'Personal File'!$C$8,IF(C19="Dex",'Personal File'!$C$9,IF(C19="Con",'Personal File'!$C$10,IF(C19="Int",'Personal File'!$C$11,IF(C19="Wis",'Personal File'!$C$12,IF(C19="Cha",'Personal File'!$C$13))))))</f>
        <v>+6</v>
      </c>
      <c r="E19" s="144" t="str">
        <f t="shared" si="8"/>
        <v>Cha (+6)</v>
      </c>
      <c r="F19" s="145" t="s">
        <v>62</v>
      </c>
      <c r="G19" s="145">
        <f t="shared" si="6"/>
        <v>6</v>
      </c>
      <c r="H19" s="103">
        <f t="shared" ca="1" si="2"/>
        <v>7</v>
      </c>
      <c r="I19" s="145">
        <f t="shared" ca="1" si="10"/>
        <v>13</v>
      </c>
      <c r="J19" s="278"/>
    </row>
    <row r="20" spans="1:10" s="119" customFormat="1" ht="16.8">
      <c r="A20" s="147" t="s">
        <v>49</v>
      </c>
      <c r="B20" s="99">
        <v>0</v>
      </c>
      <c r="C20" s="148" t="s">
        <v>33</v>
      </c>
      <c r="D20" s="149" t="str">
        <f>IF(C20="Str",'Personal File'!$C$8,IF(C20="Dex",'Personal File'!$C$9,IF(C20="Con",'Personal File'!$C$10,IF(C20="Int",'Personal File'!$C$11,IF(C20="Wis",'Personal File'!$C$12,IF(C20="Cha",'Personal File'!$C$13))))))</f>
        <v>+0</v>
      </c>
      <c r="E20" s="150" t="str">
        <f t="shared" si="8"/>
        <v>Wis (+0)</v>
      </c>
      <c r="F20" s="124" t="s">
        <v>62</v>
      </c>
      <c r="G20" s="124">
        <f t="shared" si="6"/>
        <v>0</v>
      </c>
      <c r="H20" s="103">
        <f t="shared" ca="1" si="2"/>
        <v>13</v>
      </c>
      <c r="I20" s="124">
        <f t="shared" ca="1" si="10"/>
        <v>13</v>
      </c>
      <c r="J20" s="160"/>
    </row>
    <row r="21" spans="1:10" s="119" customFormat="1" ht="16.8">
      <c r="A21" s="133" t="s">
        <v>50</v>
      </c>
      <c r="B21" s="99">
        <v>0</v>
      </c>
      <c r="C21" s="134" t="s">
        <v>34</v>
      </c>
      <c r="D21" s="135" t="str">
        <f>IF(C21="Str",'Personal File'!$C$8,IF(C21="Dex",'Personal File'!$C$9,IF(C21="Con",'Personal File'!$C$10,IF(C21="Int",'Personal File'!$C$11,IF(C21="Wis",'Personal File'!$C$12,IF(C21="Cha",'Personal File'!$C$13))))))</f>
        <v>+2</v>
      </c>
      <c r="E21" s="104" t="str">
        <f t="shared" si="8"/>
        <v>Dex (+2)</v>
      </c>
      <c r="F21" s="124" t="s">
        <v>114</v>
      </c>
      <c r="G21" s="124">
        <f t="shared" si="6"/>
        <v>10</v>
      </c>
      <c r="H21" s="103">
        <f t="shared" ca="1" si="2"/>
        <v>16</v>
      </c>
      <c r="I21" s="124">
        <f t="shared" ca="1" si="10"/>
        <v>26</v>
      </c>
      <c r="J21" s="160"/>
    </row>
    <row r="22" spans="1:10" s="119" customFormat="1" ht="16.8">
      <c r="A22" s="120" t="s">
        <v>51</v>
      </c>
      <c r="B22" s="99">
        <v>0</v>
      </c>
      <c r="C22" s="121" t="s">
        <v>30</v>
      </c>
      <c r="D22" s="122" t="str">
        <f>IF(C22="Str",'Personal File'!$C$8,IF(C22="Dex",'Personal File'!$C$9,IF(C22="Con",'Personal File'!$C$10,IF(C22="Int",'Personal File'!$C$11,IF(C22="Wis",'Personal File'!$C$12,IF(C22="Cha",'Personal File'!$C$13))))))</f>
        <v>+6</v>
      </c>
      <c r="E22" s="123" t="str">
        <f t="shared" si="8"/>
        <v>Cha (+6)</v>
      </c>
      <c r="F22" s="124" t="s">
        <v>62</v>
      </c>
      <c r="G22" s="124">
        <f t="shared" si="6"/>
        <v>6</v>
      </c>
      <c r="H22" s="103">
        <f t="shared" ca="1" si="2"/>
        <v>5</v>
      </c>
      <c r="I22" s="124">
        <f t="shared" ca="1" si="10"/>
        <v>11</v>
      </c>
      <c r="J22" s="160"/>
    </row>
    <row r="23" spans="1:10" s="119" customFormat="1" ht="16.8">
      <c r="A23" s="151" t="s">
        <v>52</v>
      </c>
      <c r="B23" s="99">
        <v>0</v>
      </c>
      <c r="C23" s="152" t="s">
        <v>35</v>
      </c>
      <c r="D23" s="153">
        <f>IF(C23="Str",'Personal File'!$C$8,IF(C23="Dex",'Personal File'!$C$9,IF(C23="Con",'Personal File'!$C$10,IF(C23="Int",'Personal File'!$C$11,IF(C23="Wis",'Personal File'!$C$12,IF(C23="Cha",'Personal File'!$C$13))))))</f>
        <v>-1</v>
      </c>
      <c r="E23" s="154" t="str">
        <f t="shared" si="8"/>
        <v>Str (-1)</v>
      </c>
      <c r="F23" s="124" t="s">
        <v>62</v>
      </c>
      <c r="G23" s="124">
        <f t="shared" si="6"/>
        <v>-1</v>
      </c>
      <c r="H23" s="103">
        <f t="shared" ca="1" si="2"/>
        <v>2</v>
      </c>
      <c r="I23" s="124">
        <f t="shared" ca="1" si="10"/>
        <v>1</v>
      </c>
      <c r="J23" s="160"/>
    </row>
    <row r="24" spans="1:10" s="119" customFormat="1" ht="16.8">
      <c r="A24" s="112" t="s">
        <v>82</v>
      </c>
      <c r="B24" s="113">
        <v>13</v>
      </c>
      <c r="C24" s="114" t="s">
        <v>32</v>
      </c>
      <c r="D24" s="115" t="str">
        <f>IF(C24="Str",'Personal File'!$C$8,IF(C24="Dex",'Personal File'!$C$9,IF(C24="Con",'Personal File'!$C$10,IF(C24="Int",'Personal File'!$C$11,IF(C24="Wis",'Personal File'!$C$12,IF(C24="Cha",'Personal File'!$C$13))))))</f>
        <v>+2</v>
      </c>
      <c r="E24" s="116" t="str">
        <f t="shared" si="8"/>
        <v>Int (+2)</v>
      </c>
      <c r="F24" s="117" t="s">
        <v>62</v>
      </c>
      <c r="G24" s="117">
        <f t="shared" si="6"/>
        <v>15</v>
      </c>
      <c r="H24" s="103">
        <f t="shared" ca="1" si="2"/>
        <v>14</v>
      </c>
      <c r="I24" s="117">
        <f t="shared" ca="1" si="10"/>
        <v>29</v>
      </c>
      <c r="J24" s="159"/>
    </row>
    <row r="25" spans="1:10" s="119" customFormat="1" ht="16.8">
      <c r="A25" s="112" t="s">
        <v>100</v>
      </c>
      <c r="B25" s="113">
        <v>1</v>
      </c>
      <c r="C25" s="114" t="s">
        <v>32</v>
      </c>
      <c r="D25" s="115" t="str">
        <f>IF(C25="Str",'Personal File'!$C$8,IF(C25="Dex",'Personal File'!$C$9,IF(C25="Con",'Personal File'!$C$10,IF(C25="Int",'Personal File'!$C$11,IF(C25="Wis",'Personal File'!$C$12,IF(C25="Cha",'Personal File'!$C$13))))))</f>
        <v>+2</v>
      </c>
      <c r="E25" s="116" t="str">
        <f t="shared" si="8"/>
        <v>Int (+2)</v>
      </c>
      <c r="F25" s="117" t="s">
        <v>62</v>
      </c>
      <c r="G25" s="117">
        <f t="shared" si="6"/>
        <v>3</v>
      </c>
      <c r="H25" s="103">
        <f t="shared" ca="1" si="2"/>
        <v>20</v>
      </c>
      <c r="I25" s="117">
        <f t="shared" ref="I25" ca="1" si="11">SUM(G25:H25)</f>
        <v>23</v>
      </c>
      <c r="J25" s="159"/>
    </row>
    <row r="26" spans="1:10" s="119" customFormat="1" ht="16.8">
      <c r="A26" s="112" t="s">
        <v>98</v>
      </c>
      <c r="B26" s="113">
        <v>1</v>
      </c>
      <c r="C26" s="114" t="s">
        <v>32</v>
      </c>
      <c r="D26" s="115" t="str">
        <f>IF(C26="Str",'Personal File'!$C$8,IF(C26="Dex",'Personal File'!$C$9,IF(C26="Con",'Personal File'!$C$10,IF(C26="Int",'Personal File'!$C$11,IF(C26="Wis",'Personal File'!$C$12,IF(C26="Cha",'Personal File'!$C$13))))))</f>
        <v>+2</v>
      </c>
      <c r="E26" s="116" t="str">
        <f t="shared" ref="E26:E28" si="12">CONCATENATE(C26," (",D26,")")</f>
        <v>Int (+2)</v>
      </c>
      <c r="F26" s="117" t="s">
        <v>62</v>
      </c>
      <c r="G26" s="117">
        <f t="shared" si="6"/>
        <v>3</v>
      </c>
      <c r="H26" s="103">
        <f t="shared" ca="1" si="2"/>
        <v>2</v>
      </c>
      <c r="I26" s="117">
        <f t="shared" ref="I26" ca="1" si="13">SUM(G26:H26)</f>
        <v>5</v>
      </c>
      <c r="J26" s="159"/>
    </row>
    <row r="27" spans="1:10" s="119" customFormat="1" ht="16.8">
      <c r="A27" s="112" t="s">
        <v>138</v>
      </c>
      <c r="B27" s="113">
        <v>1</v>
      </c>
      <c r="C27" s="114" t="s">
        <v>32</v>
      </c>
      <c r="D27" s="115" t="str">
        <f>IF(C27="Str",'Personal File'!$C$8,IF(C27="Dex",'Personal File'!$C$9,IF(C27="Con",'Personal File'!$C$10,IF(C27="Int",'Personal File'!$C$11,IF(C27="Wis",'Personal File'!$C$12,IF(C27="Cha",'Personal File'!$C$13))))))</f>
        <v>+2</v>
      </c>
      <c r="E27" s="116" t="str">
        <f t="shared" ref="E27" si="14">CONCATENATE(C27," (",D27,")")</f>
        <v>Int (+2)</v>
      </c>
      <c r="F27" s="117" t="s">
        <v>62</v>
      </c>
      <c r="G27" s="117">
        <f t="shared" ref="G27" si="15">B27+D27+F27</f>
        <v>3</v>
      </c>
      <c r="H27" s="103">
        <f t="shared" ca="1" si="2"/>
        <v>14</v>
      </c>
      <c r="I27" s="117">
        <f t="shared" ref="I27" ca="1" si="16">SUM(G27:H27)</f>
        <v>17</v>
      </c>
      <c r="J27" s="159"/>
    </row>
    <row r="28" spans="1:10" s="119" customFormat="1" ht="16.8">
      <c r="A28" s="112" t="s">
        <v>101</v>
      </c>
      <c r="B28" s="113">
        <v>1</v>
      </c>
      <c r="C28" s="114" t="s">
        <v>32</v>
      </c>
      <c r="D28" s="115" t="str">
        <f>IF(C28="Str",'Personal File'!$C$8,IF(C28="Dex",'Personal File'!$C$9,IF(C28="Con",'Personal File'!$C$10,IF(C28="Int",'Personal File'!$C$11,IF(C28="Wis",'Personal File'!$C$12,IF(C28="Cha",'Personal File'!$C$13))))))</f>
        <v>+2</v>
      </c>
      <c r="E28" s="116" t="str">
        <f t="shared" si="12"/>
        <v>Int (+2)</v>
      </c>
      <c r="F28" s="117" t="s">
        <v>62</v>
      </c>
      <c r="G28" s="117">
        <f t="shared" si="6"/>
        <v>3</v>
      </c>
      <c r="H28" s="103">
        <f t="shared" ca="1" si="2"/>
        <v>13</v>
      </c>
      <c r="I28" s="117">
        <f t="shared" ref="I28" ca="1" si="17">SUM(G28:H28)</f>
        <v>16</v>
      </c>
      <c r="J28" s="159"/>
    </row>
    <row r="29" spans="1:10" s="119" customFormat="1" ht="16.8">
      <c r="A29" s="112" t="s">
        <v>90</v>
      </c>
      <c r="B29" s="113">
        <v>1</v>
      </c>
      <c r="C29" s="114" t="s">
        <v>32</v>
      </c>
      <c r="D29" s="115" t="str">
        <f>IF(C29="Str",'Personal File'!$C$8,IF(C29="Dex",'Personal File'!$C$9,IF(C29="Con",'Personal File'!$C$10,IF(C29="Int",'Personal File'!$C$11,IF(C29="Wis",'Personal File'!$C$12,IF(C29="Cha",'Personal File'!$C$13))))))</f>
        <v>+2</v>
      </c>
      <c r="E29" s="116" t="str">
        <f t="shared" ref="E29:E33" si="18">CONCATENATE(C29," (",D29,")")</f>
        <v>Int (+2)</v>
      </c>
      <c r="F29" s="117" t="s">
        <v>62</v>
      </c>
      <c r="G29" s="117">
        <f t="shared" si="6"/>
        <v>3</v>
      </c>
      <c r="H29" s="103">
        <f t="shared" ca="1" si="2"/>
        <v>8</v>
      </c>
      <c r="I29" s="117">
        <f t="shared" ca="1" si="10"/>
        <v>11</v>
      </c>
      <c r="J29" s="159"/>
    </row>
    <row r="30" spans="1:10" s="119" customFormat="1" ht="16.8">
      <c r="A30" s="112" t="s">
        <v>108</v>
      </c>
      <c r="B30" s="113">
        <v>1</v>
      </c>
      <c r="C30" s="114" t="s">
        <v>32</v>
      </c>
      <c r="D30" s="115" t="str">
        <f>IF(C30="Str",'Personal File'!$C$8,IF(C30="Dex",'Personal File'!$C$9,IF(C30="Con",'Personal File'!$C$10,IF(C30="Int",'Personal File'!$C$11,IF(C30="Wis",'Personal File'!$C$12,IF(C30="Cha",'Personal File'!$C$13))))))</f>
        <v>+2</v>
      </c>
      <c r="E30" s="116" t="str">
        <f t="shared" ref="E30:E31" si="19">CONCATENATE(C30," (",D30,")")</f>
        <v>Int (+2)</v>
      </c>
      <c r="F30" s="117" t="s">
        <v>62</v>
      </c>
      <c r="G30" s="117">
        <f t="shared" si="6"/>
        <v>3</v>
      </c>
      <c r="H30" s="103">
        <f t="shared" ca="1" si="2"/>
        <v>1</v>
      </c>
      <c r="I30" s="117">
        <f t="shared" ref="I30:I31" ca="1" si="20">SUM(G30:H30)</f>
        <v>4</v>
      </c>
      <c r="J30" s="159"/>
    </row>
    <row r="31" spans="1:10" s="119" customFormat="1" ht="16.8">
      <c r="A31" s="112" t="s">
        <v>107</v>
      </c>
      <c r="B31" s="113">
        <v>1</v>
      </c>
      <c r="C31" s="114" t="s">
        <v>32</v>
      </c>
      <c r="D31" s="115" t="str">
        <f>IF(C31="Str",'Personal File'!$C$8,IF(C31="Dex",'Personal File'!$C$9,IF(C31="Con",'Personal File'!$C$10,IF(C31="Int",'Personal File'!$C$11,IF(C31="Wis",'Personal File'!$C$12,IF(C31="Cha",'Personal File'!$C$13))))))</f>
        <v>+2</v>
      </c>
      <c r="E31" s="116" t="str">
        <f t="shared" si="19"/>
        <v>Int (+2)</v>
      </c>
      <c r="F31" s="117" t="s">
        <v>62</v>
      </c>
      <c r="G31" s="117">
        <f t="shared" si="6"/>
        <v>3</v>
      </c>
      <c r="H31" s="103">
        <f t="shared" ca="1" si="2"/>
        <v>15</v>
      </c>
      <c r="I31" s="117">
        <f t="shared" ca="1" si="20"/>
        <v>18</v>
      </c>
      <c r="J31" s="159"/>
    </row>
    <row r="32" spans="1:10" s="119" customFormat="1" ht="16.8">
      <c r="A32" s="112" t="s">
        <v>91</v>
      </c>
      <c r="B32" s="113">
        <v>9</v>
      </c>
      <c r="C32" s="114" t="s">
        <v>32</v>
      </c>
      <c r="D32" s="115" t="str">
        <f>IF(C32="Str",'Personal File'!$C$8,IF(C32="Dex",'Personal File'!$C$9,IF(C32="Con",'Personal File'!$C$10,IF(C32="Int",'Personal File'!$C$11,IF(C32="Wis",'Personal File'!$C$12,IF(C32="Cha",'Personal File'!$C$13))))))</f>
        <v>+2</v>
      </c>
      <c r="E32" s="116" t="str">
        <f t="shared" ref="E32" si="21">CONCATENATE(C32," (",D32,")")</f>
        <v>Int (+2)</v>
      </c>
      <c r="F32" s="117" t="s">
        <v>62</v>
      </c>
      <c r="G32" s="117">
        <f t="shared" si="6"/>
        <v>11</v>
      </c>
      <c r="H32" s="103">
        <f t="shared" ca="1" si="2"/>
        <v>5</v>
      </c>
      <c r="I32" s="117">
        <f t="shared" ref="I32" ca="1" si="22">SUM(G32:H32)</f>
        <v>16</v>
      </c>
      <c r="J32" s="159"/>
    </row>
    <row r="33" spans="1:10" s="119" customFormat="1" ht="16.8">
      <c r="A33" s="112" t="s">
        <v>97</v>
      </c>
      <c r="B33" s="113">
        <v>6</v>
      </c>
      <c r="C33" s="114" t="s">
        <v>32</v>
      </c>
      <c r="D33" s="115" t="str">
        <f>IF(C33="Str",'Personal File'!$C$8,IF(C33="Dex",'Personal File'!$C$9,IF(C33="Con",'Personal File'!$C$10,IF(C33="Int",'Personal File'!$C$11,IF(C33="Wis",'Personal File'!$C$12,IF(C33="Cha",'Personal File'!$C$13))))))</f>
        <v>+2</v>
      </c>
      <c r="E33" s="116" t="str">
        <f t="shared" si="18"/>
        <v>Int (+2)</v>
      </c>
      <c r="F33" s="117" t="s">
        <v>62</v>
      </c>
      <c r="G33" s="117">
        <f t="shared" si="6"/>
        <v>8</v>
      </c>
      <c r="H33" s="103">
        <f t="shared" ca="1" si="2"/>
        <v>20</v>
      </c>
      <c r="I33" s="117">
        <f t="shared" ca="1" si="10"/>
        <v>28</v>
      </c>
      <c r="J33" s="159"/>
    </row>
    <row r="34" spans="1:10" s="119" customFormat="1" ht="16.8">
      <c r="A34" s="147" t="s">
        <v>53</v>
      </c>
      <c r="B34" s="99">
        <v>0</v>
      </c>
      <c r="C34" s="148" t="s">
        <v>33</v>
      </c>
      <c r="D34" s="149" t="str">
        <f>IF(C34="Str",'Personal File'!$C$8,IF(C34="Dex",'Personal File'!$C$9,IF(C34="Con",'Personal File'!$C$10,IF(C34="Int",'Personal File'!$C$11,IF(C34="Wis",'Personal File'!$C$12,IF(C34="Cha",'Personal File'!$C$13))))))</f>
        <v>+0</v>
      </c>
      <c r="E34" s="150" t="str">
        <f t="shared" si="8"/>
        <v>Wis (+0)</v>
      </c>
      <c r="F34" s="124" t="s">
        <v>92</v>
      </c>
      <c r="G34" s="124">
        <f t="shared" si="6"/>
        <v>2</v>
      </c>
      <c r="H34" s="103">
        <f t="shared" ca="1" si="2"/>
        <v>19</v>
      </c>
      <c r="I34" s="124">
        <f t="shared" ca="1" si="10"/>
        <v>21</v>
      </c>
      <c r="J34" s="160"/>
    </row>
    <row r="35" spans="1:10" s="119" customFormat="1" ht="16.8">
      <c r="A35" s="133" t="s">
        <v>19</v>
      </c>
      <c r="B35" s="99">
        <v>0</v>
      </c>
      <c r="C35" s="134" t="s">
        <v>34</v>
      </c>
      <c r="D35" s="135" t="str">
        <f>IF(C35="Str",'Personal File'!$C$8,IF(C35="Dex",'Personal File'!$C$9,IF(C35="Con",'Personal File'!$C$10,IF(C35="Int",'Personal File'!$C$11,IF(C35="Wis",'Personal File'!$C$12,IF(C35="Cha",'Personal File'!$C$13))))))</f>
        <v>+2</v>
      </c>
      <c r="E35" s="104" t="str">
        <f t="shared" si="8"/>
        <v>Dex (+2)</v>
      </c>
      <c r="F35" s="124" t="s">
        <v>113</v>
      </c>
      <c r="G35" s="124">
        <f t="shared" si="6"/>
        <v>6</v>
      </c>
      <c r="H35" s="103">
        <f t="shared" ca="1" si="2"/>
        <v>13</v>
      </c>
      <c r="I35" s="124">
        <f t="shared" ca="1" si="10"/>
        <v>19</v>
      </c>
      <c r="J35" s="160"/>
    </row>
    <row r="36" spans="1:10" s="119" customFormat="1" ht="16.8">
      <c r="A36" s="271" t="s">
        <v>54</v>
      </c>
      <c r="B36" s="141">
        <v>0</v>
      </c>
      <c r="C36" s="272" t="s">
        <v>34</v>
      </c>
      <c r="D36" s="273" t="str">
        <f>IF(C36="Str",'Personal File'!$C$8,IF(C36="Dex",'Personal File'!$C$9,IF(C36="Con",'Personal File'!$C$10,IF(C36="Int",'Personal File'!$C$11,IF(C36="Wis",'Personal File'!$C$12,IF(C36="Cha",'Personal File'!$C$13))))))</f>
        <v>+2</v>
      </c>
      <c r="E36" s="274" t="str">
        <f t="shared" si="8"/>
        <v>Dex (+2)</v>
      </c>
      <c r="F36" s="145" t="s">
        <v>62</v>
      </c>
      <c r="G36" s="145">
        <f t="shared" si="6"/>
        <v>2</v>
      </c>
      <c r="H36" s="103">
        <f t="shared" ca="1" si="2"/>
        <v>8</v>
      </c>
      <c r="I36" s="145">
        <f t="shared" ca="1" si="10"/>
        <v>10</v>
      </c>
      <c r="J36" s="278"/>
    </row>
    <row r="37" spans="1:10" ht="16.8">
      <c r="A37" s="120" t="s">
        <v>131</v>
      </c>
      <c r="B37" s="99">
        <v>0</v>
      </c>
      <c r="C37" s="121" t="s">
        <v>30</v>
      </c>
      <c r="D37" s="122" t="str">
        <f>IF(C37="Str",'Personal File'!$C$8,IF(C37="Dex",'Personal File'!$C$9,IF(C37="Con",'Personal File'!$C$10,IF(C37="Int",'Personal File'!$C$11,IF(C37="Wis",'Personal File'!$C$12,IF(C37="Cha",'Personal File'!$C$13))))))</f>
        <v>+6</v>
      </c>
      <c r="E37" s="123" t="str">
        <f t="shared" si="8"/>
        <v>Cha (+6)</v>
      </c>
      <c r="F37" s="124" t="s">
        <v>62</v>
      </c>
      <c r="G37" s="124">
        <f t="shared" si="6"/>
        <v>6</v>
      </c>
      <c r="H37" s="103">
        <f t="shared" ca="1" si="2"/>
        <v>13</v>
      </c>
      <c r="I37" s="124">
        <f t="shared" ca="1" si="10"/>
        <v>19</v>
      </c>
      <c r="J37" s="160"/>
    </row>
    <row r="38" spans="1:10" ht="16.8">
      <c r="A38" s="120" t="s">
        <v>136</v>
      </c>
      <c r="B38" s="99">
        <v>0</v>
      </c>
      <c r="C38" s="148" t="s">
        <v>33</v>
      </c>
      <c r="D38" s="149" t="str">
        <f>IF(C38="Str",'Personal File'!$C$8,IF(C38="Dex",'Personal File'!$C$9,IF(C38="Con",'Personal File'!$C$10,IF(C38="Int",'Personal File'!$C$11,IF(C38="Wis",'Personal File'!$C$12,IF(C38="Cha",'Personal File'!$C$13))))))</f>
        <v>+0</v>
      </c>
      <c r="E38" s="150" t="str">
        <f t="shared" ref="E38" si="23">CONCATENATE(C38," (",D38,")")</f>
        <v>Wis (+0)</v>
      </c>
      <c r="F38" s="124" t="s">
        <v>62</v>
      </c>
      <c r="G38" s="124">
        <f t="shared" si="6"/>
        <v>0</v>
      </c>
      <c r="H38" s="103">
        <f t="shared" ca="1" si="2"/>
        <v>12</v>
      </c>
      <c r="I38" s="124">
        <f t="shared" ca="1" si="10"/>
        <v>12</v>
      </c>
      <c r="J38" s="160"/>
    </row>
    <row r="39" spans="1:10" ht="16.8">
      <c r="A39" s="133" t="s">
        <v>20</v>
      </c>
      <c r="B39" s="99">
        <v>0</v>
      </c>
      <c r="C39" s="134" t="s">
        <v>34</v>
      </c>
      <c r="D39" s="135" t="str">
        <f>IF(C39="Str",'Personal File'!$C$8,IF(C39="Dex",'Personal File'!$C$9,IF(C39="Con",'Personal File'!$C$10,IF(C39="Int",'Personal File'!$C$11,IF(C39="Wis",'Personal File'!$C$12,IF(C39="Cha",'Personal File'!$C$13))))))</f>
        <v>+2</v>
      </c>
      <c r="E39" s="104" t="str">
        <f t="shared" si="8"/>
        <v>Dex (+2)</v>
      </c>
      <c r="F39" s="124" t="s">
        <v>62</v>
      </c>
      <c r="G39" s="124">
        <f t="shared" si="6"/>
        <v>2</v>
      </c>
      <c r="H39" s="103">
        <f t="shared" ca="1" si="2"/>
        <v>12</v>
      </c>
      <c r="I39" s="124">
        <f t="shared" ca="1" si="10"/>
        <v>14</v>
      </c>
      <c r="J39" s="125"/>
    </row>
    <row r="40" spans="1:10" ht="16.8">
      <c r="A40" s="136" t="s">
        <v>21</v>
      </c>
      <c r="B40" s="99">
        <v>0</v>
      </c>
      <c r="C40" s="137" t="s">
        <v>32</v>
      </c>
      <c r="D40" s="138" t="str">
        <f>IF(C40="Str",'Personal File'!$C$8,IF(C40="Dex",'Personal File'!$C$9,IF(C40="Con",'Personal File'!$C$10,IF(C40="Int",'Personal File'!$C$11,IF(C40="Wis",'Personal File'!$C$12,IF(C40="Cha",'Personal File'!$C$13))))))</f>
        <v>+2</v>
      </c>
      <c r="E40" s="139" t="str">
        <f t="shared" si="8"/>
        <v>Int (+2)</v>
      </c>
      <c r="F40" s="124" t="s">
        <v>62</v>
      </c>
      <c r="G40" s="124">
        <f t="shared" si="6"/>
        <v>2</v>
      </c>
      <c r="H40" s="103">
        <f t="shared" ca="1" si="2"/>
        <v>12</v>
      </c>
      <c r="I40" s="124">
        <f t="shared" ca="1" si="10"/>
        <v>14</v>
      </c>
      <c r="J40" s="125"/>
    </row>
    <row r="41" spans="1:10" ht="16.8">
      <c r="A41" s="147" t="s">
        <v>55</v>
      </c>
      <c r="B41" s="99">
        <v>0</v>
      </c>
      <c r="C41" s="148" t="s">
        <v>33</v>
      </c>
      <c r="D41" s="149" t="str">
        <f>IF(C41="Str",'Personal File'!$C$8,IF(C41="Dex",'Personal File'!$C$9,IF(C41="Con",'Personal File'!$C$10,IF(C41="Int",'Personal File'!$C$11,IF(C41="Wis",'Personal File'!$C$12,IF(C41="Cha",'Personal File'!$C$13))))))</f>
        <v>+0</v>
      </c>
      <c r="E41" s="150" t="str">
        <f t="shared" si="8"/>
        <v>Wis (+0)</v>
      </c>
      <c r="F41" s="124" t="s">
        <v>62</v>
      </c>
      <c r="G41" s="124">
        <f t="shared" si="6"/>
        <v>0</v>
      </c>
      <c r="H41" s="103">
        <f t="shared" ca="1" si="2"/>
        <v>5</v>
      </c>
      <c r="I41" s="124">
        <f t="shared" ca="1" si="10"/>
        <v>5</v>
      </c>
      <c r="J41" s="125"/>
    </row>
    <row r="42" spans="1:10" ht="16.8">
      <c r="A42" s="271" t="s">
        <v>83</v>
      </c>
      <c r="B42" s="141">
        <v>0</v>
      </c>
      <c r="C42" s="272" t="s">
        <v>34</v>
      </c>
      <c r="D42" s="273" t="str">
        <f>IF(C42="Str",'Personal File'!$C$8,IF(C42="Dex",'Personal File'!$C$9,IF(C42="Con",'Personal File'!$C$10,IF(C42="Int",'Personal File'!$C$11,IF(C42="Wis",'Personal File'!$C$12,IF(C42="Cha",'Personal File'!$C$13))))))</f>
        <v>+2</v>
      </c>
      <c r="E42" s="274" t="str">
        <f t="shared" si="8"/>
        <v>Dex (+2)</v>
      </c>
      <c r="F42" s="145" t="s">
        <v>62</v>
      </c>
      <c r="G42" s="145">
        <f t="shared" si="6"/>
        <v>2</v>
      </c>
      <c r="H42" s="103">
        <f t="shared" ca="1" si="2"/>
        <v>15</v>
      </c>
      <c r="I42" s="145">
        <f t="shared" ca="1" si="10"/>
        <v>17</v>
      </c>
      <c r="J42" s="146"/>
    </row>
    <row r="43" spans="1:10" ht="16.8">
      <c r="A43" s="155" t="s">
        <v>139</v>
      </c>
      <c r="B43" s="141">
        <v>0</v>
      </c>
      <c r="C43" s="156" t="s">
        <v>32</v>
      </c>
      <c r="D43" s="157" t="str">
        <f>IF(C43="Str",'Personal File'!$C$8,IF(C43="Dex",'Personal File'!$C$9,IF(C43="Con",'Personal File'!$C$10,IF(C43="Int",'Personal File'!$C$11,IF(C43="Wis",'Personal File'!$C$12,IF(C43="Cha",'Personal File'!$C$13))))))</f>
        <v>+2</v>
      </c>
      <c r="E43" s="158" t="str">
        <f t="shared" si="8"/>
        <v>Int (+2)</v>
      </c>
      <c r="F43" s="145" t="s">
        <v>62</v>
      </c>
      <c r="G43" s="145">
        <f t="shared" si="6"/>
        <v>2</v>
      </c>
      <c r="H43" s="103">
        <f t="shared" ca="1" si="2"/>
        <v>13</v>
      </c>
      <c r="I43" s="145">
        <f t="shared" ca="1" si="10"/>
        <v>15</v>
      </c>
      <c r="J43" s="278"/>
    </row>
    <row r="44" spans="1:10" ht="16.8">
      <c r="A44" s="112" t="s">
        <v>56</v>
      </c>
      <c r="B44" s="113">
        <v>13</v>
      </c>
      <c r="C44" s="114" t="s">
        <v>32</v>
      </c>
      <c r="D44" s="115" t="str">
        <f>IF(C44="Str",'Personal File'!$C$8,IF(C44="Dex",'Personal File'!$C$9,IF(C44="Con",'Personal File'!$C$10,IF(C44="Int",'Personal File'!$C$11,IF(C44="Wis",'Personal File'!$C$12,IF(C44="Cha",'Personal File'!$C$13))))))</f>
        <v>+2</v>
      </c>
      <c r="E44" s="116" t="str">
        <f t="shared" si="8"/>
        <v>Int (+2)</v>
      </c>
      <c r="F44" s="117" t="s">
        <v>92</v>
      </c>
      <c r="G44" s="117">
        <f t="shared" si="6"/>
        <v>17</v>
      </c>
      <c r="H44" s="103">
        <f t="shared" ca="1" si="2"/>
        <v>10</v>
      </c>
      <c r="I44" s="117">
        <f t="shared" ca="1" si="10"/>
        <v>27</v>
      </c>
      <c r="J44" s="159"/>
    </row>
    <row r="45" spans="1:10" ht="16.8">
      <c r="A45" s="147" t="s">
        <v>57</v>
      </c>
      <c r="B45" s="99">
        <v>0</v>
      </c>
      <c r="C45" s="148" t="s">
        <v>33</v>
      </c>
      <c r="D45" s="149" t="str">
        <f>IF(C45="Str",'Personal File'!$C$8,IF(C45="Dex",'Personal File'!$C$9,IF(C45="Con",'Personal File'!$C$10,IF(C45="Int",'Personal File'!$C$11,IF(C45="Wis",'Personal File'!$C$12,IF(C45="Cha",'Personal File'!$C$13))))))</f>
        <v>+0</v>
      </c>
      <c r="E45" s="150" t="str">
        <f t="shared" si="8"/>
        <v>Wis (+0)</v>
      </c>
      <c r="F45" s="124" t="s">
        <v>92</v>
      </c>
      <c r="G45" s="124">
        <f t="shared" si="6"/>
        <v>2</v>
      </c>
      <c r="H45" s="103">
        <f t="shared" ca="1" si="2"/>
        <v>7</v>
      </c>
      <c r="I45" s="124">
        <f t="shared" ca="1" si="10"/>
        <v>9</v>
      </c>
      <c r="J45" s="125"/>
    </row>
    <row r="46" spans="1:10" ht="16.8">
      <c r="A46" s="317" t="s">
        <v>84</v>
      </c>
      <c r="B46" s="113">
        <v>8</v>
      </c>
      <c r="C46" s="301" t="s">
        <v>33</v>
      </c>
      <c r="D46" s="302" t="str">
        <f>IF(C46="Str",'Personal File'!$C$8,IF(C46="Dex",'Personal File'!$C$9,IF(C46="Con",'Personal File'!$C$10,IF(C46="Int",'Personal File'!$C$11,IF(C46="Wis",'Personal File'!$C$12,IF(C46="Cha",'Personal File'!$C$13))))))</f>
        <v>+0</v>
      </c>
      <c r="E46" s="303" t="str">
        <f t="shared" si="8"/>
        <v>Wis (+0)</v>
      </c>
      <c r="F46" s="117" t="s">
        <v>62</v>
      </c>
      <c r="G46" s="117">
        <f t="shared" si="6"/>
        <v>8</v>
      </c>
      <c r="H46" s="103">
        <f t="shared" ca="1" si="2"/>
        <v>4</v>
      </c>
      <c r="I46" s="117">
        <f t="shared" ca="1" si="10"/>
        <v>12</v>
      </c>
      <c r="J46" s="159"/>
    </row>
    <row r="47" spans="1:10" ht="16.8">
      <c r="A47" s="151" t="s">
        <v>22</v>
      </c>
      <c r="B47" s="99">
        <v>0</v>
      </c>
      <c r="C47" s="152" t="s">
        <v>35</v>
      </c>
      <c r="D47" s="153">
        <f>IF(C47="Str",'Personal File'!$C$8,IF(C47="Dex",'Personal File'!$C$9,IF(C47="Con",'Personal File'!$C$10,IF(C47="Int",'Personal File'!$C$11,IF(C47="Wis",'Personal File'!$C$12,IF(C47="Cha",'Personal File'!$C$13))))))</f>
        <v>-1</v>
      </c>
      <c r="E47" s="154" t="str">
        <f t="shared" si="8"/>
        <v>Str (-1)</v>
      </c>
      <c r="F47" s="124" t="s">
        <v>62</v>
      </c>
      <c r="G47" s="124">
        <f t="shared" si="6"/>
        <v>-1</v>
      </c>
      <c r="H47" s="103">
        <f t="shared" ca="1" si="2"/>
        <v>17</v>
      </c>
      <c r="I47" s="124">
        <f t="shared" ca="1" si="10"/>
        <v>16</v>
      </c>
      <c r="J47" s="125"/>
    </row>
    <row r="48" spans="1:10" ht="16.8">
      <c r="A48" s="271" t="s">
        <v>58</v>
      </c>
      <c r="B48" s="141">
        <v>0</v>
      </c>
      <c r="C48" s="272" t="s">
        <v>34</v>
      </c>
      <c r="D48" s="273" t="str">
        <f>IF(C48="Str",'Personal File'!$C$8,IF(C48="Dex",'Personal File'!$C$9,IF(C48="Con",'Personal File'!$C$10,IF(C48="Int",'Personal File'!$C$11,IF(C48="Wis",'Personal File'!$C$12,IF(C48="Cha",'Personal File'!$C$13))))))</f>
        <v>+2</v>
      </c>
      <c r="E48" s="274" t="str">
        <f t="shared" si="8"/>
        <v>Dex (+2)</v>
      </c>
      <c r="F48" s="145" t="s">
        <v>62</v>
      </c>
      <c r="G48" s="145">
        <f t="shared" si="6"/>
        <v>2</v>
      </c>
      <c r="H48" s="103">
        <f t="shared" ca="1" si="2"/>
        <v>19</v>
      </c>
      <c r="I48" s="145">
        <f t="shared" ca="1" si="10"/>
        <v>21</v>
      </c>
      <c r="J48" s="146"/>
    </row>
    <row r="49" spans="1:10" ht="16.8">
      <c r="A49" s="120" t="s">
        <v>59</v>
      </c>
      <c r="B49" s="99">
        <v>0</v>
      </c>
      <c r="C49" s="121" t="s">
        <v>30</v>
      </c>
      <c r="D49" s="122" t="str">
        <f>IF(C49="Str",'Personal File'!$C$8,IF(C49="Dex",'Personal File'!$C$9,IF(C49="Con",'Personal File'!$C$10,IF(C49="Int",'Personal File'!$C$11,IF(C49="Wis",'Personal File'!$C$12,IF(C49="Cha",'Personal File'!$C$13))))))</f>
        <v>+6</v>
      </c>
      <c r="E49" s="123" t="str">
        <f t="shared" si="8"/>
        <v>Cha (+6)</v>
      </c>
      <c r="F49" s="124" t="s">
        <v>62</v>
      </c>
      <c r="G49" s="124">
        <f t="shared" si="6"/>
        <v>6</v>
      </c>
      <c r="H49" s="103">
        <f t="shared" ca="1" si="2"/>
        <v>9</v>
      </c>
      <c r="I49" s="124">
        <f t="shared" ca="1" si="10"/>
        <v>15</v>
      </c>
      <c r="J49" s="125"/>
    </row>
    <row r="50" spans="1:10" ht="17.399999999999999" thickBot="1">
      <c r="A50" s="161" t="s">
        <v>60</v>
      </c>
      <c r="B50" s="162">
        <v>0</v>
      </c>
      <c r="C50" s="163" t="s">
        <v>34</v>
      </c>
      <c r="D50" s="164" t="str">
        <f>IF(C50="Str",'Personal File'!$C$8,IF(C50="Dex",'Personal File'!$C$9,IF(C50="Con",'Personal File'!$C$10,IF(C50="Int",'Personal File'!$C$11,IF(C50="Wis",'Personal File'!$C$12,IF(C50="Cha",'Personal File'!$C$13))))))</f>
        <v>+2</v>
      </c>
      <c r="E50" s="165" t="str">
        <f t="shared" si="8"/>
        <v>Dex (+2)</v>
      </c>
      <c r="F50" s="166" t="s">
        <v>62</v>
      </c>
      <c r="G50" s="166">
        <f t="shared" si="6"/>
        <v>2</v>
      </c>
      <c r="H50" s="167">
        <f t="shared" ref="H50" ca="1" si="24">RANDBETWEEN(1,20)</f>
        <v>15</v>
      </c>
      <c r="I50" s="166">
        <f t="shared" ca="1" si="10"/>
        <v>17</v>
      </c>
      <c r="J50" s="168"/>
    </row>
    <row r="51" spans="1:10" ht="16.2" thickTop="1">
      <c r="B51" s="170">
        <f>SUM(B6:B50)+B39</f>
        <v>81</v>
      </c>
      <c r="E51" s="170">
        <f>SUM(E52:E62)</f>
        <v>65</v>
      </c>
      <c r="F51" s="172"/>
    </row>
    <row r="52" spans="1:10">
      <c r="B52" s="170"/>
      <c r="E52" s="318">
        <f>4*(2+'Personal File'!$C$11)</f>
        <v>16</v>
      </c>
      <c r="F52" s="173" t="s">
        <v>182</v>
      </c>
    </row>
    <row r="53" spans="1:10">
      <c r="E53" s="318">
        <f>2+'Personal File'!$C$11</f>
        <v>4</v>
      </c>
      <c r="F53" s="173" t="s">
        <v>183</v>
      </c>
    </row>
    <row r="54" spans="1:10">
      <c r="E54" s="318">
        <f>2+'Personal File'!$C$11</f>
        <v>4</v>
      </c>
      <c r="F54" s="173" t="s">
        <v>184</v>
      </c>
    </row>
    <row r="55" spans="1:10">
      <c r="E55" s="318">
        <f>2+'Personal File'!$C$11</f>
        <v>4</v>
      </c>
      <c r="F55" s="173" t="s">
        <v>185</v>
      </c>
    </row>
    <row r="56" spans="1:10">
      <c r="E56" s="318">
        <f>2+'Personal File'!$C$11</f>
        <v>4</v>
      </c>
      <c r="F56" s="173" t="s">
        <v>186</v>
      </c>
    </row>
    <row r="57" spans="1:10">
      <c r="E57" s="318">
        <f>2+'Personal File'!$C$11</f>
        <v>4</v>
      </c>
      <c r="F57" s="173" t="s">
        <v>187</v>
      </c>
    </row>
    <row r="58" spans="1:10">
      <c r="E58" s="318">
        <f>2+'Personal File'!$C$11</f>
        <v>4</v>
      </c>
      <c r="F58" s="173" t="s">
        <v>188</v>
      </c>
    </row>
    <row r="59" spans="1:10">
      <c r="E59" s="318">
        <f>2+'Personal File'!$C$11</f>
        <v>4</v>
      </c>
      <c r="F59" s="173" t="s">
        <v>189</v>
      </c>
    </row>
    <row r="60" spans="1:10">
      <c r="E60" s="318">
        <f>2+'Personal File'!$C$11</f>
        <v>4</v>
      </c>
      <c r="F60" s="173" t="s">
        <v>190</v>
      </c>
    </row>
    <row r="61" spans="1:10">
      <c r="E61" s="318">
        <f>2+'Personal File'!$C$11</f>
        <v>4</v>
      </c>
      <c r="F61" s="173" t="s">
        <v>191</v>
      </c>
    </row>
    <row r="62" spans="1:10">
      <c r="E62" s="29">
        <f>SUM('Personal File'!E3:E4,3)</f>
        <v>13</v>
      </c>
      <c r="F62" s="173" t="s">
        <v>137</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pane ySplit="2" topLeftCell="A3" activePane="bottomLeft" state="frozen"/>
      <selection pane="bottomLeft" activeCell="A3" sqref="A3"/>
    </sheetView>
  </sheetViews>
  <sheetFormatPr defaultColWidth="13" defaultRowHeight="15.6"/>
  <cols>
    <col min="1" max="1" width="18" style="315" bestFit="1" customWidth="1"/>
    <col min="2" max="2" width="7" style="315" bestFit="1" customWidth="1"/>
    <col min="3" max="3" width="9.59765625" style="316" bestFit="1" customWidth="1"/>
    <col min="4" max="4" width="11.19921875" style="316" bestFit="1" customWidth="1"/>
    <col min="5" max="5" width="11" style="316" customWidth="1"/>
    <col min="6" max="6" width="9.5" style="316" bestFit="1" customWidth="1"/>
    <col min="7" max="7" width="9.5" style="316" customWidth="1"/>
    <col min="8" max="8" width="29.8984375" style="315" customWidth="1"/>
    <col min="9" max="16384" width="13" style="313"/>
  </cols>
  <sheetData>
    <row r="1" spans="1:8" ht="23.4" thickBot="1">
      <c r="A1" s="362" t="s">
        <v>202</v>
      </c>
      <c r="B1" s="312"/>
      <c r="C1" s="312"/>
      <c r="D1" s="312"/>
      <c r="E1" s="312"/>
      <c r="F1" s="312"/>
      <c r="G1" s="312"/>
      <c r="H1" s="312"/>
    </row>
    <row r="2" spans="1:8" s="314" customFormat="1" ht="31.2">
      <c r="A2" s="361" t="s">
        <v>94</v>
      </c>
      <c r="B2" s="359" t="s">
        <v>201</v>
      </c>
      <c r="C2" s="359" t="s">
        <v>200</v>
      </c>
      <c r="D2" s="360" t="s">
        <v>199</v>
      </c>
      <c r="E2" s="359" t="s">
        <v>115</v>
      </c>
      <c r="F2" s="359" t="s">
        <v>116</v>
      </c>
      <c r="G2" s="359" t="s">
        <v>228</v>
      </c>
      <c r="H2" s="358" t="s">
        <v>198</v>
      </c>
    </row>
    <row r="3" spans="1:8" s="314" customFormat="1" ht="16.8">
      <c r="A3" s="357" t="s">
        <v>197</v>
      </c>
      <c r="B3" s="356" t="s">
        <v>196</v>
      </c>
      <c r="C3" s="355">
        <v>1</v>
      </c>
      <c r="D3" s="243" t="s">
        <v>193</v>
      </c>
      <c r="E3" s="244" t="s">
        <v>217</v>
      </c>
      <c r="F3" s="244" t="s">
        <v>117</v>
      </c>
      <c r="G3" s="373">
        <f>10+'Personal File'!$C$13+Invocations!C3</f>
        <v>17</v>
      </c>
      <c r="H3" s="354" t="s">
        <v>222</v>
      </c>
    </row>
    <row r="4" spans="1:8" s="314" customFormat="1" ht="16.8">
      <c r="A4" s="357" t="s">
        <v>209</v>
      </c>
      <c r="B4" s="356"/>
      <c r="C4" s="355"/>
      <c r="D4" s="243"/>
      <c r="E4" s="244"/>
      <c r="F4" s="244"/>
      <c r="G4" s="373">
        <f>10+'Personal File'!$C$13+Invocations!C4</f>
        <v>16</v>
      </c>
      <c r="H4" s="354"/>
    </row>
    <row r="5" spans="1:8" ht="34.200000000000003" thickBot="1">
      <c r="A5" s="353" t="s">
        <v>195</v>
      </c>
      <c r="B5" s="352" t="s">
        <v>194</v>
      </c>
      <c r="C5" s="351">
        <v>2</v>
      </c>
      <c r="D5" s="350" t="s">
        <v>193</v>
      </c>
      <c r="E5" s="349" t="s">
        <v>118</v>
      </c>
      <c r="F5" s="349" t="s">
        <v>140</v>
      </c>
      <c r="G5" s="374">
        <f>10+'Personal File'!$C$13+Invocations!C5</f>
        <v>18</v>
      </c>
      <c r="H5" s="348" t="s">
        <v>192</v>
      </c>
    </row>
    <row r="6" spans="1:8" ht="17.399999999999999" thickTop="1">
      <c r="A6" s="347"/>
      <c r="B6" s="346"/>
      <c r="C6" s="345"/>
      <c r="D6" s="345"/>
      <c r="E6" s="345"/>
      <c r="F6" s="345"/>
      <c r="G6" s="345"/>
      <c r="H6" s="344"/>
    </row>
    <row r="7" spans="1:8">
      <c r="A7" s="313"/>
      <c r="B7" s="313"/>
      <c r="C7" s="313"/>
      <c r="D7" s="313"/>
      <c r="E7" s="313"/>
      <c r="F7" s="313"/>
      <c r="G7" s="313"/>
      <c r="H7" s="313"/>
    </row>
    <row r="8" spans="1:8">
      <c r="A8" s="313"/>
      <c r="B8" s="313"/>
      <c r="C8" s="313"/>
      <c r="D8" s="313"/>
      <c r="E8" s="313"/>
      <c r="F8" s="313"/>
      <c r="G8" s="313"/>
      <c r="H8" s="313"/>
    </row>
    <row r="9" spans="1:8">
      <c r="A9" s="313"/>
      <c r="B9" s="313"/>
      <c r="C9" s="313"/>
      <c r="D9" s="313"/>
      <c r="E9" s="313"/>
      <c r="F9" s="313"/>
      <c r="G9" s="313"/>
      <c r="H9" s="313"/>
    </row>
    <row r="10" spans="1:8">
      <c r="A10" s="313"/>
      <c r="B10" s="313"/>
      <c r="C10" s="313"/>
      <c r="D10" s="313"/>
      <c r="E10" s="313"/>
      <c r="F10" s="313"/>
      <c r="G10" s="313"/>
      <c r="H10" s="313"/>
    </row>
    <row r="11" spans="1:8">
      <c r="A11" s="313"/>
      <c r="B11" s="313"/>
      <c r="C11" s="313"/>
      <c r="D11" s="313"/>
      <c r="E11" s="313"/>
      <c r="F11" s="313"/>
      <c r="G11" s="313"/>
      <c r="H11" s="313"/>
    </row>
    <row r="12" spans="1:8">
      <c r="A12" s="313"/>
      <c r="B12" s="313"/>
      <c r="C12" s="313"/>
      <c r="D12" s="313"/>
      <c r="E12" s="313"/>
      <c r="F12" s="313"/>
      <c r="G12" s="313"/>
      <c r="H12" s="313"/>
    </row>
    <row r="13" spans="1:8">
      <c r="A13" s="313"/>
      <c r="B13" s="313"/>
      <c r="C13" s="313"/>
      <c r="D13" s="313"/>
      <c r="E13" s="313"/>
      <c r="F13" s="313"/>
      <c r="G13" s="313"/>
      <c r="H13" s="313"/>
    </row>
    <row r="14" spans="1:8">
      <c r="A14" s="313"/>
      <c r="B14" s="313"/>
      <c r="C14" s="313"/>
      <c r="D14" s="313"/>
      <c r="E14" s="313"/>
      <c r="F14" s="313"/>
      <c r="G14" s="313"/>
      <c r="H14" s="313"/>
    </row>
    <row r="15" spans="1:8">
      <c r="A15" s="313"/>
      <c r="B15" s="313"/>
      <c r="C15" s="313"/>
      <c r="D15" s="313"/>
      <c r="E15" s="313"/>
      <c r="F15" s="313"/>
      <c r="G15" s="313"/>
      <c r="H15" s="313"/>
    </row>
    <row r="16" spans="1:8">
      <c r="A16" s="313"/>
      <c r="B16" s="313"/>
      <c r="C16" s="313"/>
      <c r="D16" s="313"/>
      <c r="E16" s="313"/>
      <c r="F16" s="313"/>
      <c r="G16" s="313"/>
      <c r="H16" s="313"/>
    </row>
    <row r="17" spans="1:8">
      <c r="A17" s="313"/>
      <c r="B17" s="313"/>
      <c r="C17" s="313"/>
      <c r="D17" s="313"/>
      <c r="E17" s="313"/>
      <c r="F17" s="313"/>
      <c r="G17" s="313"/>
      <c r="H17" s="313"/>
    </row>
    <row r="18" spans="1:8">
      <c r="A18" s="313"/>
      <c r="B18" s="313"/>
      <c r="C18" s="313"/>
      <c r="D18" s="313"/>
      <c r="E18" s="313"/>
      <c r="F18" s="313"/>
      <c r="G18" s="313"/>
      <c r="H18" s="313"/>
    </row>
    <row r="19" spans="1:8">
      <c r="A19" s="313"/>
      <c r="B19" s="313"/>
      <c r="C19" s="313"/>
      <c r="D19" s="313"/>
      <c r="E19" s="313"/>
      <c r="F19" s="313"/>
      <c r="G19" s="313"/>
    </row>
    <row r="20" spans="1:8">
      <c r="A20" s="313"/>
      <c r="B20" s="313"/>
      <c r="C20" s="313"/>
      <c r="D20" s="313"/>
      <c r="E20" s="313"/>
      <c r="F20" s="313"/>
      <c r="G20" s="313"/>
    </row>
    <row r="21" spans="1:8">
      <c r="A21" s="313"/>
      <c r="B21" s="313"/>
      <c r="C21" s="313"/>
      <c r="D21" s="313"/>
      <c r="E21" s="313"/>
      <c r="F21" s="313"/>
      <c r="G21" s="313"/>
    </row>
    <row r="22" spans="1:8">
      <c r="A22" s="313"/>
      <c r="B22" s="313"/>
      <c r="C22" s="313"/>
    </row>
    <row r="23" spans="1:8">
      <c r="A23" s="313"/>
      <c r="B23" s="313"/>
      <c r="C23" s="313"/>
    </row>
    <row r="24" spans="1:8">
      <c r="A24" s="313"/>
      <c r="B24" s="313"/>
      <c r="C24" s="313"/>
    </row>
    <row r="25" spans="1:8">
      <c r="A25" s="313"/>
      <c r="B25" s="313"/>
      <c r="C25" s="313"/>
    </row>
  </sheetData>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4"/>
  <sheetViews>
    <sheetView showGridLines="0" workbookViewId="0"/>
  </sheetViews>
  <sheetFormatPr defaultColWidth="10.59765625" defaultRowHeight="16.8"/>
  <cols>
    <col min="1" max="1" width="34.796875" style="97" bestFit="1" customWidth="1"/>
    <col min="2" max="2" width="2.59765625" style="95" customWidth="1"/>
    <col min="3" max="3" width="34.59765625" style="96" bestFit="1" customWidth="1"/>
    <col min="4" max="16384" width="10.59765625" style="96"/>
  </cols>
  <sheetData>
    <row r="1" spans="1:3" ht="24" thickTop="1" thickBot="1">
      <c r="A1" s="267" t="s">
        <v>89</v>
      </c>
      <c r="C1" s="371" t="s">
        <v>203</v>
      </c>
    </row>
    <row r="2" spans="1:3">
      <c r="A2" s="320" t="s">
        <v>204</v>
      </c>
      <c r="C2" s="369" t="s">
        <v>227</v>
      </c>
    </row>
    <row r="3" spans="1:3">
      <c r="A3" s="364" t="s">
        <v>205</v>
      </c>
      <c r="C3" s="369" t="s">
        <v>218</v>
      </c>
    </row>
    <row r="4" spans="1:3">
      <c r="A4" s="365" t="s">
        <v>206</v>
      </c>
      <c r="C4" s="369" t="s">
        <v>219</v>
      </c>
    </row>
    <row r="5" spans="1:3">
      <c r="A5" s="228" t="s">
        <v>207</v>
      </c>
      <c r="C5" s="369" t="s">
        <v>224</v>
      </c>
    </row>
    <row r="6" spans="1:3" ht="17.399999999999999" thickBot="1">
      <c r="A6" s="363" t="s">
        <v>208</v>
      </c>
      <c r="C6" s="369" t="s">
        <v>220</v>
      </c>
    </row>
    <row r="7" spans="1:3" ht="18" thickTop="1" thickBot="1">
      <c r="C7" s="369" t="s">
        <v>221</v>
      </c>
    </row>
    <row r="8" spans="1:3" ht="24" thickTop="1" thickBot="1">
      <c r="A8" s="268" t="s">
        <v>87</v>
      </c>
      <c r="C8" s="369" t="s">
        <v>223</v>
      </c>
    </row>
    <row r="9" spans="1:3" ht="17.399999999999999" thickBot="1">
      <c r="A9" s="321" t="s">
        <v>215</v>
      </c>
      <c r="C9" s="369" t="s">
        <v>225</v>
      </c>
    </row>
    <row r="10" spans="1:3" ht="18" thickTop="1" thickBot="1">
      <c r="C10" s="370" t="s">
        <v>226</v>
      </c>
    </row>
    <row r="11" spans="1:3" ht="24" thickTop="1" thickBot="1">
      <c r="A11" s="269" t="s">
        <v>74</v>
      </c>
    </row>
    <row r="12" spans="1:3">
      <c r="A12" s="367" t="s">
        <v>216</v>
      </c>
    </row>
    <row r="13" spans="1:3" ht="17.399999999999999" thickBot="1">
      <c r="A13" s="368"/>
    </row>
    <row r="14" spans="1:3" ht="17.399999999999999" thickTop="1"/>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showGridLines="0" workbookViewId="0"/>
  </sheetViews>
  <sheetFormatPr defaultColWidth="13" defaultRowHeight="15.6"/>
  <cols>
    <col min="1" max="1" width="20.19921875" style="29" bestFit="1" customWidth="1"/>
    <col min="2" max="2" width="8.59765625" style="29" customWidth="1"/>
    <col min="3" max="3" width="4.3984375" style="29" bestFit="1" customWidth="1"/>
    <col min="4" max="4" width="6.69921875" style="29" customWidth="1"/>
    <col min="5" max="5" width="8.5" style="29" bestFit="1" customWidth="1"/>
    <col min="6" max="6" width="8.8984375" style="29" bestFit="1" customWidth="1"/>
    <col min="7" max="7" width="4.5" style="29" bestFit="1" customWidth="1"/>
    <col min="8" max="8" width="8.796875" style="29" bestFit="1" customWidth="1"/>
    <col min="9" max="9" width="5.5" style="29" bestFit="1" customWidth="1"/>
    <col min="10" max="10" width="6.19921875" style="29" bestFit="1" customWidth="1"/>
    <col min="11" max="11" width="24.19921875" style="29" bestFit="1" customWidth="1"/>
    <col min="12" max="12" width="3.3984375" style="24" customWidth="1"/>
    <col min="13" max="13" width="7.3984375" style="236" bestFit="1" customWidth="1"/>
    <col min="14" max="14" width="7.69921875" style="29" bestFit="1" customWidth="1"/>
    <col min="15" max="16384" width="13" style="24"/>
  </cols>
  <sheetData>
    <row r="1" spans="1:14" ht="23.4" thickBot="1">
      <c r="A1" s="338" t="s">
        <v>23</v>
      </c>
      <c r="B1" s="22"/>
      <c r="C1" s="22"/>
      <c r="D1" s="22"/>
      <c r="E1" s="22"/>
      <c r="F1" s="22"/>
      <c r="G1" s="22"/>
      <c r="H1" s="22"/>
      <c r="I1" s="22"/>
      <c r="J1" s="22"/>
      <c r="K1" s="22"/>
    </row>
    <row r="2" spans="1:14" ht="16.8" thickTop="1" thickBot="1">
      <c r="A2" s="60" t="s">
        <v>4</v>
      </c>
      <c r="B2" s="61" t="s">
        <v>5</v>
      </c>
      <c r="C2" s="61" t="s">
        <v>25</v>
      </c>
      <c r="D2" s="61" t="s">
        <v>26</v>
      </c>
      <c r="E2" s="62" t="s">
        <v>67</v>
      </c>
      <c r="F2" s="61" t="s">
        <v>24</v>
      </c>
      <c r="G2" s="61" t="s">
        <v>27</v>
      </c>
      <c r="H2" s="63" t="s">
        <v>88</v>
      </c>
      <c r="I2" s="64" t="s">
        <v>93</v>
      </c>
      <c r="J2" s="63" t="s">
        <v>79</v>
      </c>
      <c r="K2" s="65" t="s">
        <v>78</v>
      </c>
      <c r="M2" s="237" t="s">
        <v>122</v>
      </c>
    </row>
    <row r="3" spans="1:14">
      <c r="A3" s="242" t="s">
        <v>141</v>
      </c>
      <c r="B3" s="8" t="s">
        <v>151</v>
      </c>
      <c r="C3" s="9">
        <v>0</v>
      </c>
      <c r="D3" s="10" t="s">
        <v>62</v>
      </c>
      <c r="E3" s="10" t="s">
        <v>132</v>
      </c>
      <c r="F3" s="11" t="s">
        <v>133</v>
      </c>
      <c r="G3" s="12">
        <v>2</v>
      </c>
      <c r="H3" s="233">
        <f>'Personal File'!$B$6+'Personal File'!$C$8+D3</f>
        <v>4</v>
      </c>
      <c r="I3" s="234">
        <f t="shared" ref="I3:I4" ca="1" si="0">RANDBETWEEN(1,20)</f>
        <v>5</v>
      </c>
      <c r="J3" s="235">
        <f t="shared" ref="J3:J4" ca="1" si="1">I3+H3</f>
        <v>9</v>
      </c>
      <c r="K3" s="19"/>
      <c r="L3" s="227"/>
      <c r="M3" s="238">
        <v>0</v>
      </c>
    </row>
    <row r="4" spans="1:14">
      <c r="A4" s="332" t="s">
        <v>210</v>
      </c>
      <c r="B4" s="224"/>
      <c r="C4" s="333">
        <v>1</v>
      </c>
      <c r="D4" s="334" t="s">
        <v>211</v>
      </c>
      <c r="E4" s="334"/>
      <c r="F4" s="335" t="s">
        <v>212</v>
      </c>
      <c r="G4" s="336"/>
      <c r="H4" s="233">
        <f>'Personal File'!$B$6+'Personal File'!$C$8+D4</f>
        <v>5</v>
      </c>
      <c r="I4" s="234">
        <f t="shared" ca="1" si="0"/>
        <v>15</v>
      </c>
      <c r="J4" s="235">
        <f t="shared" ca="1" si="1"/>
        <v>20</v>
      </c>
      <c r="K4" s="337"/>
      <c r="L4" s="227"/>
      <c r="M4" s="239"/>
    </row>
    <row r="5" spans="1:14" ht="16.2" thickBot="1">
      <c r="A5" s="13" t="s">
        <v>120</v>
      </c>
      <c r="B5" s="14" t="s">
        <v>151</v>
      </c>
      <c r="C5" s="15">
        <f>'Personal File'!$C$8</f>
        <v>-1</v>
      </c>
      <c r="D5" s="16" t="s">
        <v>62</v>
      </c>
      <c r="E5" s="16" t="s">
        <v>121</v>
      </c>
      <c r="F5" s="17" t="s">
        <v>104</v>
      </c>
      <c r="G5" s="18">
        <v>0</v>
      </c>
      <c r="H5" s="20">
        <f>'Personal File'!$B$6+'Personal File'!$C$8</f>
        <v>4</v>
      </c>
      <c r="I5" s="66">
        <f t="shared" ref="I5" ca="1" si="2">RANDBETWEEN(1,20)</f>
        <v>1</v>
      </c>
      <c r="J5" s="67">
        <f t="shared" ref="J5" ca="1" si="3">I5+H5</f>
        <v>5</v>
      </c>
      <c r="K5" s="21"/>
      <c r="M5" s="261" t="s">
        <v>95</v>
      </c>
    </row>
    <row r="6" spans="1:14" ht="6" customHeight="1" thickTop="1" thickBot="1">
      <c r="I6" s="68"/>
      <c r="J6" s="68"/>
      <c r="M6" s="241"/>
    </row>
    <row r="7" spans="1:14" ht="16.8" thickTop="1" thickBot="1">
      <c r="A7" s="60" t="s">
        <v>7</v>
      </c>
      <c r="B7" s="61" t="s">
        <v>8</v>
      </c>
      <c r="C7" s="61" t="s">
        <v>25</v>
      </c>
      <c r="D7" s="61" t="s">
        <v>26</v>
      </c>
      <c r="E7" s="62" t="s">
        <v>67</v>
      </c>
      <c r="F7" s="61" t="s">
        <v>9</v>
      </c>
      <c r="G7" s="61" t="s">
        <v>27</v>
      </c>
      <c r="H7" s="63" t="s">
        <v>88</v>
      </c>
      <c r="I7" s="64" t="s">
        <v>93</v>
      </c>
      <c r="J7" s="63" t="s">
        <v>79</v>
      </c>
      <c r="K7" s="65" t="s">
        <v>78</v>
      </c>
      <c r="M7" s="237" t="s">
        <v>122</v>
      </c>
    </row>
    <row r="8" spans="1:14" s="264" customFormat="1">
      <c r="A8" s="285" t="s">
        <v>213</v>
      </c>
      <c r="B8" s="286" t="s">
        <v>95</v>
      </c>
      <c r="C8" s="287" t="s">
        <v>95</v>
      </c>
      <c r="D8" s="288" t="s">
        <v>62</v>
      </c>
      <c r="E8" s="288" t="s">
        <v>95</v>
      </c>
      <c r="F8" s="289" t="s">
        <v>95</v>
      </c>
      <c r="G8" s="290" t="s">
        <v>95</v>
      </c>
      <c r="H8" s="291">
        <f>'Personal File'!$B$6+'Personal File'!$C$9+D8</f>
        <v>7</v>
      </c>
      <c r="I8" s="283">
        <f t="shared" ref="I8:I9" ca="1" si="4">RANDBETWEEN(1,20)</f>
        <v>13</v>
      </c>
      <c r="J8" s="291">
        <f t="shared" ref="J8:J9" ca="1" si="5">I8+H8</f>
        <v>20</v>
      </c>
      <c r="K8" s="292"/>
      <c r="L8" s="282"/>
      <c r="M8" s="293"/>
      <c r="N8" s="282"/>
    </row>
    <row r="9" spans="1:14" ht="16.2" thickBot="1">
      <c r="A9" s="13"/>
      <c r="B9" s="14"/>
      <c r="C9" s="90"/>
      <c r="D9" s="90"/>
      <c r="E9" s="14"/>
      <c r="F9" s="90"/>
      <c r="G9" s="18"/>
      <c r="H9" s="67">
        <f>'Personal File'!$B$6+'Personal File'!$C$9+D9</f>
        <v>7</v>
      </c>
      <c r="I9" s="284">
        <f t="shared" ca="1" si="4"/>
        <v>13</v>
      </c>
      <c r="J9" s="67">
        <f t="shared" ca="1" si="5"/>
        <v>20</v>
      </c>
      <c r="K9" s="366"/>
      <c r="L9" s="282"/>
      <c r="M9" s="240"/>
    </row>
    <row r="10" spans="1:14" ht="6" customHeight="1" thickTop="1" thickBot="1">
      <c r="D10" s="69"/>
      <c r="E10" s="69"/>
      <c r="G10" s="59"/>
      <c r="H10" s="59"/>
      <c r="I10" s="68"/>
      <c r="J10" s="59"/>
      <c r="M10" s="241"/>
    </row>
    <row r="11" spans="1:14" ht="16.8" thickTop="1" thickBot="1">
      <c r="A11" s="60" t="s">
        <v>69</v>
      </c>
      <c r="B11" s="61" t="s">
        <v>17</v>
      </c>
      <c r="C11" s="61" t="s">
        <v>34</v>
      </c>
      <c r="D11" s="61" t="s">
        <v>79</v>
      </c>
      <c r="E11" s="61" t="s">
        <v>80</v>
      </c>
      <c r="F11" s="61" t="s">
        <v>81</v>
      </c>
      <c r="G11" s="61" t="s">
        <v>27</v>
      </c>
      <c r="H11" s="70" t="s">
        <v>78</v>
      </c>
      <c r="I11" s="71"/>
      <c r="J11" s="71"/>
      <c r="K11" s="72"/>
      <c r="M11" s="237" t="s">
        <v>122</v>
      </c>
    </row>
    <row r="12" spans="1:14">
      <c r="A12" s="304" t="s">
        <v>214</v>
      </c>
      <c r="B12" s="252"/>
      <c r="C12" s="253"/>
      <c r="D12" s="252"/>
      <c r="E12" s="254"/>
      <c r="F12" s="255"/>
      <c r="G12" s="280"/>
      <c r="H12" s="256"/>
      <c r="I12" s="257"/>
      <c r="J12" s="257"/>
      <c r="K12" s="258"/>
      <c r="L12" s="262"/>
      <c r="M12" s="259" t="s">
        <v>95</v>
      </c>
      <c r="N12" s="260"/>
    </row>
    <row r="13" spans="1:14" ht="16.2" thickBot="1">
      <c r="A13" s="13"/>
      <c r="B13" s="14"/>
      <c r="C13" s="73"/>
      <c r="D13" s="14"/>
      <c r="E13" s="305"/>
      <c r="F13" s="14"/>
      <c r="G13" s="18"/>
      <c r="H13" s="74"/>
      <c r="I13" s="75"/>
      <c r="J13" s="75"/>
      <c r="K13" s="76"/>
      <c r="M13" s="240" t="s">
        <v>95</v>
      </c>
    </row>
    <row r="14" spans="1:14" ht="6.75" customHeight="1" thickTop="1" thickBot="1">
      <c r="M14" s="241"/>
    </row>
    <row r="15" spans="1:14" ht="16.8" thickTop="1" thickBot="1">
      <c r="A15" s="77"/>
      <c r="B15" s="59"/>
      <c r="D15" s="78" t="s">
        <v>70</v>
      </c>
      <c r="E15" s="79"/>
      <c r="F15" s="70" t="s">
        <v>6</v>
      </c>
      <c r="G15" s="61" t="s">
        <v>27</v>
      </c>
      <c r="H15" s="63" t="s">
        <v>88</v>
      </c>
      <c r="I15" s="70" t="s">
        <v>78</v>
      </c>
      <c r="J15" s="71"/>
      <c r="K15" s="72"/>
      <c r="M15" s="237" t="s">
        <v>122</v>
      </c>
    </row>
    <row r="16" spans="1:14">
      <c r="A16" s="77"/>
      <c r="B16" s="294"/>
      <c r="D16" s="80"/>
      <c r="E16" s="81"/>
      <c r="F16" s="82"/>
      <c r="G16" s="12"/>
      <c r="H16" s="83"/>
      <c r="I16" s="84"/>
      <c r="J16" s="85"/>
      <c r="K16" s="86"/>
      <c r="M16" s="238"/>
    </row>
    <row r="17" spans="1:14" ht="16.2" thickBot="1">
      <c r="A17" s="77"/>
      <c r="B17" s="294"/>
      <c r="D17" s="87"/>
      <c r="E17" s="88"/>
      <c r="F17" s="89"/>
      <c r="G17" s="18"/>
      <c r="H17" s="90"/>
      <c r="I17" s="91"/>
      <c r="J17" s="92"/>
      <c r="K17" s="76"/>
      <c r="M17" s="240"/>
    </row>
    <row r="18" spans="1:14" ht="16.8" thickTop="1" thickBot="1">
      <c r="B18" s="24"/>
    </row>
    <row r="19" spans="1:14" ht="16.8" thickTop="1" thickBot="1">
      <c r="B19" s="24"/>
      <c r="D19" s="78" t="s">
        <v>119</v>
      </c>
      <c r="E19" s="71"/>
      <c r="F19" s="71"/>
      <c r="G19" s="93" t="s">
        <v>6</v>
      </c>
      <c r="H19" s="93" t="s">
        <v>96</v>
      </c>
      <c r="I19" s="93" t="s">
        <v>106</v>
      </c>
      <c r="J19" s="94" t="s">
        <v>78</v>
      </c>
      <c r="K19" s="72"/>
      <c r="M19" s="237" t="s">
        <v>122</v>
      </c>
    </row>
    <row r="20" spans="1:14">
      <c r="B20" s="330"/>
      <c r="D20" s="222"/>
      <c r="E20" s="223"/>
      <c r="F20" s="223"/>
      <c r="G20" s="224"/>
      <c r="H20" s="224"/>
      <c r="I20" s="224"/>
      <c r="J20" s="225"/>
      <c r="K20" s="226"/>
      <c r="L20" s="227"/>
      <c r="M20" s="239"/>
      <c r="N20" s="68"/>
    </row>
    <row r="21" spans="1:14">
      <c r="B21" s="322"/>
      <c r="D21" s="222"/>
      <c r="E21" s="223"/>
      <c r="F21" s="223"/>
      <c r="G21" s="224"/>
      <c r="H21" s="224"/>
      <c r="I21" s="224"/>
      <c r="J21" s="225"/>
      <c r="K21" s="226"/>
      <c r="L21" s="227"/>
      <c r="M21" s="239"/>
      <c r="N21" s="68"/>
    </row>
    <row r="22" spans="1:14">
      <c r="B22" s="322"/>
      <c r="D22" s="222"/>
      <c r="E22" s="223"/>
      <c r="F22" s="223"/>
      <c r="G22" s="224"/>
      <c r="H22" s="224"/>
      <c r="I22" s="224"/>
      <c r="J22" s="225"/>
      <c r="K22" s="226"/>
      <c r="L22" s="227"/>
      <c r="M22" s="239"/>
      <c r="N22" s="68"/>
    </row>
    <row r="23" spans="1:14">
      <c r="B23" s="322"/>
      <c r="D23" s="222"/>
      <c r="E23" s="223"/>
      <c r="F23" s="223"/>
      <c r="G23" s="224"/>
      <c r="H23" s="224"/>
      <c r="I23" s="224"/>
      <c r="J23" s="225"/>
      <c r="K23" s="226"/>
      <c r="L23" s="227"/>
      <c r="M23" s="239"/>
      <c r="N23" s="68"/>
    </row>
    <row r="24" spans="1:14">
      <c r="B24" s="322"/>
      <c r="D24" s="222"/>
      <c r="E24" s="223"/>
      <c r="F24" s="223"/>
      <c r="G24" s="224"/>
      <c r="H24" s="224"/>
      <c r="I24" s="224"/>
      <c r="J24" s="225"/>
      <c r="K24" s="226"/>
      <c r="L24" s="227"/>
      <c r="M24" s="239"/>
      <c r="N24" s="68"/>
    </row>
    <row r="25" spans="1:14">
      <c r="B25" s="330"/>
      <c r="D25" s="222"/>
      <c r="E25" s="223"/>
      <c r="F25" s="223"/>
      <c r="G25" s="224"/>
      <c r="H25" s="224"/>
      <c r="I25" s="224"/>
      <c r="J25" s="225"/>
      <c r="K25" s="226"/>
      <c r="L25" s="227"/>
      <c r="M25" s="239"/>
      <c r="N25" s="68"/>
    </row>
    <row r="26" spans="1:14">
      <c r="B26" s="330"/>
      <c r="D26" s="222"/>
      <c r="E26" s="223"/>
      <c r="F26" s="223"/>
      <c r="G26" s="224"/>
      <c r="H26" s="224"/>
      <c r="I26" s="224"/>
      <c r="J26" s="225"/>
      <c r="K26" s="226"/>
      <c r="L26" s="227"/>
      <c r="M26" s="239"/>
      <c r="N26" s="68"/>
    </row>
    <row r="27" spans="1:14" ht="16.2" thickBot="1">
      <c r="A27" s="24"/>
      <c r="B27" s="24"/>
      <c r="D27" s="229"/>
      <c r="E27" s="230"/>
      <c r="F27" s="230"/>
      <c r="G27" s="14"/>
      <c r="H27" s="14"/>
      <c r="I27" s="14"/>
      <c r="J27" s="231"/>
      <c r="K27" s="232"/>
      <c r="M27" s="240"/>
      <c r="N27" s="68"/>
    </row>
    <row r="28" spans="1:14" ht="16.2" thickTop="1">
      <c r="A28" s="24"/>
      <c r="B28" s="24"/>
    </row>
    <row r="29" spans="1:14">
      <c r="A29" s="24"/>
      <c r="B29" s="24"/>
      <c r="K29" s="169" t="s">
        <v>123</v>
      </c>
      <c r="L29" s="227"/>
      <c r="M29" s="309">
        <f>SUM(M3:M27)</f>
        <v>0</v>
      </c>
    </row>
    <row r="30" spans="1:14">
      <c r="A30" s="24"/>
      <c r="B30" s="24"/>
    </row>
    <row r="31" spans="1:14">
      <c r="A31" s="24"/>
      <c r="B31" s="24"/>
    </row>
    <row r="32" spans="1:14">
      <c r="A32" s="24"/>
      <c r="B32" s="24"/>
    </row>
    <row r="33" spans="1:2">
      <c r="A33" s="24"/>
      <c r="B33" s="24"/>
    </row>
  </sheetData>
  <sortState ref="D19:K39">
    <sortCondition ref="I19:I39"/>
    <sortCondition ref="D19:D39"/>
  </sortState>
  <phoneticPr fontId="0" type="noConversion"/>
  <conditionalFormatting sqref="I5 I8">
    <cfRule type="cellIs" dxfId="8" priority="17" operator="equal">
      <formula>20</formula>
    </cfRule>
    <cfRule type="cellIs" dxfId="7" priority="18" operator="equal">
      <formula>1</formula>
    </cfRule>
  </conditionalFormatting>
  <conditionalFormatting sqref="I9">
    <cfRule type="cellIs" dxfId="6" priority="13" operator="equal">
      <formula>20</formula>
    </cfRule>
    <cfRule type="cellIs" dxfId="5" priority="14" operator="equal">
      <formula>1</formula>
    </cfRule>
  </conditionalFormatting>
  <conditionalFormatting sqref="I3:I4">
    <cfRule type="cellIs" dxfId="4" priority="7" operator="equal">
      <formula>20</formula>
    </cfRule>
    <cfRule type="cellIs" dxfId="3" priority="8"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showGridLines="0" workbookViewId="0"/>
  </sheetViews>
  <sheetFormatPr defaultColWidth="8.59765625" defaultRowHeight="15.6"/>
  <cols>
    <col min="1" max="1" width="50.19921875" style="29" bestFit="1" customWidth="1"/>
    <col min="2" max="2" width="4.69921875" style="29" customWidth="1"/>
    <col min="3" max="3" width="4.69921875" style="59" bestFit="1" customWidth="1"/>
    <col min="4" max="4" width="10.19921875" style="24" customWidth="1"/>
    <col min="5" max="5" width="17.796875" style="24" bestFit="1" customWidth="1"/>
    <col min="6" max="6" width="2.3984375" style="24" customWidth="1"/>
    <col min="7" max="7" width="8.296875" style="24" bestFit="1" customWidth="1"/>
    <col min="8" max="16384" width="8.59765625" style="24"/>
  </cols>
  <sheetData>
    <row r="1" spans="1:8" ht="23.4" thickBot="1">
      <c r="A1" s="22" t="s">
        <v>75</v>
      </c>
      <c r="B1" s="22"/>
      <c r="C1" s="23"/>
      <c r="D1" s="22"/>
      <c r="E1" s="22"/>
    </row>
    <row r="2" spans="1:8" s="29" customFormat="1" ht="16.8" thickTop="1" thickBot="1">
      <c r="A2" s="25" t="s">
        <v>76</v>
      </c>
      <c r="B2" s="25" t="s">
        <v>6</v>
      </c>
      <c r="C2" s="26" t="s">
        <v>27</v>
      </c>
      <c r="D2" s="27" t="s">
        <v>77</v>
      </c>
      <c r="E2" s="28" t="s">
        <v>78</v>
      </c>
      <c r="G2" s="295" t="s">
        <v>122</v>
      </c>
    </row>
    <row r="3" spans="1:8">
      <c r="A3" s="30" t="s">
        <v>142</v>
      </c>
      <c r="B3" s="31">
        <v>1</v>
      </c>
      <c r="C3" s="32" t="s">
        <v>159</v>
      </c>
      <c r="D3" s="33"/>
      <c r="E3" s="34"/>
      <c r="G3" s="296">
        <v>0</v>
      </c>
      <c r="H3" s="227"/>
    </row>
    <row r="4" spans="1:8">
      <c r="A4" s="324" t="s">
        <v>164</v>
      </c>
      <c r="B4" s="325">
        <v>1</v>
      </c>
      <c r="C4" s="326">
        <v>0</v>
      </c>
      <c r="D4" s="327"/>
      <c r="E4" s="328"/>
      <c r="G4" s="329">
        <v>0</v>
      </c>
      <c r="H4" s="227"/>
    </row>
    <row r="5" spans="1:8">
      <c r="A5" s="35" t="s">
        <v>111</v>
      </c>
      <c r="B5" s="36">
        <v>1</v>
      </c>
      <c r="C5" s="37">
        <v>0.5</v>
      </c>
      <c r="D5" s="38"/>
      <c r="E5" s="39"/>
      <c r="G5" s="297">
        <v>0</v>
      </c>
    </row>
    <row r="6" spans="1:8">
      <c r="A6" s="35" t="s">
        <v>152</v>
      </c>
      <c r="B6" s="36">
        <v>4</v>
      </c>
      <c r="C6" s="37">
        <v>0</v>
      </c>
      <c r="D6" s="38"/>
      <c r="E6" s="39"/>
      <c r="G6" s="297">
        <f>1000*B6</f>
        <v>4000</v>
      </c>
      <c r="H6" s="227"/>
    </row>
    <row r="7" spans="1:8">
      <c r="A7" s="35" t="s">
        <v>153</v>
      </c>
      <c r="B7" s="36">
        <v>1</v>
      </c>
      <c r="C7" s="37">
        <v>0</v>
      </c>
      <c r="D7" s="38"/>
      <c r="E7" s="39"/>
      <c r="G7" s="297">
        <f>4000*B7</f>
        <v>4000</v>
      </c>
      <c r="H7" s="227"/>
    </row>
    <row r="8" spans="1:8">
      <c r="A8" s="35" t="s">
        <v>148</v>
      </c>
      <c r="B8" s="36">
        <v>1</v>
      </c>
      <c r="C8" s="37">
        <v>1</v>
      </c>
      <c r="D8" s="221"/>
      <c r="E8" s="39"/>
      <c r="G8" s="297">
        <v>4000</v>
      </c>
      <c r="H8" s="227"/>
    </row>
    <row r="9" spans="1:8">
      <c r="A9" s="35" t="s">
        <v>143</v>
      </c>
      <c r="B9" s="36">
        <v>1</v>
      </c>
      <c r="C9" s="37">
        <v>0</v>
      </c>
      <c r="D9" s="221"/>
      <c r="E9" s="39"/>
      <c r="G9" s="297">
        <v>16000</v>
      </c>
      <c r="H9" s="227"/>
    </row>
    <row r="10" spans="1:8">
      <c r="A10" s="35" t="s">
        <v>145</v>
      </c>
      <c r="B10" s="36">
        <v>1</v>
      </c>
      <c r="C10" s="40">
        <v>0</v>
      </c>
      <c r="D10" s="38"/>
      <c r="E10" s="39"/>
      <c r="G10" s="298">
        <v>4000</v>
      </c>
      <c r="H10" s="227"/>
    </row>
    <row r="11" spans="1:8">
      <c r="A11" s="35" t="s">
        <v>144</v>
      </c>
      <c r="B11" s="36">
        <v>1</v>
      </c>
      <c r="C11" s="306">
        <v>0</v>
      </c>
      <c r="D11" s="307"/>
      <c r="E11" s="56"/>
      <c r="F11" s="227"/>
      <c r="G11" s="308">
        <v>4000</v>
      </c>
      <c r="H11" s="227"/>
    </row>
    <row r="12" spans="1:8" ht="16.2" thickBot="1">
      <c r="A12" s="41" t="s">
        <v>112</v>
      </c>
      <c r="B12" s="42">
        <v>1</v>
      </c>
      <c r="C12" s="43">
        <v>1</v>
      </c>
      <c r="D12" s="44"/>
      <c r="E12" s="45"/>
      <c r="G12" s="299">
        <v>2</v>
      </c>
      <c r="H12" s="227"/>
    </row>
    <row r="13" spans="1:8" ht="24" thickTop="1" thickBot="1">
      <c r="A13" s="22" t="s">
        <v>165</v>
      </c>
      <c r="B13" s="22"/>
      <c r="C13" s="46"/>
      <c r="D13" s="22"/>
      <c r="E13" s="47"/>
      <c r="G13" s="46"/>
    </row>
    <row r="14" spans="1:8" ht="16.8" thickTop="1" thickBot="1">
      <c r="A14" s="25" t="s">
        <v>76</v>
      </c>
      <c r="B14" s="25" t="s">
        <v>6</v>
      </c>
      <c r="C14" s="26" t="s">
        <v>27</v>
      </c>
      <c r="D14" s="27" t="s">
        <v>77</v>
      </c>
      <c r="E14" s="28" t="s">
        <v>78</v>
      </c>
      <c r="G14" s="295" t="s">
        <v>122</v>
      </c>
    </row>
    <row r="15" spans="1:8">
      <c r="A15" s="48" t="s">
        <v>150</v>
      </c>
      <c r="B15" s="31">
        <v>3</v>
      </c>
      <c r="C15" s="49">
        <f>0.5*B15</f>
        <v>1.5</v>
      </c>
      <c r="D15" s="50"/>
      <c r="E15" s="34"/>
      <c r="G15" s="300">
        <v>0</v>
      </c>
    </row>
    <row r="16" spans="1:8">
      <c r="A16" s="52" t="s">
        <v>166</v>
      </c>
      <c r="B16" s="53">
        <v>29</v>
      </c>
      <c r="C16" s="54">
        <f>B16/50</f>
        <v>0.57999999999999996</v>
      </c>
      <c r="D16" s="55"/>
      <c r="E16" s="56"/>
      <c r="G16" s="308" t="s">
        <v>135</v>
      </c>
    </row>
    <row r="17" spans="1:8">
      <c r="A17" s="35" t="s">
        <v>149</v>
      </c>
      <c r="B17" s="51">
        <v>1</v>
      </c>
      <c r="C17" s="37">
        <v>0</v>
      </c>
      <c r="D17" s="323" t="s">
        <v>161</v>
      </c>
      <c r="E17" s="56"/>
      <c r="F17" s="227"/>
      <c r="G17" s="308">
        <v>3000</v>
      </c>
    </row>
    <row r="18" spans="1:8">
      <c r="A18" s="52" t="s">
        <v>154</v>
      </c>
      <c r="B18" s="53">
        <v>10</v>
      </c>
      <c r="C18" s="306">
        <v>0</v>
      </c>
      <c r="D18" s="323"/>
      <c r="E18" s="56"/>
      <c r="F18" s="227"/>
      <c r="G18" s="308">
        <v>0</v>
      </c>
    </row>
    <row r="19" spans="1:8">
      <c r="A19" s="52" t="s">
        <v>155</v>
      </c>
      <c r="B19" s="53">
        <v>3</v>
      </c>
      <c r="C19" s="306">
        <v>0</v>
      </c>
      <c r="D19" s="323"/>
      <c r="E19" s="56"/>
      <c r="F19" s="227"/>
      <c r="G19" s="308">
        <v>0</v>
      </c>
    </row>
    <row r="20" spans="1:8">
      <c r="A20" s="52" t="s">
        <v>156</v>
      </c>
      <c r="B20" s="53">
        <v>3</v>
      </c>
      <c r="C20" s="306">
        <v>0</v>
      </c>
      <c r="D20" s="323"/>
      <c r="E20" s="56"/>
      <c r="F20" s="227"/>
      <c r="G20" s="308">
        <v>0</v>
      </c>
    </row>
    <row r="21" spans="1:8">
      <c r="A21" s="52" t="s">
        <v>157</v>
      </c>
      <c r="B21" s="53">
        <v>100</v>
      </c>
      <c r="C21" s="306">
        <f>B21/500</f>
        <v>0.2</v>
      </c>
      <c r="D21" s="323"/>
      <c r="E21" s="56"/>
      <c r="F21" s="227"/>
      <c r="G21" s="308">
        <v>0</v>
      </c>
    </row>
    <row r="22" spans="1:8">
      <c r="A22" s="52" t="s">
        <v>160</v>
      </c>
      <c r="B22" s="53">
        <v>10</v>
      </c>
      <c r="C22" s="306">
        <f>B22</f>
        <v>10</v>
      </c>
      <c r="D22" s="323"/>
      <c r="E22" s="56"/>
      <c r="F22" s="227"/>
      <c r="G22" s="308">
        <v>0</v>
      </c>
    </row>
    <row r="23" spans="1:8">
      <c r="A23" s="52" t="s">
        <v>146</v>
      </c>
      <c r="B23" s="53">
        <v>1</v>
      </c>
      <c r="C23" s="306">
        <v>5</v>
      </c>
      <c r="D23" s="323"/>
      <c r="E23" s="56"/>
      <c r="F23" s="227"/>
      <c r="G23" s="308">
        <v>0</v>
      </c>
    </row>
    <row r="24" spans="1:8">
      <c r="A24" s="35" t="s">
        <v>158</v>
      </c>
      <c r="B24" s="51">
        <v>2</v>
      </c>
      <c r="C24" s="37">
        <v>0</v>
      </c>
      <c r="D24" s="323"/>
      <c r="E24" s="56"/>
      <c r="F24" s="227"/>
      <c r="G24" s="308">
        <v>0</v>
      </c>
      <c r="H24" s="227"/>
    </row>
    <row r="25" spans="1:8">
      <c r="A25" s="52" t="s">
        <v>125</v>
      </c>
      <c r="B25" s="53">
        <v>1</v>
      </c>
      <c r="C25" s="306">
        <v>5</v>
      </c>
      <c r="D25" s="323"/>
      <c r="E25" s="56"/>
      <c r="F25" s="227"/>
      <c r="G25" s="308">
        <v>10</v>
      </c>
      <c r="H25" s="227"/>
    </row>
    <row r="26" spans="1:8">
      <c r="A26" s="35" t="s">
        <v>147</v>
      </c>
      <c r="B26" s="51">
        <v>1</v>
      </c>
      <c r="C26" s="37">
        <v>0</v>
      </c>
      <c r="D26" s="323"/>
      <c r="E26" s="56"/>
      <c r="F26" s="227"/>
      <c r="G26" s="308">
        <v>0</v>
      </c>
      <c r="H26" s="227"/>
    </row>
    <row r="27" spans="1:8">
      <c r="A27" s="52" t="s">
        <v>163</v>
      </c>
      <c r="B27" s="53">
        <v>3</v>
      </c>
      <c r="C27" s="306">
        <v>0</v>
      </c>
      <c r="D27" s="323"/>
      <c r="E27" s="56"/>
      <c r="F27" s="227"/>
      <c r="G27" s="308">
        <v>0</v>
      </c>
      <c r="H27" s="227"/>
    </row>
    <row r="28" spans="1:8">
      <c r="A28" s="52" t="s">
        <v>102</v>
      </c>
      <c r="B28" s="53">
        <v>1</v>
      </c>
      <c r="C28" s="306">
        <v>0</v>
      </c>
      <c r="D28" s="323"/>
      <c r="E28" s="56"/>
      <c r="F28" s="227"/>
      <c r="G28" s="308">
        <v>0</v>
      </c>
      <c r="H28" s="227"/>
    </row>
    <row r="29" spans="1:8">
      <c r="A29" s="52" t="s">
        <v>167</v>
      </c>
      <c r="B29" s="53">
        <v>1</v>
      </c>
      <c r="C29" s="306">
        <v>1</v>
      </c>
      <c r="D29" s="323"/>
      <c r="E29" s="56"/>
      <c r="F29" s="227"/>
      <c r="G29" s="308" t="s">
        <v>135</v>
      </c>
      <c r="H29" s="227"/>
    </row>
    <row r="30" spans="1:8">
      <c r="A30" s="52" t="s">
        <v>168</v>
      </c>
      <c r="B30" s="53">
        <v>1</v>
      </c>
      <c r="C30" s="306">
        <v>1</v>
      </c>
      <c r="D30" s="323"/>
      <c r="E30" s="56"/>
      <c r="F30" s="227"/>
      <c r="G30" s="308" t="s">
        <v>135</v>
      </c>
      <c r="H30" s="227"/>
    </row>
    <row r="31" spans="1:8">
      <c r="A31" s="52" t="s">
        <v>169</v>
      </c>
      <c r="B31" s="53">
        <v>1</v>
      </c>
      <c r="C31" s="306">
        <v>1</v>
      </c>
      <c r="D31" s="323"/>
      <c r="E31" s="56"/>
      <c r="F31" s="227"/>
      <c r="G31" s="308" t="s">
        <v>135</v>
      </c>
      <c r="H31" s="227"/>
    </row>
    <row r="32" spans="1:8">
      <c r="A32" s="52" t="s">
        <v>170</v>
      </c>
      <c r="B32" s="53">
        <v>1</v>
      </c>
      <c r="C32" s="306">
        <v>1</v>
      </c>
      <c r="D32" s="323"/>
      <c r="E32" s="56"/>
      <c r="F32" s="227"/>
      <c r="G32" s="308" t="s">
        <v>135</v>
      </c>
      <c r="H32" s="227"/>
    </row>
    <row r="33" spans="1:8">
      <c r="A33" s="52" t="s">
        <v>171</v>
      </c>
      <c r="B33" s="53">
        <v>1</v>
      </c>
      <c r="C33" s="306">
        <v>1</v>
      </c>
      <c r="D33" s="323"/>
      <c r="E33" s="56"/>
      <c r="F33" s="227"/>
      <c r="G33" s="308" t="s">
        <v>135</v>
      </c>
      <c r="H33" s="227"/>
    </row>
    <row r="34" spans="1:8">
      <c r="A34" s="52" t="s">
        <v>172</v>
      </c>
      <c r="B34" s="53">
        <v>1</v>
      </c>
      <c r="C34" s="306">
        <v>1</v>
      </c>
      <c r="D34" s="323"/>
      <c r="E34" s="56"/>
      <c r="F34" s="227"/>
      <c r="G34" s="308" t="s">
        <v>135</v>
      </c>
      <c r="H34" s="227"/>
    </row>
    <row r="35" spans="1:8" ht="16.2" thickBot="1">
      <c r="A35" s="57" t="s">
        <v>162</v>
      </c>
      <c r="B35" s="58">
        <v>2</v>
      </c>
      <c r="C35" s="43">
        <f>B35</f>
        <v>2</v>
      </c>
      <c r="D35" s="44"/>
      <c r="E35" s="45"/>
      <c r="G35" s="299">
        <v>0</v>
      </c>
    </row>
    <row r="36" spans="1:8" ht="16.2" thickTop="1">
      <c r="B36" s="263" t="s">
        <v>128</v>
      </c>
      <c r="C36" s="279">
        <f>SUM(C24:C35)/100</f>
        <v>0.13</v>
      </c>
    </row>
    <row r="37" spans="1:8">
      <c r="A37" s="24"/>
      <c r="E37" s="169" t="s">
        <v>124</v>
      </c>
      <c r="F37" s="227"/>
      <c r="G37" s="309">
        <f>SUM(G3:G35,Martial!M3:M27)</f>
        <v>39012</v>
      </c>
    </row>
    <row r="38" spans="1:8">
      <c r="E38" s="169" t="s">
        <v>134</v>
      </c>
      <c r="F38" s="227"/>
      <c r="G38" s="309">
        <v>49000</v>
      </c>
    </row>
    <row r="39" spans="1:8">
      <c r="E39" s="169" t="s">
        <v>173</v>
      </c>
      <c r="G39" s="309">
        <f>G38-G37</f>
        <v>9988</v>
      </c>
    </row>
  </sheetData>
  <sortState ref="A40:D52">
    <sortCondition ref="A40:A52"/>
  </sortState>
  <phoneticPr fontId="0" type="noConversion"/>
  <conditionalFormatting sqref="C36">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Invocations</vt:lpstr>
      <vt:lpstr>Feats</vt:lpstr>
      <vt:lpstr>Martial</vt:lpstr>
      <vt:lpstr>Equipment</vt:lpstr>
      <vt:lpstr>Invocations!Print_Area</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2018-01-19T21:26:07Z</dcterms:modified>
</cp:coreProperties>
</file>