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12" windowWidth="6528" windowHeight="4740" tabRatio="638"/>
  </bookViews>
  <sheets>
    <sheet name="Personal File" sheetId="4" r:id="rId1"/>
    <sheet name="Skills" sheetId="15" r:id="rId2"/>
    <sheet name="Feats" sheetId="20" r:id="rId3"/>
    <sheet name="Martial" sheetId="6" r:id="rId4"/>
    <sheet name="Equipment" sheetId="19" r:id="rId5"/>
    <sheet name="XP Awards" sheetId="21" r:id="rId6"/>
  </sheets>
  <externalReferences>
    <externalReference r:id="rId7"/>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File'!$A$1:$H$12</definedName>
    <definedName name="_xlnm.Print_Area" localSheetId="1">Skills!$A$1:$K$28</definedName>
  </definedNames>
  <calcPr calcId="145621"/>
</workbook>
</file>

<file path=xl/calcChain.xml><?xml version="1.0" encoding="utf-8"?>
<calcChain xmlns="http://schemas.openxmlformats.org/spreadsheetml/2006/main">
  <c r="B12" i="4" l="1"/>
  <c r="B10" i="4"/>
  <c r="B11" i="4"/>
  <c r="B8" i="4"/>
  <c r="B7" i="4"/>
  <c r="B5" i="4"/>
  <c r="I6" i="6" l="1"/>
  <c r="C12" i="21" l="1"/>
  <c r="I21" i="6" l="1"/>
  <c r="I20" i="6" l="1"/>
  <c r="I19" i="6"/>
  <c r="I18" i="6"/>
  <c r="I17" i="6"/>
  <c r="I16" i="6"/>
  <c r="B16" i="21" l="1"/>
  <c r="B18" i="21" s="1"/>
  <c r="B20" i="21" s="1"/>
  <c r="F25" i="15" l="1"/>
  <c r="F3" i="15"/>
  <c r="I14" i="6" l="1"/>
  <c r="G19" i="19" l="1"/>
  <c r="C19" i="19"/>
  <c r="E8" i="4" s="1"/>
  <c r="B9" i="4" l="1"/>
  <c r="F23" i="15" l="1"/>
  <c r="M38" i="6" l="1"/>
  <c r="M37" i="6"/>
  <c r="I13" i="6" l="1"/>
  <c r="H25" i="15" l="1"/>
  <c r="I11" i="6" l="1"/>
  <c r="I4" i="6" l="1"/>
  <c r="I5" i="6" l="1"/>
  <c r="M32" i="6"/>
  <c r="M33" i="6"/>
  <c r="G32" i="6" l="1"/>
  <c r="G33" i="6"/>
  <c r="G34" i="6"/>
  <c r="I3" i="6"/>
  <c r="G3" i="6"/>
  <c r="I12" i="6" l="1"/>
  <c r="H33" i="15" l="1"/>
  <c r="I7" i="6" l="1"/>
  <c r="H24" i="15" l="1"/>
  <c r="H23" i="15"/>
  <c r="I10" i="6" l="1"/>
  <c r="E56" i="15" l="1"/>
  <c r="H38" i="15" l="1"/>
  <c r="H37" i="15"/>
  <c r="H35" i="15"/>
  <c r="H34" i="15"/>
  <c r="H32" i="15"/>
  <c r="H31" i="15"/>
  <c r="H30" i="15"/>
  <c r="H29" i="15"/>
  <c r="H28" i="15"/>
  <c r="H27" i="15"/>
  <c r="H26" i="15"/>
  <c r="H22" i="15"/>
  <c r="H21" i="15"/>
  <c r="H20" i="15"/>
  <c r="H19" i="15"/>
  <c r="H18" i="15"/>
  <c r="H17" i="15"/>
  <c r="H16" i="15"/>
  <c r="H15" i="15"/>
  <c r="H14" i="15"/>
  <c r="H13" i="15"/>
  <c r="H12" i="15"/>
  <c r="H11" i="15"/>
  <c r="H10" i="15"/>
  <c r="H9" i="15"/>
  <c r="H8" i="15"/>
  <c r="E43" i="15" l="1"/>
  <c r="G30" i="6" l="1"/>
  <c r="M30" i="6" l="1"/>
  <c r="G22" i="19" l="1"/>
  <c r="M41" i="6"/>
  <c r="H3" i="15"/>
  <c r="H4" i="15"/>
  <c r="B43" i="15" l="1"/>
  <c r="H41" i="15" l="1"/>
  <c r="H40" i="15"/>
  <c r="H39" i="15"/>
  <c r="H36" i="15"/>
  <c r="H5" i="15" l="1"/>
  <c r="C12" i="4" l="1"/>
  <c r="C11" i="4"/>
  <c r="C10" i="4"/>
  <c r="C9" i="4"/>
  <c r="E9" i="4" s="1"/>
  <c r="C8" i="4"/>
  <c r="C7" i="4"/>
  <c r="D24" i="15" l="1"/>
  <c r="D25" i="15"/>
  <c r="H12" i="6"/>
  <c r="H19" i="6"/>
  <c r="H14" i="6"/>
  <c r="H11" i="6"/>
  <c r="H18" i="6"/>
  <c r="H13" i="6"/>
  <c r="H21" i="6"/>
  <c r="H17" i="6"/>
  <c r="J17" i="6" s="1"/>
  <c r="H10" i="6"/>
  <c r="H20" i="6"/>
  <c r="J20" i="6" s="1"/>
  <c r="H16" i="6"/>
  <c r="J16" i="6" s="1"/>
  <c r="C4" i="6"/>
  <c r="H6" i="6"/>
  <c r="J6" i="6" s="1"/>
  <c r="H3" i="6"/>
  <c r="H4" i="6"/>
  <c r="H7" i="6"/>
  <c r="J7" i="6" s="1"/>
  <c r="H5" i="6"/>
  <c r="J5" i="6" s="1"/>
  <c r="C5" i="6"/>
  <c r="C3" i="6"/>
  <c r="J21" i="6"/>
  <c r="J19" i="6"/>
  <c r="J18" i="6"/>
  <c r="J14" i="6"/>
  <c r="B6" i="4"/>
  <c r="E10" i="4"/>
  <c r="E12" i="4" s="1"/>
  <c r="E11" i="4" s="1"/>
  <c r="J13" i="6"/>
  <c r="J11" i="6"/>
  <c r="J12" i="6"/>
  <c r="J10" i="6"/>
  <c r="D3" i="15"/>
  <c r="G3" i="15" s="1"/>
  <c r="I3" i="15" s="1"/>
  <c r="D4" i="15"/>
  <c r="E24" i="15"/>
  <c r="G24" i="15"/>
  <c r="I24" i="15" s="1"/>
  <c r="D5" i="15"/>
  <c r="H42" i="15"/>
  <c r="H7" i="15"/>
  <c r="H6" i="15"/>
  <c r="G25" i="15" l="1"/>
  <c r="I25" i="15" s="1"/>
  <c r="E25" i="15"/>
  <c r="J3" i="6"/>
  <c r="E3" i="15"/>
  <c r="E4" i="15"/>
  <c r="G4" i="15"/>
  <c r="I4" i="15" s="1"/>
  <c r="E5" i="15"/>
  <c r="G5" i="15"/>
  <c r="I5" i="15" s="1"/>
  <c r="D30" i="15" l="1"/>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J4" i="6"/>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bless +1
shaken -2</t>
        </r>
      </text>
    </comment>
    <comment ref="E5" authorId="0">
      <text>
        <r>
          <rPr>
            <sz val="12"/>
            <color indexed="81"/>
            <rFont val="Times New Roman"/>
            <family val="1"/>
          </rPr>
          <t>Fast Movement</t>
        </r>
      </text>
    </comment>
    <comment ref="C6" authorId="0">
      <text>
        <r>
          <rPr>
            <sz val="12"/>
            <color indexed="81"/>
            <rFont val="Times New Roman"/>
            <family val="1"/>
          </rPr>
          <t>Battle Fortitude +2</t>
        </r>
      </text>
    </comment>
    <comment ref="E6" authorId="0">
      <text>
        <r>
          <rPr>
            <sz val="12"/>
            <color indexed="81"/>
            <rFont val="Times New Roman"/>
            <family val="1"/>
          </rPr>
          <t>Next level at 91,000 XPs</t>
        </r>
      </text>
    </comment>
    <comment ref="B7" authorId="0">
      <text>
        <r>
          <rPr>
            <i/>
            <sz val="12"/>
            <color indexed="81"/>
            <rFont val="Times New Roman"/>
            <family val="1"/>
          </rPr>
          <t>elation +2</t>
        </r>
      </text>
    </comment>
    <comment ref="E7" authorId="0">
      <text>
        <r>
          <rPr>
            <sz val="12"/>
            <color indexed="81"/>
            <rFont val="Times New Roman"/>
            <family val="1"/>
          </rPr>
          <t>See PHB 162</t>
        </r>
      </text>
    </comment>
    <comment ref="B8" authorId="0">
      <text>
        <r>
          <rPr>
            <sz val="12"/>
            <rFont val="Times New Roman"/>
            <family val="1"/>
          </rPr>
          <t xml:space="preserve">Gloves of Dexterity +2
</t>
        </r>
        <r>
          <rPr>
            <i/>
            <sz val="12"/>
            <color indexed="81"/>
            <rFont val="Times New Roman"/>
            <family val="1"/>
          </rPr>
          <t>elation +2</t>
        </r>
      </text>
    </comment>
    <comment ref="E9" authorId="0">
      <text>
        <r>
          <rPr>
            <sz val="12"/>
            <color indexed="81"/>
            <rFont val="Times New Roman"/>
            <family val="1"/>
          </rPr>
          <t>[(12 * 8 Scout) * 75%] + (12 * 0 Con)</t>
        </r>
      </text>
    </comment>
    <comment ref="E10" authorId="0">
      <text>
        <r>
          <rPr>
            <sz val="12"/>
            <color indexed="81"/>
            <rFont val="Times New Roman"/>
            <family val="1"/>
          </rPr>
          <t xml:space="preserve">+2 skirmish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B11" authorId="0">
      <text>
        <r>
          <rPr>
            <i/>
            <sz val="12"/>
            <color indexed="81"/>
            <rFont val="Times New Roman"/>
            <family val="1"/>
          </rPr>
          <t>Wisdom damage -4</t>
        </r>
      </text>
    </comment>
    <comment ref="E12" authorId="0">
      <text>
        <r>
          <rPr>
            <sz val="12"/>
            <color indexed="81"/>
            <rFont val="Times New Roman"/>
            <family val="1"/>
          </rPr>
          <t>Uncanny Dodge</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Battle Fortitude +2
Cloak of Resistance +1</t>
        </r>
      </text>
    </comment>
    <comment ref="F4" authorId="0">
      <text>
        <r>
          <rPr>
            <sz val="12"/>
            <color indexed="81"/>
            <rFont val="Times New Roman"/>
            <family val="1"/>
          </rPr>
          <t xml:space="preserve">Cloak of Resistance +1
</t>
        </r>
        <r>
          <rPr>
            <i/>
            <sz val="12"/>
            <color indexed="81"/>
            <rFont val="Times New Roman"/>
            <family val="1"/>
          </rPr>
          <t>haste +1</t>
        </r>
      </text>
    </comment>
    <comment ref="F5" authorId="0">
      <text>
        <r>
          <rPr>
            <sz val="12"/>
            <color indexed="81"/>
            <rFont val="Times New Roman"/>
            <family val="1"/>
          </rPr>
          <t>Cloak of Resistance +1</t>
        </r>
      </text>
    </comment>
    <comment ref="F7" authorId="0">
      <text>
        <r>
          <rPr>
            <sz val="12"/>
            <color indexed="81"/>
            <rFont val="Times New Roman"/>
            <family val="1"/>
          </rPr>
          <t>Tumble synergy +2</t>
        </r>
      </text>
    </comment>
    <comment ref="F23" authorId="0">
      <text>
        <r>
          <rPr>
            <sz val="12"/>
            <color indexed="81"/>
            <rFont val="Times New Roman"/>
            <family val="1"/>
          </rPr>
          <t>Tumble synergy +2</t>
        </r>
      </text>
    </comment>
    <comment ref="F25" authorId="0">
      <text>
        <r>
          <rPr>
            <sz val="12"/>
            <color indexed="81"/>
            <rFont val="Times New Roman"/>
            <family val="1"/>
          </rPr>
          <t>Survival synergy +2</t>
        </r>
      </text>
    </comment>
    <comment ref="J38" authorId="0">
      <text>
        <r>
          <rPr>
            <sz val="12"/>
            <color indexed="81"/>
            <rFont val="Times New Roman"/>
            <family val="1"/>
          </rPr>
          <t>Search synergy</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2" authorId="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3" authorId="0">
      <text>
        <r>
          <rPr>
            <sz val="12"/>
            <color indexed="81"/>
            <rFont val="Times New Roman"/>
            <family val="1"/>
          </rPr>
          <t xml:space="preserve">Choose a type of martial weapon, such as a longbow (see Table 7–5: Weapons, page 116, for a list of martial weapons).  You understand how to use that type of martial weapon in combat.
Use this feat to expand the list of weapons with which you are proficient beyond the basic list in your class description.
</t>
        </r>
        <r>
          <rPr>
            <b/>
            <sz val="12"/>
            <color indexed="81"/>
            <rFont val="Times New Roman"/>
            <family val="1"/>
          </rPr>
          <t xml:space="preserve">Benefit:  </t>
        </r>
        <r>
          <rPr>
            <sz val="12"/>
            <color indexed="81"/>
            <rFont val="Times New Roman"/>
            <family val="1"/>
          </rPr>
          <t xml:space="preserve">You make attack rolls with the selected weapon normally.
</t>
        </r>
        <r>
          <rPr>
            <b/>
            <sz val="12"/>
            <color indexed="81"/>
            <rFont val="Times New Roman"/>
            <family val="1"/>
          </rPr>
          <t xml:space="preserve">Normal:  </t>
        </r>
        <r>
          <rPr>
            <sz val="12"/>
            <color indexed="81"/>
            <rFont val="Times New Roman"/>
            <family val="1"/>
          </rPr>
          <t>When using a weapon with which you are not proficient, you take a –4 penalty on attack rolls.  Special: Barbarians, fighters, paladins, and rangers are proficient with all martial weapons.  They need not select this feat.
You can gain Martial Weapon Proficiency multiple times.  Each time you take the feat, it applies to a new type of weapon.
A cleric who chooses the War domain automatically gains the Martial Weapon Proficiency feat related to his deity’s favored weapon as a bonus feat, if the weapon is a martial one.  He need not select it.
A sorcerer or wizard who casts the spell Tenser’s transformation on himself or herself gains proficiency with all martial weapons for the duration of the spell.
PHB 97</t>
        </r>
      </text>
    </comment>
    <comment ref="C3" authorId="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4"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You get a +2 bonus on all Fortitude saving throws.
PHB 97</t>
        </r>
      </text>
    </comment>
    <comment ref="C4" authorId="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A5"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C5" authorId="0">
      <text>
        <r>
          <rPr>
            <sz val="12"/>
            <color indexed="81"/>
            <rFont val="Times New Roman"/>
            <family val="1"/>
          </rPr>
          <t>At 10th level, a scout gains the blindsense ability out to 30 feet.  This ability functions as described on page 306 of the Monster Manual.
Complete Adventurer 13
Using nonvisual senses, such as acute smell or hearing, a creature with blindsense notices things it cannot see.  The creature usually does not need to make Spot or Listen checks to pinpoint the location of a creature within range of its blindsense ability, provided that it has line of effect to that creature.  Any opponent the creature cannot see still has total concealment against the creature with blindsense, and the creature still has the normal miss chance when attacking foes that have concealment.  Visibility still affects the movement of a creature with blindsense.  A creature with blindsense is still denied its Dexterity bonus to Armor Class against attacks from creatures it cannot see.
MM I 306</t>
        </r>
      </text>
    </comment>
    <comment ref="A6"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6" authorId="0">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A7"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 xml:space="preserve">Prerequisite:  </t>
        </r>
        <r>
          <rPr>
            <sz val="12"/>
            <color indexed="81"/>
            <rFont val="Times New Roman"/>
            <family val="1"/>
          </rPr>
          <t xml:space="preserve">Proficient with weapon, base attack bonus +8.
</t>
        </r>
        <r>
          <rPr>
            <b/>
            <sz val="12"/>
            <color indexed="81"/>
            <rFont val="Times New Roman"/>
            <family val="1"/>
          </rPr>
          <t xml:space="preserve">Benefit:  </t>
        </r>
        <r>
          <rPr>
            <sz val="12"/>
            <color indexed="81"/>
            <rFont val="Times New Roman"/>
            <family val="1"/>
          </rPr>
          <t xml:space="preserve">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 xml:space="preserve">Special:  </t>
        </r>
        <r>
          <rPr>
            <sz val="12"/>
            <color indexed="81"/>
            <rFont val="Times New Roman"/>
            <family val="1"/>
          </rPr>
          <t>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 ref="C7" authorId="0">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A8" authorId="0">
      <text>
        <r>
          <rPr>
            <sz val="12"/>
            <color indexed="81"/>
            <rFont val="Times New Roman"/>
            <family val="1"/>
          </rPr>
          <t xml:space="preserve">You know how to fight in melee without being able to see your foes.
</t>
        </r>
        <r>
          <rPr>
            <b/>
            <sz val="12"/>
            <color indexed="81"/>
            <rFont val="Times New Roman"/>
            <family val="1"/>
          </rPr>
          <t xml:space="preserve">Benefit:  </t>
        </r>
        <r>
          <rPr>
            <sz val="12"/>
            <color indexed="81"/>
            <rFont val="Times New Roman"/>
            <family val="1"/>
          </rPr>
          <t xml:space="preserve">In melee, every time you miss because of concealment, you can reroll your miss chance percentile roll one time to see if you actually hit (see Concealment, page 152).
An invisible attacker gets no advantages related to hitting you in melee.  That is, you don’t lose your Dexterity bonus to Armor Class, and the attacker doesn’t get the usual +2 bonus for being invisible (see Table 8–5:  Attack Roll Modifiers and Table 8–6: Armor Class Modifiers, page 151).  The invisible attacker’s bonuses do still apply for ranged attacks, however.
You take only half the usual penalty to speed for being unable to see.  Darkness and poor visibility in general reduces your speed to three-quarters normal, instead of one-half (see Table 9–4: Hampered Movement, page 163).
</t>
        </r>
        <r>
          <rPr>
            <b/>
            <sz val="12"/>
            <color indexed="81"/>
            <rFont val="Times New Roman"/>
            <family val="1"/>
          </rPr>
          <t xml:space="preserve">Normal:  </t>
        </r>
        <r>
          <rPr>
            <sz val="12"/>
            <color indexed="81"/>
            <rFont val="Times New Roman"/>
            <family val="1"/>
          </rPr>
          <t xml:space="preserve">Regular attack roll modifiers for invisible attackers trying to hit you (see Table 8–5: Attack Roll Modifiers, page 151) apply, and you lose your Dexterity bonus to AC.  The speed reduction for darkness and poor visibility (see Table 9–4: Hampered Movement, page 163) also applies.
</t>
        </r>
        <r>
          <rPr>
            <b/>
            <sz val="12"/>
            <color indexed="81"/>
            <rFont val="Times New Roman"/>
            <family val="1"/>
          </rPr>
          <t xml:space="preserve">Special:  </t>
        </r>
        <r>
          <rPr>
            <sz val="12"/>
            <color indexed="81"/>
            <rFont val="Times New Roman"/>
            <family val="1"/>
          </rPr>
          <t>The Blind-Fight feat is of no use against a character who is the subject of a blink spell (see page 206).
A fighter may select Blind-Fight as one of his fighter bonus feats (see page 38).
PHB 89</t>
        </r>
      </text>
    </comment>
    <comment ref="C8" authorId="0">
      <text>
        <r>
          <rPr>
            <sz val="12"/>
            <color indexed="81"/>
            <rFont val="Times New Roman"/>
            <family val="1"/>
          </rPr>
          <t>Beginning at 3rd level, a scout cannot be tracked in natural surroundings.  See the druid class feature, page 36 of the Player’s Handbook.
Complete Adventurer 13</t>
        </r>
      </text>
    </comment>
    <comment ref="A9"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9" authorId="0">
      <text>
        <r>
          <rPr>
            <sz val="12"/>
            <color indexed="81"/>
            <rFont val="Times New Roman"/>
            <family val="1"/>
          </rPr>
          <t>Beginning at 8th level, a scout can use the Hide skill in any sort of natural terrain.  See the ranger class feature, page 48 of the Player’s Handbook.  She loses this benefit when wearing medium or heavy armor or when carrying a medium or heavy load.
Complete Adventurer 13</t>
        </r>
      </text>
    </comment>
    <comment ref="A10" authorId="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10"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11"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12" authorId="0">
      <text>
        <r>
          <rPr>
            <sz val="12"/>
            <color indexed="81"/>
            <rFont val="Times New Roman"/>
            <family val="1"/>
          </rPr>
          <t>Starting at 6th level, a scout can move through any sort of terrain that slows movement (such as undergrowth, rubble, and similar terrain) at her normal speed and without taking damage or suffering any other impairment.
This ability does not let her move more quickly through terrain that requires a Climb or Swim check to navigate, nor can she move more quickly through terrain or undergrowth that has been magically manipulated to impede motion.
A scout loses this benefit when wearing medium or heavy armor or when carrying a medium or heavy load.
Complete Adventurer 13</t>
        </r>
      </text>
    </comment>
    <comment ref="A13" authorId="0">
      <text>
        <r>
          <rPr>
            <sz val="12"/>
            <color indexed="81"/>
            <rFont val="Times New Roman"/>
            <family val="1"/>
          </rPr>
          <t>All simple weapons, handaxe, throwing axe, short sword, and shortbow.</t>
        </r>
      </text>
    </comment>
  </commentList>
</comments>
</file>

<file path=xl/comments4.xml><?xml version="1.0" encoding="utf-8"?>
<comments xmlns="http://schemas.openxmlformats.org/spreadsheetml/2006/main">
  <authors>
    <author>Alexis Álvarez</author>
  </authors>
  <commentList>
    <comment ref="E10"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 xml:space="preserve">Prerequisite:  </t>
        </r>
        <r>
          <rPr>
            <sz val="12"/>
            <color indexed="81"/>
            <rFont val="Times New Roman"/>
            <family val="1"/>
          </rPr>
          <t xml:space="preserve">Proficient with weapon, base attack bonus +8.
</t>
        </r>
        <r>
          <rPr>
            <b/>
            <sz val="12"/>
            <color indexed="81"/>
            <rFont val="Times New Roman"/>
            <family val="1"/>
          </rPr>
          <t xml:space="preserve">Benefit:  </t>
        </r>
        <r>
          <rPr>
            <sz val="12"/>
            <color indexed="81"/>
            <rFont val="Times New Roman"/>
            <family val="1"/>
          </rPr>
          <t xml:space="preserve">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 xml:space="preserve">Special:  </t>
        </r>
        <r>
          <rPr>
            <sz val="12"/>
            <color indexed="81"/>
            <rFont val="Times New Roman"/>
            <family val="1"/>
          </rPr>
          <t>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 ref="H10" authorId="0">
      <text>
        <r>
          <rPr>
            <i/>
            <sz val="12"/>
            <color indexed="81"/>
            <rFont val="Times New Roman"/>
            <family val="1"/>
          </rPr>
          <t>includes weapon focus +1</t>
        </r>
      </text>
    </commen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H13" authorId="0">
      <text>
        <r>
          <rPr>
            <i/>
            <sz val="12"/>
            <color indexed="81"/>
            <rFont val="Times New Roman"/>
            <family val="1"/>
          </rPr>
          <t>includes weapon focus +1</t>
        </r>
      </text>
    </comment>
    <comment ref="C14" authorId="0">
      <text>
        <r>
          <rPr>
            <b/>
            <sz val="12"/>
            <color indexed="81"/>
            <rFont val="Times New Roman"/>
            <family val="1"/>
          </rPr>
          <t xml:space="preserve">Price (Item Level):  </t>
        </r>
        <r>
          <rPr>
            <sz val="12"/>
            <color indexed="81"/>
            <rFont val="Times New Roman"/>
            <family val="1"/>
          </rPr>
          <t xml:space="preserve">3,200 gp (8th)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1 lb.
These comfortable boots are made from soft doeskin.
Scouts (CAd 10) prize skirmisher boots, but any character can use them to increase combat prowess in a mobile battle.  You gain a +2 bonus on damage rolls when you make a skirmish attack.  This is a continuous effect and requires no activation.  A character without the skirmish class feature does not gain this benefit.
In addition, you can activate skirmisher boots to make a single extra melee or ranged attack using your full base attack bonus.  You can only activate this ability if you have already moved at least 10 feet from the space where you started your turn.  Movement while mounted does not allow you to activate the boots.  This benefit does not require the skirmish class feature and can be activated two times per day.
MIC 136</t>
        </r>
      </text>
    </comment>
    <comment ref="E14"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 xml:space="preserve">Prerequisite:  </t>
        </r>
        <r>
          <rPr>
            <sz val="12"/>
            <color indexed="81"/>
            <rFont val="Times New Roman"/>
            <family val="1"/>
          </rPr>
          <t xml:space="preserve">Proficient with weapon, base attack bonus +8.
</t>
        </r>
        <r>
          <rPr>
            <b/>
            <sz val="12"/>
            <color indexed="81"/>
            <rFont val="Times New Roman"/>
            <family val="1"/>
          </rPr>
          <t xml:space="preserve">Benefit:  </t>
        </r>
        <r>
          <rPr>
            <sz val="12"/>
            <color indexed="81"/>
            <rFont val="Times New Roman"/>
            <family val="1"/>
          </rPr>
          <t xml:space="preserve">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 xml:space="preserve">Special:  </t>
        </r>
        <r>
          <rPr>
            <sz val="12"/>
            <color indexed="81"/>
            <rFont val="Times New Roman"/>
            <family val="1"/>
          </rPr>
          <t>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 ref="H14" authorId="0">
      <text>
        <r>
          <rPr>
            <i/>
            <sz val="12"/>
            <color indexed="81"/>
            <rFont val="Times New Roman"/>
            <family val="1"/>
          </rPr>
          <t>includes weapon focus +1</t>
        </r>
      </text>
    </comment>
    <comment ref="E16"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 xml:space="preserve">Prerequisite:  </t>
        </r>
        <r>
          <rPr>
            <sz val="12"/>
            <color indexed="81"/>
            <rFont val="Times New Roman"/>
            <family val="1"/>
          </rPr>
          <t xml:space="preserve">Proficient with weapon, base attack bonus +8.
</t>
        </r>
        <r>
          <rPr>
            <b/>
            <sz val="12"/>
            <color indexed="81"/>
            <rFont val="Times New Roman"/>
            <family val="1"/>
          </rPr>
          <t xml:space="preserve">Benefit:  </t>
        </r>
        <r>
          <rPr>
            <sz val="12"/>
            <color indexed="81"/>
            <rFont val="Times New Roman"/>
            <family val="1"/>
          </rPr>
          <t xml:space="preserve">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 xml:space="preserve">Special:  </t>
        </r>
        <r>
          <rPr>
            <sz val="12"/>
            <color indexed="81"/>
            <rFont val="Times New Roman"/>
            <family val="1"/>
          </rPr>
          <t>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 ref="H16" authorId="0">
      <text>
        <r>
          <rPr>
            <i/>
            <sz val="12"/>
            <color indexed="81"/>
            <rFont val="Times New Roman"/>
            <family val="1"/>
          </rPr>
          <t>includes weapon focus +1</t>
        </r>
      </text>
    </comment>
    <comment ref="H17" authorId="0">
      <text>
        <r>
          <rPr>
            <i/>
            <sz val="12"/>
            <color indexed="81"/>
            <rFont val="Times New Roman"/>
            <family val="1"/>
          </rPr>
          <t>includes weapon focus +1</t>
        </r>
      </text>
    </comment>
    <comment ref="H18" authorId="0">
      <text>
        <r>
          <rPr>
            <i/>
            <sz val="12"/>
            <color indexed="81"/>
            <rFont val="Times New Roman"/>
            <family val="1"/>
          </rPr>
          <t>includes weapon focus +1</t>
        </r>
      </text>
    </comment>
    <comment ref="H19" authorId="0">
      <text>
        <r>
          <rPr>
            <i/>
            <sz val="12"/>
            <color indexed="81"/>
            <rFont val="Times New Roman"/>
            <family val="1"/>
          </rPr>
          <t>includes weapon focus +1</t>
        </r>
      </text>
    </comment>
    <comment ref="C20" authorId="0">
      <text>
        <r>
          <rPr>
            <b/>
            <sz val="12"/>
            <color indexed="81"/>
            <rFont val="Times New Roman"/>
            <family val="1"/>
          </rPr>
          <t xml:space="preserve">Price (Item Level):  </t>
        </r>
        <r>
          <rPr>
            <sz val="12"/>
            <color indexed="81"/>
            <rFont val="Times New Roman"/>
            <family val="1"/>
          </rPr>
          <t xml:space="preserve">3,200 gp (8th)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1 lb.
These comfortable boots are made from soft doeskin.
Scouts (CAd 10) prize skirmisher boots, but any character can use them to increase combat prowess in a mobile battle.  You gain a +2 bonus on damage rolls when you make a skirmish attack.  This is a continuous effect and requires no activation.  A character without the skirmish class feature does not gain this benefit.
In addition, you can activate skirmisher boots to make a single extra melee or ranged attack using your full base attack bonus.  You can only activate this ability if you have already moved at least 10 feet from the space where you started your turn.  Movement while mounted does not allow you to activate the boots.  This benefit does not require the skirmish class feature and can be activated two times per day.
MIC 136</t>
        </r>
      </text>
    </comment>
    <comment ref="E20"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 xml:space="preserve">Prerequisite:  </t>
        </r>
        <r>
          <rPr>
            <sz val="12"/>
            <color indexed="81"/>
            <rFont val="Times New Roman"/>
            <family val="1"/>
          </rPr>
          <t xml:space="preserve">Proficient with weapon, base attack bonus +8.
</t>
        </r>
        <r>
          <rPr>
            <b/>
            <sz val="12"/>
            <color indexed="81"/>
            <rFont val="Times New Roman"/>
            <family val="1"/>
          </rPr>
          <t xml:space="preserve">Benefit:  </t>
        </r>
        <r>
          <rPr>
            <sz val="12"/>
            <color indexed="81"/>
            <rFont val="Times New Roman"/>
            <family val="1"/>
          </rPr>
          <t xml:space="preserve">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 xml:space="preserve">Special:  </t>
        </r>
        <r>
          <rPr>
            <sz val="12"/>
            <color indexed="81"/>
            <rFont val="Times New Roman"/>
            <family val="1"/>
          </rPr>
          <t>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 ref="H20" authorId="0">
      <text>
        <r>
          <rPr>
            <i/>
            <sz val="12"/>
            <color indexed="81"/>
            <rFont val="Times New Roman"/>
            <family val="1"/>
          </rPr>
          <t>includes weapon focus +1</t>
        </r>
      </text>
    </comment>
    <comment ref="D23"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3,600 gp (8th)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simple cloth belt is a braid of black, green, and gold threads.
A belt of ultimate athleticism allows you to reliably perform normal athletic feats, or occasionally pull off a truly amazing stunt.
When you activate the belt, you can take 10 on all Balance, Climb, Jump, Swim, and Tumble checks made in that round, even if you are in a stressful situation.
In addition, once per day, you can activate the belt to treat the next Balance, Climb, Jump, Swim, or Tumble check you attempt as if you had rolled a 20.
</t>
        </r>
        <r>
          <rPr>
            <b/>
            <sz val="12"/>
            <color indexed="81"/>
            <rFont val="Times New Roman"/>
            <family val="1"/>
          </rPr>
          <t xml:space="preserve">Prerequisites:  </t>
        </r>
        <r>
          <rPr>
            <sz val="12"/>
            <color indexed="81"/>
            <rFont val="Times New Roman"/>
            <family val="1"/>
          </rPr>
          <t xml:space="preserve">Craft Wondrous Item, bull’s strength, cat’s grace.
</t>
        </r>
        <r>
          <rPr>
            <b/>
            <sz val="12"/>
            <color indexed="81"/>
            <rFont val="Times New Roman"/>
            <family val="1"/>
          </rPr>
          <t xml:space="preserve">Cost to Create:  </t>
        </r>
        <r>
          <rPr>
            <sz val="12"/>
            <color indexed="81"/>
            <rFont val="Times New Roman"/>
            <family val="1"/>
          </rPr>
          <t>1,800 gp, 144 XP, 4 days.
MIC 75</t>
        </r>
      </text>
    </comment>
    <comment ref="A6" authorId="0">
      <text>
        <r>
          <rPr>
            <b/>
            <sz val="12"/>
            <color indexed="81"/>
            <rFont val="Times New Roman"/>
            <family val="1"/>
          </rPr>
          <t xml:space="preserve">Price (Item Level):  </t>
        </r>
        <r>
          <rPr>
            <sz val="12"/>
            <color indexed="81"/>
            <rFont val="Times New Roman"/>
            <family val="1"/>
          </rPr>
          <t xml:space="preserve">3,200 gp (8th)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1 lb.
These comfortable boots are made from soft doeskin.
Scouts (CAd 10) prize skirmisher boots, but any character can use them to increase combat prowess in a mobile battle.  You gain a +2 bonus on damage rolls when you make a skirmish attack.  This is a continuous effect and requires no activation.  A character without the skirmish class feature does not gain this benefit.
In addition, you can activate skirmisher boots to make a single extra melee or ranged attack using your full base attack bonus.  You can only activate this ability if you have already moved at least 10 feet from the space where you started your turn.  Movement while mounted does not allow you to activate the boots.  This benefit does not require the skirmish class feature and can be activated two times per day.
MIC 136</t>
        </r>
      </text>
    </comment>
    <comment ref="A7" authorId="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9"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25</t>
        </r>
      </text>
    </comment>
    <comment ref="A16"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 xml:space="preserve">Full-round (manipulation); see text
</t>
        </r>
        <r>
          <rPr>
            <b/>
            <sz val="12"/>
            <color indexed="81"/>
            <rFont val="Times New Roman"/>
            <family val="1"/>
          </rPr>
          <t xml:space="preserve">Weight:  </t>
        </r>
        <r>
          <rPr>
            <sz val="12"/>
            <color indexed="81"/>
            <rFont val="Times New Roman"/>
            <family val="1"/>
          </rPr>
          <t>6 lb.
This woolen sleeping bag is embroidered with stars and moons in silver and blue thread, and it smells of lavender.
A magic bedroll grants you a comfortable and peaceful night’s sleep.  As long as you lie in it, you gain the benefit of an endure elements spell.  After sleeping for 8 hours in the bedroll, you recover 1 hit point per character level, in addition to the hit points you recover normally.  Getting into or out of a magic bedroll is a full-round action.  
MIC 163</t>
        </r>
      </text>
    </comment>
    <comment ref="A17" authorId="0">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nondescript, small leather pouch has a light blue silk drawstring.
This pouch contains enough trail rations to feed a Medium creature for one day.
Every morning at sunrise, the pouch magically creates another day’s worth of rations.
MIC 160</t>
        </r>
      </text>
    </comment>
  </commentList>
</comments>
</file>

<file path=xl/sharedStrings.xml><?xml version="1.0" encoding="utf-8"?>
<sst xmlns="http://schemas.openxmlformats.org/spreadsheetml/2006/main" count="437" uniqueCount="242">
  <si>
    <t>Race:</t>
  </si>
  <si>
    <t>Sex:</t>
  </si>
  <si>
    <t>Strength:</t>
  </si>
  <si>
    <t>Dexterity:</t>
  </si>
  <si>
    <t>Level</t>
  </si>
  <si>
    <t>Melee Weapon</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</si>
  <si>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</si>
  <si>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</si>
  <si>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</si>
  <si>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</si>
  <si>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</si>
  <si>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</si>
  <si>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</si>
  <si>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</si>
  <si>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</si>
  <si>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</si>
  <si>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</si>
  <si>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</si>
  <si>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</si>
  <si>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</si>
  <si>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</si>
  <si>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</si>
  <si>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</si>
  <si>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</si>
  <si>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</si>
  <si>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</si>
  <si>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</si>
  <si>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</si>
  <si>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</si>
  <si>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</si>
  <si>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</si>
  <si>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</si>
  <si>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</si>
  <si>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</si>
  <si>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</si>
  <si>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</si>
  <si>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</si>
  <si>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</si>
  <si>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</si>
  <si>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</si>
  <si>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</si>
  <si>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</si>
  <si>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</si>
  <si>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</si>
  <si>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</si>
  <si>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</si>
  <si>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</si>
  <si>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</si>
  <si>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</si>
  <si>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</si>
  <si>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</si>
  <si>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</si>
  <si>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</si>
  <si>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</si>
  <si>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</si>
  <si>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</si>
  <si>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</si>
  <si>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</si>
  <si>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</si>
  <si>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</si>
  <si>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</si>
  <si>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</si>
  <si>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</si>
  <si>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</si>
  <si>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</si>
  <si>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</si>
  <si>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</si>
  <si>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</si>
  <si>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</si>
  <si>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</si>
  <si>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</si>
  <si>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</si>
  <si>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</si>
  <si>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</si>
  <si>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</si>
  <si>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Languages</t>
  </si>
  <si>
    <t>Equipment Worn</t>
  </si>
  <si>
    <t>Item</t>
  </si>
  <si>
    <t>Effects/</t>
  </si>
  <si>
    <t>Notes</t>
  </si>
  <si>
    <t>Equipment Carried</t>
  </si>
  <si>
    <t>Check</t>
  </si>
  <si>
    <t>Arcane</t>
  </si>
  <si>
    <t>Speed</t>
  </si>
  <si>
    <t>Sleight of Hand</t>
  </si>
  <si>
    <t>Survival</t>
  </si>
  <si>
    <t>Craft:  (type)</t>
  </si>
  <si>
    <t>Attack Bonus:</t>
  </si>
  <si>
    <t>Class Features</t>
  </si>
  <si>
    <t>Touch AC:</t>
  </si>
  <si>
    <t>Weapon Proficiencies</t>
  </si>
  <si>
    <t>Atk</t>
  </si>
  <si>
    <t>Feats</t>
  </si>
  <si>
    <t>1d6</t>
  </si>
  <si>
    <t>Roll</t>
  </si>
  <si>
    <t>Skill/Save</t>
  </si>
  <si>
    <t>FF AC:</t>
  </si>
  <si>
    <t>Male</t>
  </si>
  <si>
    <t>Perform:  [type]</t>
  </si>
  <si>
    <t>Profession:  [type]</t>
  </si>
  <si>
    <t>Scrolls and Potions</t>
  </si>
  <si>
    <t>CLev</t>
  </si>
  <si>
    <t>Played by Wayne Willis</t>
  </si>
  <si>
    <t>Human</t>
  </si>
  <si>
    <t>Chaotic Neutral</t>
  </si>
  <si>
    <t>Trapfinding</t>
  </si>
  <si>
    <t>human</t>
  </si>
  <si>
    <t>1</t>
  </si>
  <si>
    <t>+2 to follow tracks</t>
  </si>
  <si>
    <t>1d4</t>
  </si>
  <si>
    <t>Initiative:</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</si>
  <si>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</si>
  <si>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Value</t>
  </si>
  <si>
    <t>Equity on this page:</t>
  </si>
  <si>
    <t>Total Equity:</t>
  </si>
  <si>
    <t>Scout</t>
  </si>
  <si>
    <t>Dagger</t>
  </si>
  <si>
    <t>19-20/x2</t>
  </si>
  <si>
    <t>Backpack</t>
  </si>
  <si>
    <t>Flint and Steel</t>
  </si>
  <si>
    <t>Pouch Belt</t>
  </si>
  <si>
    <t xml:space="preserve">Sack </t>
  </si>
  <si>
    <t>scout 1</t>
  </si>
  <si>
    <t>scout 2</t>
  </si>
  <si>
    <t>scout 3</t>
  </si>
  <si>
    <t>scout 4</t>
  </si>
  <si>
    <t>scout 5</t>
  </si>
  <si>
    <t>scout 6</t>
  </si>
  <si>
    <t>Uncanny Dodge</t>
  </si>
  <si>
    <t>Trackless Step</t>
  </si>
  <si>
    <t>Evasion</t>
  </si>
  <si>
    <t>Flawless Stride</t>
  </si>
  <si>
    <t>Point Blank Shot</t>
  </si>
  <si>
    <t>6th:  Quick Draw</t>
  </si>
  <si>
    <t>Scout Weapons</t>
  </si>
  <si>
    <t>Light Armor, No Shields</t>
  </si>
  <si>
    <t>1d8</t>
  </si>
  <si>
    <t>Arrows</t>
  </si>
  <si>
    <t>Human:  Precise Shot</t>
  </si>
  <si>
    <t>1st:  Weapon Proficiency ~ Longbow</t>
  </si>
  <si>
    <t>3rd:  Great Fortitude +2</t>
  </si>
  <si>
    <t>Jason</t>
  </si>
  <si>
    <t>Potion of Cure Light Wounds</t>
  </si>
  <si>
    <t>Cloak of Resistance +1</t>
  </si>
  <si>
    <t>-</t>
  </si>
  <si>
    <t>Everburning Torch</t>
  </si>
  <si>
    <t>200’</t>
  </si>
  <si>
    <t>Common</t>
  </si>
  <si>
    <t>Blunt Arrows</t>
  </si>
  <si>
    <t>scout 7</t>
  </si>
  <si>
    <t>scout 8</t>
  </si>
  <si>
    <t>Knowledge:  Dungeoneering</t>
  </si>
  <si>
    <t>Camouflage</t>
  </si>
  <si>
    <t>Quiver of Elhonna</t>
  </si>
  <si>
    <t>Earplugs</t>
  </si>
  <si>
    <t>Scout 8:  Rapid Shot</t>
  </si>
  <si>
    <t>Opposed Grapple</t>
  </si>
  <si>
    <t>+1 within 30’</t>
  </si>
  <si>
    <t>Potion of Cure Moderate Wounds</t>
  </si>
  <si>
    <t>Dragonbane Arrows</t>
  </si>
  <si>
    <t>Elfbane Arrows</t>
  </si>
  <si>
    <t>scout 9</t>
  </si>
  <si>
    <t>9th:  Weapon Focus (Longbow)</t>
  </si>
  <si>
    <t>3rd Shot, Rapid Firing</t>
  </si>
  <si>
    <r>
      <t xml:space="preserve">4th Shot, </t>
    </r>
    <r>
      <rPr>
        <i/>
        <sz val="12"/>
        <rFont val="Times New Roman"/>
        <family val="1"/>
      </rPr>
      <t>haste</t>
    </r>
  </si>
  <si>
    <t>2nd Shot</t>
  </si>
  <si>
    <t>Belt of Ultimate Athleticism</t>
  </si>
  <si>
    <t>Blindsense, 30’</t>
  </si>
  <si>
    <t>scout 10</t>
  </si>
  <si>
    <t>Knowledge:  Nature</t>
  </si>
  <si>
    <t>Gold Pieces</t>
  </si>
  <si>
    <t>Greater Crystal of Aquatic Action</t>
  </si>
  <si>
    <t>Amulet of Natural Armor +1</t>
  </si>
  <si>
    <t>DMG 220</t>
  </si>
  <si>
    <t>Mithral Chain Shirt +3</t>
  </si>
  <si>
    <t>2</t>
  </si>
  <si>
    <t>Gloves of Dexterity</t>
  </si>
  <si>
    <t>-1 to AC 1 round</t>
  </si>
  <si>
    <t>Battle Fortitude +2</t>
  </si>
  <si>
    <t>Fast Movement +20’</t>
  </si>
  <si>
    <t>50’</t>
  </si>
  <si>
    <t>Skirmish +3d6; +3 AC</t>
  </si>
  <si>
    <t>scout 11</t>
  </si>
  <si>
    <t>Character:</t>
  </si>
  <si>
    <t>%</t>
  </si>
  <si>
    <t>Punctuality of IC posts (Friday 17:00 PST/GMT-8)</t>
  </si>
  <si>
    <t>Excellent</t>
  </si>
  <si>
    <t>Length of IC posts (ideal is ½ a page)</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</si>
  <si>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</si>
  <si>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</si>
  <si>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</si>
  <si>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</si>
  <si>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</si>
  <si>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</si>
  <si>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</si>
  <si>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</si>
  <si>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</si>
  <si>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</si>
  <si>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</si>
  <si>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</si>
  <si>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</si>
  <si>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Consistent use of present tense, third person</t>
  </si>
  <si>
    <t>Sacred Composite Longbow, Strength +1</t>
  </si>
  <si>
    <t>+1</t>
  </si>
  <si>
    <t>Morningstar +1, 2nd attack</t>
  </si>
  <si>
    <t>Bldg/Prcg</t>
  </si>
  <si>
    <t>Prcg/Slsh</t>
  </si>
  <si>
    <t>x2</t>
  </si>
  <si>
    <t>Crystal of Cold Assault, Greater</t>
  </si>
  <si>
    <t>Sacred Composite Longbow, Skirmish</t>
  </si>
  <si>
    <t>Cold Steel Morningstar +1</t>
  </si>
  <si>
    <t>Longbow +2</t>
  </si>
  <si>
    <t>Longbow +2, Skirmish</t>
  </si>
  <si>
    <t>100’</t>
  </si>
  <si>
    <t>Poor</t>
  </si>
  <si>
    <t>XP:</t>
  </si>
  <si>
    <t>40’</t>
  </si>
  <si>
    <t>AC:</t>
  </si>
  <si>
    <t>Specificity</t>
  </si>
  <si>
    <t>Speed:</t>
  </si>
  <si>
    <t>Scout 12:  Dodge</t>
  </si>
  <si>
    <t>19-20/x3</t>
  </si>
  <si>
    <t>12th:  Improved Critical (Longbow)</t>
  </si>
  <si>
    <t>Thrown Weapon</t>
  </si>
  <si>
    <t>varies</t>
  </si>
  <si>
    <t>10’</t>
  </si>
  <si>
    <t>scout 12</t>
  </si>
  <si>
    <t>Speak Language [CHOOSE]</t>
  </si>
  <si>
    <t>Everlasting Rations</t>
  </si>
  <si>
    <t>Magic Bedroll</t>
  </si>
  <si>
    <t>Skirmisher Boots</t>
  </si>
  <si>
    <t>+1 +3d6 +2</t>
  </si>
  <si>
    <t>Scout 4:  Blind-Fight</t>
  </si>
  <si>
    <t>Ring of Protection +2</t>
  </si>
  <si>
    <t>Dagger, 2nd attack</t>
  </si>
  <si>
    <t>+1 +1</t>
  </si>
  <si>
    <r>
      <t xml:space="preserve">+1 </t>
    </r>
    <r>
      <rPr>
        <i/>
        <sz val="13"/>
        <rFont val="Times New Roman"/>
        <family val="1"/>
      </rPr>
      <t>haste</t>
    </r>
  </si>
  <si>
    <t>Average</t>
  </si>
  <si>
    <t>Scout’s Headband</t>
  </si>
  <si>
    <t>Fair</t>
  </si>
  <si>
    <t>Iron Ward Diamond, Lesser</t>
  </si>
  <si>
    <t>3/day; prevents up to 30 dmg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</si>
</sst>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5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sz val="12"/>
      <color rgb="FFFF0000"/>
      <name val="Times New Roman"/>
      <family val="1"/>
    </font>
    <font>
      <i/>
      <sz val="22"/>
      <color rgb="FFCCFF99"/>
      <name val="Times New Roman"/>
      <family val="1"/>
    </font>
    <font>
      <i/>
      <sz val="12"/>
      <color indexed="81"/>
      <name val="Times New Roman"/>
      <family val="1"/>
    </font>
    <font>
      <i/>
      <sz val="12"/>
      <name val="Times New Roman"/>
      <family val="1"/>
    </font>
    <font>
      <sz val="13"/>
      <color rgb="FF0000FF"/>
      <name val="Times New Roman"/>
      <family val="1"/>
    </font>
    <font>
      <i/>
      <sz val="13"/>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
      <patternFill patternType="solid">
        <fgColor rgb="FF9966FF"/>
        <bgColor indexed="64"/>
      </patternFill>
    </fill>
    <fill>
      <patternFill patternType="solid">
        <fgColor rgb="FF00FFFF"/>
        <bgColor indexed="64"/>
      </patternFill>
    </fill>
    <fill>
      <patternFill patternType="solid">
        <fgColor theme="1" tint="0.249977111117893"/>
        <bgColor indexed="64"/>
      </patternFill>
    </fill>
    <fill>
      <patternFill patternType="solid">
        <fgColor rgb="FFCCFFCC"/>
        <bgColor indexed="55"/>
      </patternFill>
    </fill>
    <fill>
      <patternFill patternType="solid">
        <fgColor rgb="FF9999FF"/>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style="thick">
        <color rgb="FF92D050"/>
      </bottom>
      <diagonal/>
    </border>
    <border>
      <left/>
      <right/>
      <top style="double">
        <color indexed="64"/>
      </top>
      <bottom style="thick">
        <color rgb="FF92D050"/>
      </bottom>
      <diagonal/>
    </border>
    <border>
      <left/>
      <right style="double">
        <color indexed="64"/>
      </right>
      <top style="double">
        <color indexed="64"/>
      </top>
      <bottom style="thick">
        <color rgb="FF92D050"/>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diagonal/>
    </border>
    <border>
      <left/>
      <right style="double">
        <color indexed="64"/>
      </right>
      <top style="hair">
        <color indexed="64"/>
      </top>
      <bottom/>
      <diagonal/>
    </border>
    <border>
      <left/>
      <right style="hair">
        <color indexed="64"/>
      </right>
      <top/>
      <bottom/>
      <diagonal/>
    </border>
    <border>
      <left style="hair">
        <color indexed="64"/>
      </left>
      <right style="double">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double">
        <color indexed="64"/>
      </right>
      <top/>
      <bottom/>
      <diagonal/>
    </border>
    <border>
      <left/>
      <right style="hair">
        <color indexed="64"/>
      </right>
      <top style="hair">
        <color indexed="64"/>
      </top>
      <bottom/>
      <diagonal/>
    </border>
    <border>
      <left/>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xf numFmtId="9" fontId="2" fillId="0" borderId="0" applyFont="0" applyFill="0" applyBorder="0" applyAlignment="0" applyProtection="0"/>
  </cellStyleXfs>
  <cellXfs count="417">
    <xf numFmtId="0" fontId="0" fillId="0" borderId="0" xfId="0"/>
    <xf numFmtId="0" fontId="12" fillId="3" borderId="49" xfId="0" applyFont="1" applyFill="1" applyBorder="1" applyAlignment="1">
      <alignment horizontal="centerContinuous" vertical="center"/>
    </xf>
    <xf numFmtId="0" fontId="12" fillId="3" borderId="33"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33" xfId="0" applyNumberFormat="1" applyFont="1" applyFill="1" applyBorder="1" applyAlignment="1">
      <alignment horizontal="center" vertical="center" wrapText="1"/>
    </xf>
    <xf numFmtId="0" fontId="45" fillId="12" borderId="32" xfId="0" applyNumberFormat="1" applyFont="1" applyFill="1" applyBorder="1" applyAlignment="1">
      <alignment horizontal="center" vertical="center" wrapText="1"/>
    </xf>
    <xf numFmtId="0" fontId="12" fillId="3" borderId="33" xfId="0" applyNumberFormat="1" applyFont="1" applyFill="1" applyBorder="1" applyAlignment="1">
      <alignment horizontal="center" vertical="center"/>
    </xf>
    <xf numFmtId="0" fontId="12" fillId="3" borderId="50" xfId="0" applyFont="1" applyFill="1" applyBorder="1" applyAlignment="1">
      <alignment horizontal="center" vertical="center"/>
    </xf>
    <xf numFmtId="0" fontId="4" fillId="0" borderId="0" xfId="0" applyFont="1" applyBorder="1" applyAlignment="1">
      <alignment vertical="center"/>
    </xf>
    <xf numFmtId="0" fontId="49" fillId="0" borderId="26" xfId="0" applyFont="1" applyBorder="1" applyAlignment="1">
      <alignment horizontal="centerContinuous" vertical="center" wrapText="1"/>
    </xf>
    <xf numFmtId="0" fontId="50" fillId="0" borderId="26" xfId="0" applyFont="1" applyBorder="1" applyAlignment="1">
      <alignment horizontal="centerContinuous" vertical="center" wrapText="1"/>
    </xf>
    <xf numFmtId="0" fontId="2" fillId="0" borderId="37" xfId="0" applyFont="1" applyBorder="1" applyAlignment="1">
      <alignment horizontal="center" vertical="center" shrinkToFit="1"/>
    </xf>
    <xf numFmtId="1" fontId="47" fillId="12" borderId="57" xfId="0" applyNumberFormat="1" applyFont="1" applyFill="1" applyBorder="1" applyAlignment="1">
      <alignment horizontal="center" vertical="center"/>
    </xf>
    <xf numFmtId="0" fontId="2" fillId="0" borderId="35" xfId="0" applyFont="1" applyFill="1" applyBorder="1" applyAlignment="1">
      <alignment horizontal="center" vertical="center"/>
    </xf>
    <xf numFmtId="164" fontId="2" fillId="0" borderId="35" xfId="0" applyNumberFormat="1" applyFont="1" applyFill="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1" xfId="0" applyFont="1" applyFill="1" applyBorder="1" applyAlignment="1">
      <alignment horizontal="right" vertical="center"/>
    </xf>
    <xf numFmtId="0" fontId="6" fillId="4" borderId="52" xfId="0" applyFont="1" applyFill="1" applyBorder="1" applyAlignment="1">
      <alignment horizontal="right" vertical="center"/>
    </xf>
    <xf numFmtId="49" fontId="7" fillId="0" borderId="53"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0" fontId="8" fillId="2" borderId="10" xfId="0" applyFont="1" applyFill="1" applyBorder="1" applyAlignment="1">
      <alignment horizontal="right" vertical="center"/>
    </xf>
    <xf numFmtId="0" fontId="26" fillId="0" borderId="11" xfId="0" applyNumberFormat="1" applyFont="1" applyBorder="1" applyAlignment="1">
      <alignment horizontal="center" vertical="center"/>
    </xf>
    <xf numFmtId="0" fontId="8" fillId="4" borderId="46"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1" xfId="0" applyNumberFormat="1" applyFont="1" applyBorder="1" applyAlignment="1">
      <alignment horizontal="center" vertical="center"/>
    </xf>
    <xf numFmtId="0" fontId="8" fillId="4" borderId="44" xfId="0" applyFont="1" applyFill="1" applyBorder="1" applyAlignment="1">
      <alignment horizontal="right" vertical="center"/>
    </xf>
    <xf numFmtId="164" fontId="6" fillId="8" borderId="24"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1" fillId="4" borderId="44"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11" fillId="4" borderId="45" xfId="0" applyFont="1" applyFill="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19"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6" fillId="0" borderId="20" xfId="0" applyFont="1" applyFill="1" applyBorder="1" applyAlignment="1">
      <alignment horizontal="center" vertical="center"/>
    </xf>
    <xf numFmtId="0" fontId="7" fillId="0" borderId="20" xfId="0" applyFont="1" applyFill="1" applyBorder="1" applyAlignment="1">
      <alignment horizontal="center" vertical="center"/>
    </xf>
    <xf numFmtId="1" fontId="7" fillId="0" borderId="20" xfId="0" applyNumberFormat="1" applyFont="1" applyFill="1" applyBorder="1" applyAlignment="1">
      <alignment horizontal="center" vertical="center" wrapText="1"/>
    </xf>
    <xf numFmtId="0" fontId="40" fillId="12" borderId="21"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4" fillId="0" borderId="1" xfId="0" applyFont="1" applyFill="1" applyBorder="1" applyAlignment="1">
      <alignment vertical="center"/>
    </xf>
    <xf numFmtId="0" fontId="43" fillId="0" borderId="27" xfId="0" applyFont="1" applyFill="1" applyBorder="1" applyAlignment="1">
      <alignment vertical="center"/>
    </xf>
    <xf numFmtId="0" fontId="6" fillId="0" borderId="40" xfId="0" applyFont="1" applyFill="1" applyBorder="1" applyAlignment="1">
      <alignment horizontal="center" vertical="center"/>
    </xf>
    <xf numFmtId="0" fontId="7" fillId="0" borderId="40" xfId="0" applyFont="1" applyFill="1" applyBorder="1" applyAlignment="1">
      <alignment horizontal="center" vertical="center"/>
    </xf>
    <xf numFmtId="1" fontId="7" fillId="0" borderId="40" xfId="0" applyNumberFormat="1" applyFont="1" applyFill="1" applyBorder="1" applyAlignment="1">
      <alignment horizontal="center" vertical="center" wrapText="1"/>
    </xf>
    <xf numFmtId="0" fontId="40" fillId="12" borderId="40" xfId="0" applyNumberFormat="1" applyFont="1" applyFill="1" applyBorder="1" applyAlignment="1">
      <alignment horizontal="center" vertical="center"/>
    </xf>
    <xf numFmtId="0" fontId="7" fillId="0" borderId="28" xfId="0" quotePrefix="1" applyFont="1" applyFill="1" applyBorder="1" applyAlignment="1">
      <alignment horizontal="center" vertical="center"/>
    </xf>
    <xf numFmtId="0" fontId="11" fillId="0" borderId="1" xfId="0" applyFont="1" applyFill="1" applyBorder="1" applyAlignment="1">
      <alignment vertical="center"/>
    </xf>
    <xf numFmtId="0" fontId="7" fillId="0" borderId="20"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19" fillId="0" borderId="0" xfId="0" applyFont="1" applyBorder="1" applyAlignment="1">
      <alignment vertical="center"/>
    </xf>
    <xf numFmtId="0" fontId="13" fillId="9" borderId="1" xfId="0" applyFont="1" applyFill="1" applyBorder="1" applyAlignment="1">
      <alignment vertical="center"/>
    </xf>
    <xf numFmtId="0" fontId="7" fillId="9" borderId="20" xfId="0" applyNumberFormat="1" applyFont="1" applyFill="1" applyBorder="1" applyAlignment="1">
      <alignment horizontal="center" vertical="center"/>
    </xf>
    <xf numFmtId="49" fontId="24" fillId="9" borderId="20" xfId="0" applyNumberFormat="1" applyFont="1" applyFill="1" applyBorder="1" applyAlignment="1">
      <alignment horizontal="center" vertical="center"/>
    </xf>
    <xf numFmtId="0" fontId="24" fillId="9" borderId="21" xfId="0" applyNumberFormat="1" applyFont="1" applyFill="1" applyBorder="1" applyAlignment="1">
      <alignment horizontal="center" vertical="center"/>
    </xf>
    <xf numFmtId="49" fontId="7" fillId="9" borderId="21" xfId="0" applyNumberFormat="1" applyFont="1" applyFill="1" applyBorder="1" applyAlignment="1">
      <alignment horizontal="center" vertical="center"/>
    </xf>
    <xf numFmtId="0" fontId="7" fillId="9" borderId="22"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0" xfId="0" applyNumberFormat="1" applyFont="1" applyFill="1" applyBorder="1" applyAlignment="1">
      <alignment horizontal="center" vertical="center"/>
    </xf>
    <xf numFmtId="0" fontId="23" fillId="0" borderId="21"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20" xfId="0" applyNumberFormat="1" applyFont="1" applyFill="1" applyBorder="1" applyAlignment="1">
      <alignment horizontal="center" vertical="center"/>
    </xf>
    <xf numFmtId="49" fontId="16" fillId="5" borderId="20" xfId="0" applyNumberFormat="1" applyFont="1" applyFill="1" applyBorder="1" applyAlignment="1">
      <alignment horizontal="center" vertical="center"/>
    </xf>
    <xf numFmtId="0" fontId="16" fillId="5" borderId="21"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0" fontId="7" fillId="5" borderId="22" xfId="0" applyNumberFormat="1" applyFont="1" applyFill="1" applyBorder="1" applyAlignment="1">
      <alignment horizontal="center" vertical="center"/>
    </xf>
    <xf numFmtId="0" fontId="31" fillId="0" borderId="0" xfId="0" applyFont="1" applyBorder="1" applyAlignment="1">
      <alignment vertical="center"/>
    </xf>
    <xf numFmtId="0" fontId="7" fillId="0" borderId="22"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0" xfId="0" applyNumberFormat="1" applyFont="1" applyFill="1" applyBorder="1" applyAlignment="1">
      <alignment horizontal="center" vertical="center"/>
    </xf>
    <xf numFmtId="0" fontId="16" fillId="9" borderId="21"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0" xfId="0" applyNumberFormat="1" applyFont="1" applyFill="1" applyBorder="1" applyAlignment="1">
      <alignment horizontal="center" vertical="center"/>
    </xf>
    <xf numFmtId="49" fontId="16" fillId="6" borderId="20" xfId="0" applyNumberFormat="1" applyFont="1" applyFill="1" applyBorder="1" applyAlignment="1">
      <alignment horizontal="center" vertical="center"/>
    </xf>
    <xf numFmtId="0" fontId="16" fillId="6" borderId="21" xfId="0" applyNumberFormat="1" applyFont="1" applyFill="1" applyBorder="1" applyAlignment="1">
      <alignment horizontal="center" vertical="center"/>
    </xf>
    <xf numFmtId="49" fontId="7" fillId="6" borderId="21" xfId="0" applyNumberFormat="1" applyFont="1" applyFill="1" applyBorder="1" applyAlignment="1">
      <alignment horizontal="center" vertical="center"/>
    </xf>
    <xf numFmtId="0" fontId="7" fillId="6" borderId="22"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0" xfId="0" applyNumberFormat="1" applyFont="1" applyFill="1" applyBorder="1" applyAlignment="1">
      <alignment horizontal="center" vertical="center"/>
    </xf>
    <xf numFmtId="0" fontId="28" fillId="0" borderId="21"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0" xfId="0" applyNumberFormat="1" applyFont="1" applyFill="1" applyBorder="1" applyAlignment="1">
      <alignment horizontal="center" vertical="center"/>
    </xf>
    <xf numFmtId="0" fontId="23" fillId="7" borderId="21"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0" xfId="0" applyNumberFormat="1" applyFont="1" applyFill="1" applyBorder="1" applyAlignment="1">
      <alignment horizontal="center" vertical="center"/>
    </xf>
    <xf numFmtId="49" fontId="16" fillId="10" borderId="20" xfId="0" applyNumberFormat="1" applyFont="1" applyFill="1" applyBorder="1" applyAlignment="1">
      <alignment horizontal="center" vertical="center"/>
    </xf>
    <xf numFmtId="0" fontId="16" fillId="10" borderId="21" xfId="0" applyNumberFormat="1" applyFont="1" applyFill="1" applyBorder="1" applyAlignment="1">
      <alignment horizontal="center" vertical="center"/>
    </xf>
    <xf numFmtId="49" fontId="7" fillId="10" borderId="21" xfId="0" applyNumberFormat="1" applyFont="1" applyFill="1" applyBorder="1" applyAlignment="1">
      <alignment horizontal="center" vertical="center"/>
    </xf>
    <xf numFmtId="0" fontId="7" fillId="10" borderId="22"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0" xfId="0" applyNumberFormat="1" applyFont="1" applyFill="1" applyBorder="1" applyAlignment="1">
      <alignment horizontal="center" vertical="center"/>
    </xf>
    <xf numFmtId="0" fontId="24" fillId="5" borderId="21"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20" xfId="0" applyNumberFormat="1" applyFont="1" applyFill="1" applyBorder="1" applyAlignment="1">
      <alignment horizontal="center" vertical="center"/>
    </xf>
    <xf numFmtId="0" fontId="28" fillId="10" borderId="21" xfId="0" applyNumberFormat="1" applyFont="1" applyFill="1" applyBorder="1" applyAlignment="1">
      <alignment horizontal="center" vertical="center"/>
    </xf>
    <xf numFmtId="49" fontId="7" fillId="13" borderId="21" xfId="0" applyNumberFormat="1" applyFont="1" applyFill="1" applyBorder="1" applyAlignment="1">
      <alignment horizontal="center" vertical="center"/>
    </xf>
    <xf numFmtId="0" fontId="7" fillId="10" borderId="22"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0" xfId="0" applyNumberFormat="1" applyFont="1" applyFill="1" applyBorder="1" applyAlignment="1">
      <alignment horizontal="center" vertical="center"/>
    </xf>
    <xf numFmtId="0" fontId="23" fillId="5" borderId="21" xfId="0" applyNumberFormat="1" applyFont="1" applyFill="1" applyBorder="1" applyAlignment="1">
      <alignment horizontal="center" vertical="center"/>
    </xf>
    <xf numFmtId="0" fontId="40" fillId="12" borderId="39"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48" fillId="0" borderId="26" xfId="0" applyFont="1" applyBorder="1" applyAlignment="1">
      <alignment horizontal="centerContinuous" vertical="center"/>
    </xf>
    <xf numFmtId="0" fontId="7" fillId="0" borderId="0" xfId="0" applyFont="1" applyBorder="1" applyAlignment="1">
      <alignment vertical="center" wrapText="1"/>
    </xf>
    <xf numFmtId="0" fontId="51" fillId="0" borderId="31" xfId="0" applyFont="1" applyFill="1" applyBorder="1" applyAlignment="1">
      <alignment horizontal="centerContinuous" vertical="center" shrinkToFit="1"/>
    </xf>
    <xf numFmtId="0" fontId="51" fillId="0" borderId="31" xfId="0" applyFont="1" applyFill="1" applyBorder="1" applyAlignment="1">
      <alignment horizontal="centerContinuous" vertical="center"/>
    </xf>
    <xf numFmtId="0" fontId="51" fillId="0" borderId="31"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7" fillId="0" borderId="31" xfId="0" applyFont="1" applyFill="1" applyBorder="1" applyAlignment="1">
      <alignment horizontal="centerContinuous" vertical="center" shrinkToFit="1"/>
    </xf>
    <xf numFmtId="0" fontId="7" fillId="0" borderId="42" xfId="0" applyFont="1" applyFill="1" applyBorder="1" applyAlignment="1">
      <alignment horizontal="centerContinuous" vertical="center"/>
    </xf>
    <xf numFmtId="0" fontId="52" fillId="0" borderId="31"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8" xfId="0" applyFont="1" applyFill="1" applyBorder="1" applyAlignment="1">
      <alignment horizontal="centerContinuous" vertical="center"/>
    </xf>
    <xf numFmtId="0" fontId="3" fillId="0" borderId="0" xfId="0" applyFont="1" applyBorder="1" applyAlignment="1">
      <alignment horizontal="centerContinuous"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49" fontId="21" fillId="11" borderId="14" xfId="0" applyNumberFormat="1" applyFont="1" applyFill="1" applyBorder="1" applyAlignment="1">
      <alignment horizontal="center" vertical="center"/>
    </xf>
    <xf numFmtId="0" fontId="21" fillId="11" borderId="18" xfId="0" applyFont="1" applyFill="1" applyBorder="1" applyAlignment="1">
      <alignment horizontal="center" vertical="center"/>
    </xf>
    <xf numFmtId="0" fontId="46" fillId="12" borderId="71" xfId="0" applyFont="1" applyFill="1" applyBorder="1" applyAlignment="1">
      <alignment horizontal="center" vertical="center"/>
    </xf>
    <xf numFmtId="0" fontId="21" fillId="11" borderId="54"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1" borderId="18" xfId="0" applyFont="1" applyFill="1" applyBorder="1" applyAlignment="1">
      <alignment horizontal="centerContinuous" vertical="center"/>
    </xf>
    <xf numFmtId="0" fontId="21" fillId="11" borderId="54" xfId="0" applyFont="1" applyFill="1" applyBorder="1" applyAlignment="1">
      <alignment horizontal="centerContinuous" vertical="center"/>
    </xf>
    <xf numFmtId="0" fontId="21" fillId="11" borderId="43" xfId="0" applyFont="1" applyFill="1" applyBorder="1" applyAlignment="1">
      <alignment horizontal="centerContinuous" vertical="center"/>
    </xf>
    <xf numFmtId="164" fontId="2" fillId="0" borderId="55" xfId="0" applyNumberFormat="1" applyFont="1" applyFill="1" applyBorder="1" applyAlignment="1">
      <alignment horizontal="centerContinuous" vertical="center"/>
    </xf>
    <xf numFmtId="0" fontId="5" fillId="0" borderId="56" xfId="0" quotePrefix="1" applyFont="1" applyBorder="1" applyAlignment="1">
      <alignment horizontal="centerContinuous" vertical="center"/>
    </xf>
    <xf numFmtId="0" fontId="2" fillId="0" borderId="59" xfId="0" applyFont="1" applyFill="1" applyBorder="1" applyAlignment="1">
      <alignment horizontal="centerContinuous" vertical="center"/>
    </xf>
    <xf numFmtId="0" fontId="18" fillId="0" borderId="0" xfId="0" applyFont="1" applyBorder="1" applyAlignment="1">
      <alignment horizontal="right" vertical="center"/>
    </xf>
    <xf numFmtId="0" fontId="21" fillId="11" borderId="16" xfId="0" applyFont="1" applyFill="1" applyBorder="1" applyAlignment="1">
      <alignment horizontal="centerContinuous" vertical="center"/>
    </xf>
    <xf numFmtId="0" fontId="21" fillId="11" borderId="17" xfId="0" applyFont="1" applyFill="1" applyBorder="1" applyAlignment="1">
      <alignment horizontal="centerContinuous" vertical="center"/>
    </xf>
    <xf numFmtId="0" fontId="2" fillId="0" borderId="68" xfId="0" applyFont="1" applyFill="1" applyBorder="1" applyAlignment="1">
      <alignment horizontal="centerContinuous" vertical="center"/>
    </xf>
    <xf numFmtId="0" fontId="2" fillId="0" borderId="69" xfId="0" applyFont="1" applyFill="1" applyBorder="1" applyAlignment="1">
      <alignment horizontal="centerContinuous" vertical="center"/>
    </xf>
    <xf numFmtId="49" fontId="2" fillId="0" borderId="6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0" fontId="2" fillId="0" borderId="0" xfId="0" applyFont="1" applyBorder="1" applyAlignment="1">
      <alignment horizontal="center" vertical="center"/>
    </xf>
    <xf numFmtId="0" fontId="2" fillId="0" borderId="67" xfId="0" applyFont="1" applyFill="1" applyBorder="1" applyAlignment="1">
      <alignment horizontal="centerContinuous" vertical="center"/>
    </xf>
    <xf numFmtId="0" fontId="2" fillId="0" borderId="58" xfId="0" applyFont="1" applyFill="1" applyBorder="1" applyAlignment="1">
      <alignment horizontal="centerContinuous" vertical="center"/>
    </xf>
    <xf numFmtId="49" fontId="2" fillId="0" borderId="58" xfId="0" applyNumberFormat="1" applyFont="1" applyFill="1" applyBorder="1" applyAlignment="1">
      <alignment horizontal="centerContinuous" vertical="center"/>
    </xf>
    <xf numFmtId="0" fontId="5" fillId="0" borderId="59" xfId="0" applyFont="1" applyFill="1" applyBorder="1" applyAlignment="1">
      <alignment horizontal="centerContinuous" vertical="center"/>
    </xf>
    <xf numFmtId="0" fontId="21" fillId="11" borderId="71" xfId="0" applyFont="1" applyFill="1" applyBorder="1" applyAlignment="1">
      <alignment horizontal="center" vertical="center"/>
    </xf>
    <xf numFmtId="0" fontId="2" fillId="0" borderId="68" xfId="0" applyFont="1" applyFill="1" applyBorder="1" applyAlignment="1">
      <alignment horizontal="centerContinuous" vertical="center" shrinkToFit="1"/>
    </xf>
    <xf numFmtId="0" fontId="21" fillId="0" borderId="69" xfId="0" applyFont="1" applyFill="1" applyBorder="1" applyAlignment="1">
      <alignment horizontal="centerContinuous" vertical="center"/>
    </xf>
    <xf numFmtId="0" fontId="2" fillId="0" borderId="70" xfId="0" applyFont="1" applyFill="1" applyBorder="1" applyAlignment="1">
      <alignment horizontal="centerContinuous" vertical="center"/>
    </xf>
    <xf numFmtId="0" fontId="2" fillId="0" borderId="80" xfId="0" applyFont="1" applyFill="1" applyBorder="1" applyAlignment="1">
      <alignment horizontal="centerContinuous" vertical="center" shrinkToFit="1"/>
    </xf>
    <xf numFmtId="0" fontId="21" fillId="0" borderId="55" xfId="0" applyFont="1" applyFill="1" applyBorder="1" applyAlignment="1">
      <alignment horizontal="centerContinuous" vertical="center"/>
    </xf>
    <xf numFmtId="0" fontId="2" fillId="0" borderId="56"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21" fillId="3" borderId="32"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1" fillId="3" borderId="32" xfId="0" applyFont="1" applyFill="1" applyBorder="1" applyAlignment="1">
      <alignment horizontal="right" vertical="center"/>
    </xf>
    <xf numFmtId="0" fontId="21" fillId="3" borderId="34" xfId="0" applyFont="1" applyFill="1" applyBorder="1" applyAlignment="1">
      <alignment vertical="center"/>
    </xf>
    <xf numFmtId="0" fontId="2" fillId="0" borderId="64" xfId="0" applyFont="1" applyBorder="1" applyAlignment="1">
      <alignment horizontal="center" vertical="center" shrinkToFit="1"/>
    </xf>
    <xf numFmtId="0" fontId="5" fillId="0" borderId="65" xfId="0" applyFont="1" applyBorder="1" applyAlignment="1">
      <alignment horizontal="center" vertical="center" shrinkToFit="1"/>
    </xf>
    <xf numFmtId="164" fontId="2" fillId="0" borderId="65" xfId="0" applyNumberFormat="1" applyFont="1" applyBorder="1" applyAlignment="1">
      <alignment horizontal="center" vertical="center" shrinkToFit="1"/>
    </xf>
    <xf numFmtId="0" fontId="5" fillId="0" borderId="65" xfId="0" applyFont="1" applyBorder="1" applyAlignment="1">
      <alignment horizontal="left" vertical="center"/>
    </xf>
    <xf numFmtId="0" fontId="5" fillId="0" borderId="66" xfId="0" applyFont="1" applyBorder="1" applyAlignment="1">
      <alignment horizontal="left" vertical="center" shrinkToFit="1"/>
    </xf>
    <xf numFmtId="0" fontId="2" fillId="0" borderId="67" xfId="0" applyFont="1" applyBorder="1" applyAlignment="1">
      <alignment horizontal="center" vertical="center" shrinkToFit="1"/>
    </xf>
    <xf numFmtId="164" fontId="2" fillId="0" borderId="37" xfId="0" applyNumberFormat="1" applyFont="1" applyFill="1" applyBorder="1" applyAlignment="1">
      <alignment horizontal="center" vertical="center" shrinkToFit="1"/>
    </xf>
    <xf numFmtId="0" fontId="2" fillId="0" borderId="73" xfId="0" applyFont="1" applyFill="1" applyBorder="1" applyAlignment="1">
      <alignment horizontal="left" vertical="center"/>
    </xf>
    <xf numFmtId="0" fontId="2" fillId="0" borderId="38"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0" xfId="0" applyFont="1" applyFill="1" applyBorder="1" applyAlignment="1">
      <alignment horizontal="center" vertical="center" shrinkToFit="1"/>
    </xf>
    <xf numFmtId="0" fontId="2" fillId="0" borderId="35" xfId="0" applyFont="1" applyBorder="1" applyAlignment="1">
      <alignment horizontal="center" vertical="center" shrinkToFit="1"/>
    </xf>
    <xf numFmtId="164" fontId="2" fillId="0" borderId="35" xfId="0" applyNumberFormat="1"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6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164" fontId="2" fillId="0" borderId="82" xfId="0" applyNumberFormat="1" applyFont="1" applyFill="1" applyBorder="1" applyAlignment="1">
      <alignment horizontal="center" vertical="center"/>
    </xf>
    <xf numFmtId="164" fontId="2" fillId="0" borderId="37" xfId="0" applyNumberFormat="1" applyFont="1" applyFill="1" applyBorder="1" applyAlignment="1">
      <alignment horizontal="center" vertical="center"/>
    </xf>
    <xf numFmtId="0" fontId="2" fillId="0" borderId="82" xfId="0" applyFont="1" applyFill="1" applyBorder="1" applyAlignment="1">
      <alignment horizontal="center" vertical="center"/>
    </xf>
    <xf numFmtId="49" fontId="2" fillId="0" borderId="37" xfId="0" applyNumberFormat="1" applyFont="1" applyFill="1" applyBorder="1" applyAlignment="1">
      <alignment horizontal="center"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73" xfId="0" applyNumberFormat="1" applyFont="1" applyFill="1" applyBorder="1" applyAlignment="1">
      <alignment horizontal="centerContinuous" vertical="center"/>
    </xf>
    <xf numFmtId="49" fontId="2" fillId="0" borderId="72" xfId="0" applyNumberFormat="1" applyFont="1" applyFill="1" applyBorder="1" applyAlignment="1">
      <alignment horizontal="centerContinuous" vertical="center"/>
    </xf>
    <xf numFmtId="0" fontId="2" fillId="0" borderId="83" xfId="0" applyFont="1" applyFill="1" applyBorder="1" applyAlignment="1">
      <alignment horizontal="center" vertical="center"/>
    </xf>
    <xf numFmtId="0" fontId="2" fillId="0" borderId="72" xfId="0" applyFont="1" applyFill="1" applyBorder="1" applyAlignment="1">
      <alignment horizontal="center" vertical="center"/>
    </xf>
    <xf numFmtId="0" fontId="5" fillId="0" borderId="84"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0" fontId="21" fillId="14" borderId="26" xfId="0" applyFont="1" applyFill="1" applyBorder="1" applyAlignment="1">
      <alignment horizontal="center" vertical="center"/>
    </xf>
    <xf numFmtId="0" fontId="53" fillId="0" borderId="37" xfId="0" applyFont="1" applyBorder="1" applyAlignment="1">
      <alignment horizontal="left" vertical="center"/>
    </xf>
    <xf numFmtId="0" fontId="5" fillId="0" borderId="0" xfId="0" applyFont="1" applyFill="1" applyBorder="1" applyAlignment="1">
      <alignment vertical="center"/>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quotePrefix="1" applyFont="1" applyFill="1" applyBorder="1" applyAlignment="1">
      <alignment horizontal="center" vertical="center"/>
    </xf>
    <xf numFmtId="9" fontId="2" fillId="0" borderId="37" xfId="0" applyNumberFormat="1" applyFont="1" applyFill="1" applyBorder="1" applyAlignment="1">
      <alignment horizontal="center" vertical="center"/>
    </xf>
    <xf numFmtId="164" fontId="2" fillId="0" borderId="73" xfId="0" applyNumberFormat="1" applyFont="1" applyFill="1" applyBorder="1" applyAlignment="1">
      <alignment horizontal="centerContinuous" vertical="center"/>
    </xf>
    <xf numFmtId="164" fontId="2" fillId="0" borderId="58" xfId="0" applyNumberFormat="1" applyFont="1" applyFill="1" applyBorder="1" applyAlignment="1">
      <alignment horizontal="centerContinuous" vertical="center"/>
    </xf>
    <xf numFmtId="49" fontId="16" fillId="0" borderId="29" xfId="0" applyNumberFormat="1" applyFont="1" applyBorder="1" applyAlignment="1">
      <alignment horizontal="center" shrinkToFit="1"/>
    </xf>
    <xf numFmtId="0" fontId="2" fillId="0" borderId="67" xfId="0" applyFont="1" applyFill="1" applyBorder="1" applyAlignment="1">
      <alignment horizontal="centerContinuous" vertical="center" shrinkToFit="1"/>
    </xf>
    <xf numFmtId="49" fontId="2" fillId="0" borderId="73" xfId="0" applyNumberFormat="1" applyFont="1" applyFill="1" applyBorder="1" applyAlignment="1">
      <alignment horizontal="center" vertical="center"/>
    </xf>
    <xf numFmtId="0" fontId="54" fillId="2" borderId="85" xfId="0" applyFont="1" applyFill="1" applyBorder="1" applyAlignment="1">
      <alignment horizontal="right" vertical="center"/>
    </xf>
    <xf numFmtId="0" fontId="36" fillId="2" borderId="86" xfId="0" applyFont="1" applyFill="1" applyBorder="1" applyAlignment="1">
      <alignment horizontal="left" vertical="center"/>
    </xf>
    <xf numFmtId="0" fontId="20" fillId="2" borderId="86" xfId="0" applyFont="1" applyFill="1" applyBorder="1" applyAlignment="1">
      <alignment horizontal="left" vertical="center"/>
    </xf>
    <xf numFmtId="0" fontId="4" fillId="2" borderId="86" xfId="0" applyFont="1" applyFill="1" applyBorder="1" applyAlignment="1">
      <alignment horizontal="centerContinuous" vertical="center"/>
    </xf>
    <xf numFmtId="0" fontId="5" fillId="2" borderId="86" xfId="0" applyFont="1" applyFill="1" applyBorder="1" applyAlignment="1">
      <alignment horizontal="centerContinuous" vertical="center"/>
    </xf>
    <xf numFmtId="0" fontId="35" fillId="2" borderId="87" xfId="1" applyFont="1" applyFill="1" applyBorder="1" applyAlignment="1" applyProtection="1">
      <alignment horizontal="right" vertical="center"/>
    </xf>
    <xf numFmtId="0" fontId="10" fillId="0" borderId="1" xfId="0" applyFont="1" applyFill="1" applyBorder="1" applyAlignment="1">
      <alignment vertical="center"/>
    </xf>
    <xf numFmtId="49" fontId="27" fillId="0" borderId="20" xfId="0" applyNumberFormat="1" applyFont="1" applyFill="1" applyBorder="1" applyAlignment="1">
      <alignment horizontal="center" vertical="center"/>
    </xf>
    <xf numFmtId="0" fontId="27" fillId="0" borderId="21"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0" xfId="0" applyNumberFormat="1" applyFont="1" applyFill="1" applyBorder="1" applyAlignment="1">
      <alignment horizontal="center" vertical="center"/>
    </xf>
    <xf numFmtId="0" fontId="28" fillId="9" borderId="21" xfId="0" applyNumberFormat="1" applyFont="1" applyFill="1" applyBorder="1" applyAlignment="1">
      <alignment horizontal="center" vertical="center"/>
    </xf>
    <xf numFmtId="0" fontId="7" fillId="9" borderId="22" xfId="0" quotePrefix="1" applyNumberFormat="1" applyFont="1" applyFill="1" applyBorder="1" applyAlignment="1">
      <alignment horizontal="center" vertical="center"/>
    </xf>
    <xf numFmtId="0" fontId="51" fillId="0" borderId="88" xfId="0" applyFont="1" applyFill="1" applyBorder="1" applyAlignment="1">
      <alignment horizontal="center" vertical="center" shrinkToFit="1"/>
    </xf>
    <xf numFmtId="0" fontId="51" fillId="0" borderId="31" xfId="0" applyFont="1" applyFill="1" applyBorder="1" applyAlignment="1">
      <alignment horizontal="center" vertical="center" shrinkToFit="1"/>
    </xf>
    <xf numFmtId="0" fontId="7" fillId="0" borderId="31" xfId="0" quotePrefix="1" applyFont="1" applyFill="1" applyBorder="1" applyAlignment="1">
      <alignment horizontal="center" vertical="center" shrinkToFit="1"/>
    </xf>
    <xf numFmtId="0" fontId="21" fillId="0" borderId="84" xfId="0" applyFont="1" applyFill="1" applyBorder="1" applyAlignment="1">
      <alignment horizontal="centerContinuous" vertical="center"/>
    </xf>
    <xf numFmtId="0" fontId="21" fillId="0" borderId="75" xfId="0" applyFont="1" applyFill="1" applyBorder="1" applyAlignment="1">
      <alignment horizontal="centerContinuous" vertical="center"/>
    </xf>
    <xf numFmtId="0" fontId="2" fillId="0" borderId="74" xfId="0" applyFont="1" applyFill="1" applyBorder="1" applyAlignment="1">
      <alignment horizontal="centerContinuous" vertical="center"/>
    </xf>
    <xf numFmtId="0" fontId="5" fillId="0" borderId="89" xfId="0" applyFont="1" applyBorder="1" applyAlignment="1">
      <alignment horizontal="left" vertical="center"/>
    </xf>
    <xf numFmtId="0" fontId="2" fillId="0" borderId="91" xfId="0" applyFont="1" applyFill="1" applyBorder="1" applyAlignment="1">
      <alignment horizontal="center" vertical="center"/>
    </xf>
    <xf numFmtId="164" fontId="2" fillId="0" borderId="93" xfId="0" applyNumberFormat="1" applyFont="1" applyFill="1" applyBorder="1" applyAlignment="1">
      <alignment horizontal="centerContinuous" vertical="center"/>
    </xf>
    <xf numFmtId="0" fontId="5" fillId="0" borderId="94" xfId="0" quotePrefix="1" applyFont="1" applyBorder="1" applyAlignment="1">
      <alignment horizontal="centerContinuous" vertical="center"/>
    </xf>
    <xf numFmtId="1" fontId="2" fillId="0" borderId="74" xfId="0" applyNumberFormat="1" applyFont="1" applyFill="1" applyBorder="1" applyAlignment="1">
      <alignment horizontal="center" vertical="center"/>
    </xf>
    <xf numFmtId="0" fontId="2" fillId="0" borderId="37" xfId="0" applyFont="1" applyFill="1" applyBorder="1" applyAlignment="1">
      <alignment horizontal="centerContinuous" vertical="center"/>
    </xf>
    <xf numFmtId="0" fontId="8" fillId="9" borderId="1" xfId="0" applyFont="1" applyFill="1" applyBorder="1" applyAlignment="1">
      <alignment vertical="center"/>
    </xf>
    <xf numFmtId="49" fontId="17" fillId="9" borderId="20" xfId="0" applyNumberFormat="1" applyFont="1" applyFill="1" applyBorder="1" applyAlignment="1">
      <alignment horizontal="center" vertical="center"/>
    </xf>
    <xf numFmtId="0" fontId="17" fillId="9" borderId="21" xfId="0" applyNumberFormat="1" applyFont="1" applyFill="1" applyBorder="1" applyAlignment="1">
      <alignment horizontal="center" vertical="center"/>
    </xf>
    <xf numFmtId="0" fontId="7" fillId="9" borderId="21" xfId="0" applyNumberFormat="1" applyFont="1" applyFill="1" applyBorder="1" applyAlignment="1">
      <alignment horizontal="center" vertical="center"/>
    </xf>
    <xf numFmtId="0" fontId="13" fillId="9" borderId="5" xfId="0" applyFont="1" applyFill="1" applyBorder="1" applyAlignment="1">
      <alignment vertical="center"/>
    </xf>
    <xf numFmtId="0" fontId="7" fillId="9" borderId="39" xfId="0" applyNumberFormat="1" applyFont="1" applyFill="1" applyBorder="1" applyAlignment="1">
      <alignment horizontal="center" vertical="center"/>
    </xf>
    <xf numFmtId="49" fontId="24" fillId="9" borderId="39" xfId="0" applyNumberFormat="1" applyFont="1" applyFill="1" applyBorder="1" applyAlignment="1">
      <alignment horizontal="center" vertical="center"/>
    </xf>
    <xf numFmtId="0" fontId="24" fillId="9" borderId="41" xfId="0" applyNumberFormat="1" applyFont="1" applyFill="1" applyBorder="1" applyAlignment="1">
      <alignment horizontal="center" vertical="center"/>
    </xf>
    <xf numFmtId="49" fontId="7" fillId="9" borderId="41" xfId="0" applyNumberFormat="1" applyFont="1" applyFill="1" applyBorder="1" applyAlignment="1">
      <alignment horizontal="center" vertical="center"/>
    </xf>
    <xf numFmtId="0" fontId="7" fillId="9" borderId="30" xfId="0" applyNumberFormat="1" applyFont="1" applyFill="1" applyBorder="1" applyAlignment="1">
      <alignment horizontal="center" vertical="center"/>
    </xf>
    <xf numFmtId="0" fontId="52" fillId="0" borderId="42" xfId="0" quotePrefix="1"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38" xfId="0" applyFont="1" applyFill="1" applyBorder="1" applyAlignment="1">
      <alignment horizontal="center" vertical="center"/>
    </xf>
    <xf numFmtId="0" fontId="2" fillId="0" borderId="80" xfId="0" applyFont="1" applyFill="1" applyBorder="1" applyAlignment="1">
      <alignment horizontal="centerContinuous" vertical="center"/>
    </xf>
    <xf numFmtId="0" fontId="2" fillId="0" borderId="55" xfId="0" applyFont="1" applyFill="1" applyBorder="1" applyAlignment="1">
      <alignment horizontal="centerContinuous" vertical="center"/>
    </xf>
    <xf numFmtId="0" fontId="5" fillId="0" borderId="75" xfId="0" applyFont="1" applyFill="1" applyBorder="1" applyAlignment="1">
      <alignment horizontal="centerContinuous" vertical="center"/>
    </xf>
    <xf numFmtId="0" fontId="5" fillId="0" borderId="72" xfId="0" applyFont="1" applyFill="1" applyBorder="1" applyAlignment="1">
      <alignment horizontal="centerContinuous" vertical="center"/>
    </xf>
    <xf numFmtId="49" fontId="2" fillId="0" borderId="35" xfId="0" applyNumberFormat="1" applyFont="1" applyFill="1" applyBorder="1" applyAlignment="1">
      <alignment horizontal="center" vertical="center"/>
    </xf>
    <xf numFmtId="49" fontId="2" fillId="0" borderId="55" xfId="0" applyNumberFormat="1" applyFont="1" applyFill="1" applyBorder="1" applyAlignment="1">
      <alignment horizontal="centerContinuous" vertical="center"/>
    </xf>
    <xf numFmtId="0" fontId="5" fillId="0" borderId="56" xfId="0" applyFont="1" applyFill="1" applyBorder="1" applyAlignment="1">
      <alignment horizontal="centerContinuous" vertical="center"/>
    </xf>
    <xf numFmtId="1" fontId="2" fillId="0" borderId="95" xfId="0" applyNumberFormat="1" applyFont="1" applyFill="1" applyBorder="1" applyAlignment="1">
      <alignment horizontal="center" vertical="center"/>
    </xf>
    <xf numFmtId="0" fontId="2" fillId="0" borderId="96" xfId="0" quotePrefix="1" applyFont="1" applyFill="1" applyBorder="1" applyAlignment="1">
      <alignment horizontal="center" vertical="center"/>
    </xf>
    <xf numFmtId="49" fontId="2" fillId="10" borderId="91" xfId="2" applyNumberFormat="1" applyFont="1" applyFill="1" applyBorder="1" applyAlignment="1">
      <alignment horizontal="center" vertical="center"/>
    </xf>
    <xf numFmtId="49" fontId="2" fillId="10" borderId="91" xfId="0" applyNumberFormat="1" applyFont="1" applyFill="1" applyBorder="1" applyAlignment="1">
      <alignment horizontal="center" vertical="center"/>
    </xf>
    <xf numFmtId="164" fontId="2" fillId="10" borderId="91" xfId="0" applyNumberFormat="1" applyFont="1" applyFill="1" applyBorder="1" applyAlignment="1">
      <alignment horizontal="center" vertical="center"/>
    </xf>
    <xf numFmtId="0" fontId="7" fillId="5" borderId="22" xfId="0" quotePrefix="1" applyNumberFormat="1" applyFont="1" applyFill="1" applyBorder="1" applyAlignment="1">
      <alignment horizontal="center" vertical="center"/>
    </xf>
    <xf numFmtId="0" fontId="2" fillId="0" borderId="0" xfId="0" quotePrefix="1" applyFont="1" applyBorder="1" applyAlignment="1">
      <alignment vertical="center"/>
    </xf>
    <xf numFmtId="0" fontId="2" fillId="0" borderId="91" xfId="0" applyNumberFormat="1" applyFont="1" applyFill="1" applyBorder="1" applyAlignment="1">
      <alignment horizontal="center" vertical="center"/>
    </xf>
    <xf numFmtId="0" fontId="2" fillId="0" borderId="97" xfId="0" applyFont="1" applyFill="1" applyBorder="1" applyAlignment="1">
      <alignment horizontal="center" vertical="center"/>
    </xf>
    <xf numFmtId="0" fontId="2" fillId="0" borderId="98" xfId="0" applyFont="1" applyFill="1" applyBorder="1" applyAlignment="1">
      <alignment horizontal="center" vertical="center"/>
    </xf>
    <xf numFmtId="49" fontId="2" fillId="0" borderId="98" xfId="2" applyNumberFormat="1" applyFont="1" applyBorder="1" applyAlignment="1">
      <alignment horizontal="center" vertical="center"/>
    </xf>
    <xf numFmtId="49" fontId="2" fillId="0" borderId="98" xfId="2" applyNumberFormat="1" applyFont="1" applyFill="1" applyBorder="1" applyAlignment="1">
      <alignment horizontal="center" vertical="center"/>
    </xf>
    <xf numFmtId="0" fontId="2" fillId="0" borderId="98" xfId="0" applyFont="1" applyFill="1" applyBorder="1" applyAlignment="1">
      <alignment horizontal="center" vertical="center" shrinkToFit="1"/>
    </xf>
    <xf numFmtId="164" fontId="2" fillId="0" borderId="98" xfId="0" applyNumberFormat="1" applyFont="1" applyFill="1" applyBorder="1" applyAlignment="1">
      <alignment horizontal="center" vertical="center"/>
    </xf>
    <xf numFmtId="1" fontId="47" fillId="12" borderId="100" xfId="0" applyNumberFormat="1" applyFont="1" applyFill="1" applyBorder="1" applyAlignment="1">
      <alignment horizontal="center" vertical="center"/>
    </xf>
    <xf numFmtId="1" fontId="2" fillId="0" borderId="101" xfId="0" applyNumberFormat="1" applyFont="1" applyFill="1" applyBorder="1" applyAlignment="1">
      <alignment horizontal="center" vertical="center"/>
    </xf>
    <xf numFmtId="0" fontId="2" fillId="0" borderId="102" xfId="0" applyFont="1" applyFill="1" applyBorder="1" applyAlignment="1">
      <alignment horizontal="center" vertical="center"/>
    </xf>
    <xf numFmtId="0" fontId="2" fillId="0" borderId="103" xfId="0" applyFont="1" applyFill="1" applyBorder="1" applyAlignment="1">
      <alignment horizontal="center" vertical="center"/>
    </xf>
    <xf numFmtId="164" fontId="2" fillId="10" borderId="104" xfId="0" applyNumberFormat="1" applyFont="1" applyFill="1" applyBorder="1" applyAlignment="1">
      <alignment horizontal="center" vertical="center"/>
    </xf>
    <xf numFmtId="1" fontId="47" fillId="12" borderId="106" xfId="0" applyNumberFormat="1" applyFont="1" applyFill="1" applyBorder="1" applyAlignment="1">
      <alignment horizontal="center" vertical="center"/>
    </xf>
    <xf numFmtId="1" fontId="2" fillId="0" borderId="107" xfId="0" applyNumberFormat="1" applyFont="1" applyFill="1" applyBorder="1" applyAlignment="1">
      <alignment horizontal="center" vertical="center"/>
    </xf>
    <xf numFmtId="0" fontId="2" fillId="0" borderId="108" xfId="0" applyFont="1" applyFill="1" applyBorder="1" applyAlignment="1">
      <alignment horizontal="center" vertical="center"/>
    </xf>
    <xf numFmtId="0" fontId="2" fillId="0" borderId="90" xfId="0" applyFont="1" applyFill="1" applyBorder="1" applyAlignment="1">
      <alignment horizontal="center" vertical="center"/>
    </xf>
    <xf numFmtId="1" fontId="47" fillId="12" borderId="20" xfId="0" applyNumberFormat="1" applyFont="1" applyFill="1" applyBorder="1" applyAlignment="1">
      <alignment horizontal="center" vertical="center"/>
    </xf>
    <xf numFmtId="0" fontId="2" fillId="0" borderId="98" xfId="0" quotePrefix="1" applyFont="1" applyFill="1" applyBorder="1" applyAlignment="1">
      <alignment horizontal="center" vertical="center" wrapText="1"/>
    </xf>
    <xf numFmtId="0" fontId="2" fillId="0" borderId="98" xfId="0" applyNumberFormat="1" applyFont="1" applyFill="1" applyBorder="1" applyAlignment="1">
      <alignment horizontal="center" vertical="center"/>
    </xf>
    <xf numFmtId="49" fontId="2" fillId="0" borderId="98" xfId="0" applyNumberFormat="1" applyFont="1" applyFill="1" applyBorder="1" applyAlignment="1">
      <alignment horizontal="center" vertical="center"/>
    </xf>
    <xf numFmtId="1" fontId="2" fillId="0" borderId="98" xfId="0" applyNumberFormat="1" applyFont="1" applyFill="1" applyBorder="1" applyAlignment="1">
      <alignment horizontal="center" vertical="center"/>
    </xf>
    <xf numFmtId="0" fontId="2" fillId="0" borderId="102" xfId="0" quotePrefix="1" applyFont="1" applyFill="1" applyBorder="1" applyAlignment="1">
      <alignment horizontal="center" vertical="center"/>
    </xf>
    <xf numFmtId="0" fontId="2" fillId="0" borderId="91" xfId="0" quotePrefix="1" applyFont="1" applyFill="1" applyBorder="1" applyAlignment="1">
      <alignment horizontal="center" vertical="center" wrapText="1"/>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7" fillId="0" borderId="76" xfId="0" quotePrefix="1" applyFont="1" applyBorder="1" applyAlignment="1">
      <alignment horizontal="center" vertical="center"/>
    </xf>
    <xf numFmtId="49" fontId="26" fillId="0" borderId="76" xfId="0" applyNumberFormat="1" applyFont="1" applyBorder="1" applyAlignment="1">
      <alignment horizontal="center" vertical="center"/>
    </xf>
    <xf numFmtId="0" fontId="7" fillId="0" borderId="7" xfId="0" applyFont="1" applyBorder="1" applyAlignment="1">
      <alignment horizontal="left" vertical="center"/>
    </xf>
    <xf numFmtId="0" fontId="2" fillId="0" borderId="60" xfId="0" applyFont="1" applyBorder="1" applyAlignment="1">
      <alignment horizontal="center" vertical="center" shrinkToFit="1"/>
    </xf>
    <xf numFmtId="9" fontId="2" fillId="0" borderId="35" xfId="0" applyNumberFormat="1" applyFont="1" applyFill="1" applyBorder="1" applyAlignment="1">
      <alignment horizontal="center" vertical="center"/>
    </xf>
    <xf numFmtId="164" fontId="2" fillId="0" borderId="72" xfId="0" applyNumberFormat="1" applyFont="1" applyFill="1" applyBorder="1" applyAlignment="1">
      <alignment horizontal="centerContinuous" vertical="center"/>
    </xf>
    <xf numFmtId="1" fontId="6" fillId="0" borderId="23" xfId="0" applyNumberFormat="1" applyFont="1" applyBorder="1" applyAlignment="1">
      <alignment horizontal="center" vertical="center"/>
    </xf>
    <xf numFmtId="0" fontId="2" fillId="0" borderId="89" xfId="0" applyFont="1" applyBorder="1" applyAlignment="1">
      <alignment horizontal="left" vertical="center"/>
    </xf>
    <xf numFmtId="0" fontId="2" fillId="0" borderId="66" xfId="0" applyFont="1" applyBorder="1" applyAlignment="1">
      <alignment horizontal="left" vertical="center" shrinkToFit="1"/>
    </xf>
    <xf numFmtId="1" fontId="2" fillId="0" borderId="79" xfId="0" applyNumberFormat="1" applyFont="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left" vertical="center"/>
    </xf>
    <xf numFmtId="1" fontId="2" fillId="0" borderId="31" xfId="0" applyNumberFormat="1" applyFont="1" applyFill="1" applyBorder="1" applyAlignment="1">
      <alignment horizontal="center" vertical="center"/>
    </xf>
    <xf numFmtId="1" fontId="2" fillId="0" borderId="79"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5" fillId="0" borderId="0" xfId="0" applyNumberFormat="1" applyFont="1" applyBorder="1" applyAlignment="1">
      <alignment vertical="center"/>
    </xf>
    <xf numFmtId="1" fontId="21" fillId="14" borderId="26" xfId="0" applyNumberFormat="1" applyFont="1" applyFill="1" applyBorder="1" applyAlignment="1">
      <alignment horizontal="center" vertical="center"/>
    </xf>
    <xf numFmtId="1" fontId="2" fillId="0" borderId="42" xfId="0" applyNumberFormat="1" applyFont="1" applyBorder="1" applyAlignment="1">
      <alignment horizontal="center" vertical="center"/>
    </xf>
    <xf numFmtId="0" fontId="2" fillId="0" borderId="75" xfId="0" applyFont="1" applyBorder="1" applyAlignment="1">
      <alignment horizontal="center" vertical="center" shrinkToFit="1"/>
    </xf>
    <xf numFmtId="0" fontId="2" fillId="0" borderId="81" xfId="0" applyFont="1" applyFill="1" applyBorder="1" applyAlignment="1">
      <alignment horizontal="center" vertical="center" shrinkToFit="1"/>
    </xf>
    <xf numFmtId="9" fontId="2" fillId="0" borderId="98" xfId="0" applyNumberFormat="1" applyFont="1" applyFill="1" applyBorder="1" applyAlignment="1">
      <alignment horizontal="center" vertical="center"/>
    </xf>
    <xf numFmtId="1" fontId="2" fillId="0" borderId="112" xfId="0" applyNumberFormat="1" applyFont="1" applyFill="1" applyBorder="1" applyAlignment="1">
      <alignment horizontal="center" vertical="center"/>
    </xf>
    <xf numFmtId="1" fontId="2" fillId="10" borderId="79" xfId="0" applyNumberFormat="1" applyFont="1" applyFill="1" applyBorder="1" applyAlignment="1">
      <alignment horizontal="center" vertical="center"/>
    </xf>
    <xf numFmtId="1" fontId="2" fillId="0" borderId="79" xfId="0" applyNumberFormat="1" applyFont="1" applyBorder="1" applyAlignment="1">
      <alignment horizontal="center" vertical="center"/>
    </xf>
    <xf numFmtId="1" fontId="2" fillId="0" borderId="42"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57" fillId="0" borderId="20" xfId="0" applyFont="1" applyFill="1" applyBorder="1" applyAlignment="1">
      <alignment horizontal="center" vertical="center" wrapText="1"/>
    </xf>
    <xf numFmtId="0" fontId="24" fillId="0" borderId="21" xfId="0" applyNumberFormat="1" applyFont="1" applyFill="1" applyBorder="1" applyAlignment="1">
      <alignment horizontal="center" vertical="center"/>
    </xf>
    <xf numFmtId="0" fontId="40" fillId="0" borderId="40" xfId="0" applyFont="1" applyFill="1" applyBorder="1" applyAlignment="1">
      <alignment horizontal="center" vertical="center" wrapText="1"/>
    </xf>
    <xf numFmtId="0" fontId="23" fillId="6" borderId="21" xfId="0" applyNumberFormat="1" applyFont="1" applyFill="1" applyBorder="1" applyAlignment="1">
      <alignment horizontal="center" vertical="center"/>
    </xf>
    <xf numFmtId="0" fontId="2" fillId="0" borderId="113" xfId="0" applyFont="1" applyBorder="1" applyAlignment="1">
      <alignment horizontal="center" vertical="center" shrinkToFit="1"/>
    </xf>
    <xf numFmtId="1" fontId="2" fillId="0" borderId="0" xfId="0" applyNumberFormat="1" applyFont="1" applyBorder="1" applyAlignment="1">
      <alignment vertical="center"/>
    </xf>
    <xf numFmtId="0" fontId="2" fillId="0" borderId="35" xfId="0" applyFont="1" applyBorder="1" applyAlignment="1">
      <alignment horizontal="left" vertical="center"/>
    </xf>
    <xf numFmtId="0" fontId="2" fillId="0" borderId="36" xfId="0" applyFont="1" applyBorder="1" applyAlignment="1">
      <alignment horizontal="left" vertical="center" shrinkToFit="1"/>
    </xf>
    <xf numFmtId="49" fontId="2" fillId="0" borderId="91" xfId="0" applyNumberFormat="1" applyFont="1" applyFill="1" applyBorder="1" applyAlignment="1">
      <alignment horizontal="center" vertical="center"/>
    </xf>
    <xf numFmtId="164" fontId="2" fillId="0" borderId="91" xfId="0" applyNumberFormat="1" applyFont="1" applyFill="1" applyBorder="1" applyAlignment="1">
      <alignment horizontal="center" vertical="center"/>
    </xf>
    <xf numFmtId="0" fontId="2" fillId="0" borderId="111" xfId="0" quotePrefix="1" applyFont="1" applyFill="1" applyBorder="1" applyAlignment="1">
      <alignment horizontal="center" vertical="center"/>
    </xf>
    <xf numFmtId="1" fontId="7" fillId="0" borderId="76" xfId="0" applyNumberFormat="1" applyFont="1" applyBorder="1" applyAlignment="1">
      <alignment horizontal="centerContinuous" vertical="center"/>
    </xf>
    <xf numFmtId="1" fontId="2" fillId="0" borderId="77" xfId="0" applyNumberFormat="1" applyFont="1" applyBorder="1" applyAlignment="1">
      <alignment horizontal="centerContinuous" vertical="center"/>
    </xf>
    <xf numFmtId="165" fontId="2" fillId="0" borderId="0" xfId="0" applyNumberFormat="1" applyFont="1" applyBorder="1" applyAlignment="1">
      <alignment vertical="center"/>
    </xf>
    <xf numFmtId="0" fontId="7" fillId="6" borderId="22" xfId="0" quotePrefix="1" applyNumberFormat="1"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0" xfId="5" applyNumberFormat="1" applyFont="1" applyAlignment="1">
      <alignment horizontal="center" vertical="center"/>
    </xf>
    <xf numFmtId="1" fontId="2" fillId="0" borderId="114" xfId="5" applyNumberFormat="1" applyFon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2" fillId="0" borderId="115" xfId="0" applyFont="1" applyFill="1" applyBorder="1" applyAlignment="1">
      <alignment horizontal="center" vertical="center"/>
    </xf>
    <xf numFmtId="0" fontId="2" fillId="0" borderId="116" xfId="0" applyFont="1" applyFill="1" applyBorder="1" applyAlignment="1">
      <alignment horizontal="center" vertical="center"/>
    </xf>
    <xf numFmtId="0" fontId="2" fillId="0" borderId="116" xfId="0" quotePrefix="1" applyFont="1" applyFill="1" applyBorder="1" applyAlignment="1">
      <alignment horizontal="center" vertical="center" wrapText="1"/>
    </xf>
    <xf numFmtId="0" fontId="2" fillId="0" borderId="116" xfId="0" applyNumberFormat="1" applyFont="1" applyFill="1" applyBorder="1" applyAlignment="1">
      <alignment horizontal="center" vertical="center"/>
    </xf>
    <xf numFmtId="49" fontId="2" fillId="0" borderId="116" xfId="2" applyNumberFormat="1" applyFont="1" applyFill="1" applyBorder="1" applyAlignment="1">
      <alignment horizontal="center" vertical="center"/>
    </xf>
    <xf numFmtId="49" fontId="2" fillId="0" borderId="116" xfId="0" applyNumberFormat="1" applyFont="1" applyFill="1" applyBorder="1" applyAlignment="1">
      <alignment horizontal="center" vertical="center"/>
    </xf>
    <xf numFmtId="1" fontId="47" fillId="12" borderId="40" xfId="0" applyNumberFormat="1" applyFont="1" applyFill="1" applyBorder="1" applyAlignment="1">
      <alignment horizontal="center" vertical="center"/>
    </xf>
    <xf numFmtId="1" fontId="2" fillId="0" borderId="118" xfId="0" applyNumberFormat="1" applyFont="1" applyFill="1" applyBorder="1" applyAlignment="1">
      <alignment horizontal="center" vertical="center"/>
    </xf>
    <xf numFmtId="0" fontId="2" fillId="0" borderId="119" xfId="0" quotePrefix="1" applyFont="1" applyFill="1" applyBorder="1" applyAlignment="1">
      <alignment horizontal="center" vertical="center"/>
    </xf>
    <xf numFmtId="1" fontId="2" fillId="10" borderId="120" xfId="0" applyNumberFormat="1" applyFont="1" applyFill="1" applyBorder="1" applyAlignment="1">
      <alignment horizontal="center" vertical="center"/>
    </xf>
    <xf numFmtId="164" fontId="2" fillId="10" borderId="116" xfId="0" applyNumberFormat="1" applyFont="1" applyFill="1" applyBorder="1" applyAlignment="1">
      <alignment horizontal="center" vertical="center"/>
    </xf>
    <xf numFmtId="1" fontId="2" fillId="0" borderId="91" xfId="0" applyNumberFormat="1" applyFont="1" applyFill="1" applyBorder="1" applyAlignment="1">
      <alignment horizontal="center" vertical="center"/>
    </xf>
    <xf numFmtId="3" fontId="7" fillId="0" borderId="0" xfId="0" applyNumberFormat="1" applyFont="1" applyBorder="1" applyAlignment="1">
      <alignment horizontal="center" vertical="center"/>
    </xf>
    <xf numFmtId="0" fontId="6" fillId="4" borderId="25" xfId="0" applyFont="1" applyFill="1" applyBorder="1" applyAlignment="1">
      <alignment horizontal="right" vertical="center"/>
    </xf>
    <xf numFmtId="3" fontId="7" fillId="0" borderId="9" xfId="0" applyNumberFormat="1" applyFont="1" applyFill="1" applyBorder="1" applyAlignment="1">
      <alignment horizontal="center"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16" borderId="116" xfId="0" quotePrefix="1" applyNumberFormat="1" applyFont="1" applyFill="1" applyBorder="1" applyAlignment="1">
      <alignment horizontal="center" vertical="center"/>
    </xf>
    <xf numFmtId="1" fontId="2" fillId="0" borderId="110"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17" borderId="23" xfId="0" applyNumberFormat="1" applyFont="1" applyFill="1" applyBorder="1" applyAlignment="1">
      <alignment horizontal="center" vertical="center"/>
    </xf>
    <xf numFmtId="0" fontId="2" fillId="0" borderId="0" xfId="5" applyFont="1" applyAlignment="1">
      <alignment horizontal="right" vertical="center"/>
    </xf>
    <xf numFmtId="49" fontId="2" fillId="15" borderId="98" xfId="2" applyNumberFormat="1" applyFont="1" applyFill="1" applyBorder="1" applyAlignment="1">
      <alignment horizontal="center" vertical="center"/>
    </xf>
    <xf numFmtId="49" fontId="2" fillId="15" borderId="116" xfId="2" applyNumberFormat="1" applyFont="1" applyFill="1" applyBorder="1" applyAlignment="1">
      <alignment horizontal="center" vertical="center"/>
    </xf>
    <xf numFmtId="49" fontId="2" fillId="15" borderId="91" xfId="2" applyNumberFormat="1" applyFont="1" applyFill="1" applyBorder="1" applyAlignment="1">
      <alignment horizontal="center" vertical="center"/>
    </xf>
    <xf numFmtId="0" fontId="51" fillId="0" borderId="42" xfId="0" quotePrefix="1" applyFont="1" applyFill="1" applyBorder="1" applyAlignment="1">
      <alignment horizontal="center" vertical="center" shrinkToFit="1"/>
    </xf>
    <xf numFmtId="49" fontId="7" fillId="18" borderId="21" xfId="0" applyNumberFormat="1" applyFont="1" applyFill="1" applyBorder="1" applyAlignment="1">
      <alignment horizontal="center" vertical="center"/>
    </xf>
    <xf numFmtId="0" fontId="40" fillId="9" borderId="21" xfId="0" applyNumberFormat="1" applyFont="1" applyFill="1" applyBorder="1" applyAlignment="1">
      <alignment horizontal="center" vertical="center"/>
    </xf>
    <xf numFmtId="0" fontId="7" fillId="19" borderId="20" xfId="0" applyFont="1" applyFill="1" applyBorder="1" applyAlignment="1">
      <alignment horizontal="center" vertical="center" wrapText="1"/>
    </xf>
    <xf numFmtId="0" fontId="7" fillId="19" borderId="40" xfId="0" applyFont="1" applyFill="1" applyBorder="1" applyAlignment="1">
      <alignment horizontal="center" vertical="center" wrapText="1"/>
    </xf>
    <xf numFmtId="1" fontId="2" fillId="0" borderId="99" xfId="0" applyNumberFormat="1" applyFont="1" applyBorder="1" applyAlignment="1">
      <alignment horizontal="center" vertical="center"/>
    </xf>
    <xf numFmtId="1" fontId="2" fillId="0" borderId="105" xfId="0" applyNumberFormat="1" applyFont="1" applyBorder="1" applyAlignment="1">
      <alignment horizontal="center" vertical="center"/>
    </xf>
    <xf numFmtId="1" fontId="2" fillId="0" borderId="73" xfId="0" applyNumberFormat="1" applyFont="1" applyBorder="1" applyAlignment="1">
      <alignment horizontal="center" vertical="center"/>
    </xf>
    <xf numFmtId="1" fontId="2" fillId="0" borderId="92" xfId="0" applyNumberFormat="1" applyFont="1" applyFill="1" applyBorder="1" applyAlignment="1">
      <alignment horizontal="center" vertical="center"/>
    </xf>
    <xf numFmtId="1" fontId="2" fillId="0" borderId="117" xfId="0" applyNumberFormat="1" applyFont="1" applyFill="1" applyBorder="1" applyAlignment="1">
      <alignment horizontal="center" vertical="center"/>
    </xf>
    <xf numFmtId="49" fontId="2" fillId="0" borderId="91" xfId="2" applyNumberFormat="1" applyFont="1" applyBorder="1" applyAlignment="1">
      <alignment horizontal="center" vertical="center"/>
    </xf>
    <xf numFmtId="1" fontId="2" fillId="10" borderId="112" xfId="0" applyNumberFormat="1" applyFont="1" applyFill="1" applyBorder="1" applyAlignment="1">
      <alignment horizontal="center" vertical="center"/>
    </xf>
    <xf numFmtId="0" fontId="2" fillId="0" borderId="104" xfId="0" applyFont="1" applyFill="1" applyBorder="1" applyAlignment="1">
      <alignment horizontal="center" vertical="center"/>
    </xf>
    <xf numFmtId="49" fontId="2" fillId="0" borderId="104" xfId="2" applyNumberFormat="1" applyFont="1" applyBorder="1" applyAlignment="1">
      <alignment horizontal="center" vertical="center"/>
    </xf>
    <xf numFmtId="49" fontId="2" fillId="0" borderId="104" xfId="2" applyNumberFormat="1" applyFont="1" applyFill="1" applyBorder="1" applyAlignment="1">
      <alignment horizontal="center" vertical="center"/>
    </xf>
    <xf numFmtId="0" fontId="2" fillId="0" borderId="104" xfId="0" applyFont="1" applyFill="1" applyBorder="1" applyAlignment="1">
      <alignment horizontal="center" vertical="center" shrinkToFit="1"/>
    </xf>
    <xf numFmtId="49" fontId="2" fillId="0" borderId="91" xfId="2" applyNumberFormat="1" applyFont="1" applyFill="1" applyBorder="1" applyAlignment="1">
      <alignment horizontal="center" vertical="center"/>
    </xf>
    <xf numFmtId="0" fontId="2" fillId="0" borderId="91" xfId="0" applyFont="1" applyFill="1" applyBorder="1" applyAlignment="1">
      <alignment horizontal="center" vertical="center" shrinkToFit="1"/>
    </xf>
    <xf numFmtId="1" fontId="2" fillId="0" borderId="92" xfId="0" applyNumberFormat="1" applyFont="1" applyBorder="1" applyAlignment="1">
      <alignment horizontal="center" vertical="center"/>
    </xf>
    <xf numFmtId="0" fontId="2" fillId="0" borderId="96" xfId="0"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2" fillId="0" borderId="60" xfId="0" applyFont="1" applyBorder="1" applyAlignment="1">
      <alignment horizontal="center" shrinkToFit="1"/>
    </xf>
    <xf numFmtId="0" fontId="2" fillId="0" borderId="75" xfId="0" applyFont="1" applyBorder="1" applyAlignment="1">
      <alignment horizontal="center" shrinkToFit="1"/>
    </xf>
    <xf numFmtId="164" fontId="2" fillId="0" borderId="35" xfId="0" applyNumberFormat="1" applyFont="1" applyBorder="1" applyAlignment="1">
      <alignment horizontal="center" shrinkToFit="1"/>
    </xf>
    <xf numFmtId="0" fontId="2" fillId="0" borderId="35" xfId="0" applyFont="1" applyBorder="1" applyAlignment="1">
      <alignment horizontal="left"/>
    </xf>
    <xf numFmtId="0" fontId="2" fillId="0" borderId="36" xfId="0" applyFont="1" applyBorder="1" applyAlignment="1">
      <alignment horizontal="left" shrinkToFit="1"/>
    </xf>
    <xf numFmtId="0" fontId="2" fillId="0" borderId="0" xfId="0" applyFont="1" applyBorder="1" applyAlignment="1">
      <alignment horizontal="center"/>
    </xf>
    <xf numFmtId="1" fontId="2" fillId="0" borderId="31" xfId="0" applyNumberFormat="1" applyFont="1" applyBorder="1" applyAlignment="1">
      <alignment horizontal="center" vertical="center" shrinkToFit="1"/>
    </xf>
    <xf numFmtId="0" fontId="2" fillId="0" borderId="80" xfId="0" applyFont="1" applyBorder="1" applyAlignment="1">
      <alignment horizontal="center" vertical="center" shrinkToFit="1"/>
    </xf>
    <xf numFmtId="1" fontId="2" fillId="0" borderId="35" xfId="0" applyNumberFormat="1" applyFont="1" applyBorder="1" applyAlignment="1">
      <alignment horizontal="center" vertical="center" shrinkToFit="1"/>
    </xf>
    <xf numFmtId="0" fontId="2" fillId="0" borderId="72" xfId="0" applyFont="1" applyBorder="1" applyAlignment="1">
      <alignment horizontal="left" vertical="center"/>
    </xf>
    <xf numFmtId="1" fontId="2" fillId="0" borderId="88" xfId="0" applyNumberFormat="1" applyFont="1" applyBorder="1" applyAlignment="1">
      <alignment horizontal="center" vertical="center" shrinkToFit="1"/>
    </xf>
    <xf numFmtId="0" fontId="7" fillId="0" borderId="62" xfId="0" applyNumberFormat="1" applyFont="1" applyFill="1" applyBorder="1" applyAlignment="1">
      <alignment horizontal="centerContinuous" vertical="center"/>
    </xf>
    <xf numFmtId="0" fontId="2" fillId="0" borderId="63" xfId="0" applyFont="1" applyFill="1" applyBorder="1" applyAlignment="1">
      <alignment horizontal="centerContinuous" vertical="center"/>
    </xf>
    <xf numFmtId="0" fontId="7" fillId="0" borderId="11" xfId="0" applyFont="1" applyFill="1" applyBorder="1" applyAlignment="1">
      <alignment horizontal="center" vertical="center"/>
    </xf>
    <xf numFmtId="0" fontId="9" fillId="19" borderId="3" xfId="0" quotePrefix="1" applyFont="1" applyFill="1" applyBorder="1" applyAlignment="1">
      <alignment horizontal="center"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 name="Percent 2 2" xfId="10"/>
  </cellStyles>
  <dxfs count="31">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99FF"/>
      <color rgb="FFCCFFCC"/>
      <color rgb="FF9966FF"/>
      <color rgb="FF00FFFF"/>
      <color rgb="FF00FF00"/>
      <color rgb="FF009900"/>
      <color rgb="FFCCFF99"/>
      <color rgb="FF0000FF"/>
      <color rgb="FFFF00FF"/>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15240</xdr:rowOff>
    </xdr:from>
    <xdr:to>
      <xdr:col>6</xdr:col>
      <xdr:colOff>1310640</xdr:colOff>
      <xdr:row>16</xdr:row>
      <xdr:rowOff>72390</xdr:rowOff>
    </xdr:to>
    <xdr:sp macro="" textlink="">
      <xdr:nvSpPr>
        <xdr:cNvPr id="3" name="Text Box 60"/>
        <xdr:cNvSpPr txBox="1">
          <a:spLocks noChangeArrowheads="1"/>
        </xdr:cNvSpPr>
      </xdr:nvSpPr>
      <xdr:spPr bwMode="auto">
        <a:xfrm>
          <a:off x="0" y="2781300"/>
          <a:ext cx="6751320" cy="8572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ysClr val="windowText" lastClr="000000"/>
              </a:solidFill>
              <a:latin typeface="Times New Roman"/>
              <a:cs typeface="Times New Roman"/>
            </a:rPr>
            <a:t>Current Effects</a:t>
          </a:r>
        </a:p>
      </xdr:txBody>
    </xdr:sp>
    <xdr:clientData/>
  </xdr:twoCellAnchor>
  <xdr:twoCellAnchor editAs="oneCell">
    <xdr:from>
      <xdr:col>5</xdr:col>
      <xdr:colOff>38100</xdr:colOff>
      <xdr:row>1</xdr:row>
      <xdr:rowOff>133350</xdr:rowOff>
    </xdr:from>
    <xdr:to>
      <xdr:col>6</xdr:col>
      <xdr:colOff>1297940</xdr:colOff>
      <xdr:row>11</xdr:row>
      <xdr:rowOff>45720</xdr:rowOff>
    </xdr:to>
    <xdr:pic>
      <xdr:nvPicPr>
        <xdr:cNvPr id="4" name="Picture 3" descr="C:\A\Jue\DoW\Images\NPC\Primes\Humans\Rogues &amp; Commoners\yamethan.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2900" y="506730"/>
          <a:ext cx="2585720" cy="2084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588645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Planescape%20Nexu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tabSelected="1" zoomScaleNormal="100" workbookViewId="0"/>
  </sheetViews>
  <sheetFormatPr defaultColWidth="13" defaultRowHeight="15.6"/>
  <cols>
    <col min="1" max="1" width="14.3984375" style="42" bestFit="1" customWidth="1"/>
    <col min="2" max="2" width="10.59765625" style="43" customWidth="1"/>
    <col min="3" max="3" width="5.19921875" style="43" customWidth="1"/>
    <col min="4" max="4" width="14" style="42" bestFit="1" customWidth="1"/>
    <col min="5" max="5" width="9.796875" style="43" bestFit="1" customWidth="1"/>
    <col min="6" max="6" width="17.3984375" style="42" customWidth="1"/>
    <col min="7" max="7" width="17.3984375" style="43" customWidth="1"/>
    <col min="8" max="16384" width="13" style="15"/>
  </cols>
  <sheetData>
    <row r="1" spans="1:7" ht="29.4" thickTop="1" thickBot="1">
      <c r="A1" s="221" t="s">
        <v>141</v>
      </c>
      <c r="B1" s="222"/>
      <c r="C1" s="223"/>
      <c r="D1" s="224"/>
      <c r="E1" s="225"/>
      <c r="F1" s="224"/>
      <c r="G1" s="226" t="s">
        <v>102</v>
      </c>
    </row>
    <row r="2" spans="1:7" ht="17.399999999999999" thickTop="1">
      <c r="A2" s="16" t="s">
        <v>0</v>
      </c>
      <c r="B2" s="17" t="s">
        <v>103</v>
      </c>
      <c r="C2" s="17"/>
      <c r="D2" s="18" t="s">
        <v>1</v>
      </c>
      <c r="E2" s="19" t="s">
        <v>97</v>
      </c>
      <c r="F2" s="20"/>
      <c r="G2" s="21"/>
    </row>
    <row r="3" spans="1:7" ht="16.8">
      <c r="A3" s="16" t="s">
        <v>63</v>
      </c>
      <c r="B3" s="17" t="s">
        <v>115</v>
      </c>
      <c r="C3" s="17"/>
      <c r="D3" s="18" t="s">
        <v>64</v>
      </c>
      <c r="E3" s="19">
        <v>12</v>
      </c>
      <c r="F3" s="18"/>
      <c r="G3" s="21"/>
    </row>
    <row r="4" spans="1:7" ht="17.399999999999999" thickBot="1">
      <c r="A4" s="16" t="s">
        <v>65</v>
      </c>
      <c r="B4" s="17" t="s">
        <v>104</v>
      </c>
      <c r="C4" s="17"/>
      <c r="D4" s="18"/>
      <c r="E4" s="367"/>
      <c r="F4" s="18"/>
      <c r="G4" s="21"/>
    </row>
    <row r="5" spans="1:7" ht="17.399999999999999" thickTop="1">
      <c r="A5" s="22" t="s">
        <v>87</v>
      </c>
      <c r="B5" s="413">
        <f>9</f>
        <v>9</v>
      </c>
      <c r="C5" s="414"/>
      <c r="D5" s="23" t="s">
        <v>219</v>
      </c>
      <c r="E5" s="24" t="s">
        <v>216</v>
      </c>
      <c r="F5" s="25"/>
      <c r="G5" s="21"/>
    </row>
    <row r="6" spans="1:7" ht="17.399999999999999" thickBot="1">
      <c r="A6" s="26" t="s">
        <v>110</v>
      </c>
      <c r="B6" s="337">
        <f>C8+2</f>
        <v>7</v>
      </c>
      <c r="C6" s="338"/>
      <c r="D6" s="368" t="s">
        <v>215</v>
      </c>
      <c r="E6" s="369">
        <v>78000</v>
      </c>
      <c r="F6" s="25"/>
      <c r="G6" s="21"/>
    </row>
    <row r="7" spans="1:7" ht="17.399999999999999" thickTop="1">
      <c r="A7" s="27" t="s">
        <v>2</v>
      </c>
      <c r="B7" s="415">
        <f>12</f>
        <v>12</v>
      </c>
      <c r="C7" s="28" t="str">
        <f t="shared" ref="C7:C12" si="0">IF(B7&gt;9.9,CONCATENATE("+",ROUNDDOWN((B7-10)/2,0)),ROUNDUP((B7-10)/2,0))</f>
        <v>+1</v>
      </c>
      <c r="D7" s="29" t="s">
        <v>73</v>
      </c>
      <c r="E7" s="218" t="s">
        <v>111</v>
      </c>
      <c r="F7" s="25"/>
      <c r="G7" s="21"/>
    </row>
    <row r="8" spans="1:7" ht="16.8">
      <c r="A8" s="30" t="s">
        <v>3</v>
      </c>
      <c r="B8" s="416">
        <f>18+2</f>
        <v>20</v>
      </c>
      <c r="C8" s="36" t="str">
        <f t="shared" si="0"/>
        <v>+5</v>
      </c>
      <c r="D8" s="32" t="s">
        <v>74</v>
      </c>
      <c r="E8" s="33">
        <f>SUM(Martial!G7:G30)+SUM(Equipment!C3:C20)</f>
        <v>46.5</v>
      </c>
      <c r="F8" s="25"/>
      <c r="G8" s="21"/>
    </row>
    <row r="9" spans="1:7" ht="16.8">
      <c r="A9" s="34" t="s">
        <v>12</v>
      </c>
      <c r="B9" s="35">
        <f>10</f>
        <v>10</v>
      </c>
      <c r="C9" s="36" t="str">
        <f t="shared" si="0"/>
        <v>+0</v>
      </c>
      <c r="D9" s="32" t="s">
        <v>14</v>
      </c>
      <c r="E9" s="304">
        <f>ROUNDUP(((E3*8)*0.75)+(E3*C9),0)</f>
        <v>72</v>
      </c>
      <c r="F9" s="25"/>
      <c r="G9" s="21"/>
    </row>
    <row r="10" spans="1:7" ht="16.8">
      <c r="A10" s="37" t="s">
        <v>13</v>
      </c>
      <c r="B10" s="35">
        <f>10</f>
        <v>10</v>
      </c>
      <c r="C10" s="31" t="str">
        <f t="shared" si="0"/>
        <v>+0</v>
      </c>
      <c r="D10" s="38" t="s">
        <v>89</v>
      </c>
      <c r="E10" s="400">
        <f>10+C8</f>
        <v>15</v>
      </c>
      <c r="F10" s="16"/>
      <c r="G10" s="21"/>
    </row>
    <row r="11" spans="1:7" ht="16.8">
      <c r="A11" s="39" t="s">
        <v>15</v>
      </c>
      <c r="B11" s="35">
        <f>16</f>
        <v>16</v>
      </c>
      <c r="C11" s="31" t="str">
        <f t="shared" si="0"/>
        <v>+3</v>
      </c>
      <c r="D11" s="38" t="s">
        <v>96</v>
      </c>
      <c r="E11" s="375">
        <f>E12-C8</f>
        <v>22</v>
      </c>
      <c r="F11" s="25"/>
      <c r="G11" s="21"/>
    </row>
    <row r="12" spans="1:7" ht="17.399999999999999" thickBot="1">
      <c r="A12" s="40" t="s">
        <v>11</v>
      </c>
      <c r="B12" s="298">
        <f>8</f>
        <v>8</v>
      </c>
      <c r="C12" s="299">
        <f t="shared" si="0"/>
        <v>-1</v>
      </c>
      <c r="D12" s="41" t="s">
        <v>217</v>
      </c>
      <c r="E12" s="401">
        <f>E10+SUM(Martial!B24:B27)</f>
        <v>27</v>
      </c>
      <c r="F12" s="374"/>
      <c r="G12" s="300"/>
    </row>
    <row r="13" spans="1:7" ht="16.2" thickTop="1"/>
  </sheetData>
  <phoneticPr fontId="0" type="noConversion"/>
  <conditionalFormatting sqref="E8">
    <cfRule type="cellIs" dxfId="30" priority="4" stopIfTrue="1" operator="greaterThan">
      <formula>116</formula>
    </cfRule>
    <cfRule type="cellIs" dxfId="29"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6"/>
  <sheetViews>
    <sheetView showGridLines="0" zoomScaleNormal="100" workbookViewId="0">
      <pane ySplit="2" topLeftCell="A3" activePane="bottomLeft" state="frozen"/>
      <selection pane="bottomLeft" activeCell="A3" sqref="A3"/>
    </sheetView>
  </sheetViews>
  <sheetFormatPr defaultColWidth="13" defaultRowHeight="15.6"/>
  <cols>
    <col min="1" max="1" width="27.8984375" style="42" bestFit="1" customWidth="1"/>
    <col min="2" max="2" width="5.8984375" style="42" bestFit="1" customWidth="1"/>
    <col min="3" max="3" width="7.59765625" style="43" hidden="1" customWidth="1"/>
    <col min="4" max="4" width="5.8984375" style="43" hidden="1" customWidth="1"/>
    <col min="5" max="5" width="9.19921875" style="43" bestFit="1" customWidth="1"/>
    <col min="6" max="6" width="6.69921875" style="43" bestFit="1" customWidth="1"/>
    <col min="7" max="7" width="6" style="123" bestFit="1" customWidth="1"/>
    <col min="8" max="8" width="5.19921875" style="123" bestFit="1" customWidth="1"/>
    <col min="9" max="9" width="6.8984375" style="123" bestFit="1" customWidth="1"/>
    <col min="10" max="10" width="20.69921875" style="42" bestFit="1" customWidth="1"/>
    <col min="11" max="11" width="13" style="207"/>
    <col min="12" max="16384" width="13" style="15"/>
  </cols>
  <sheetData>
    <row r="1" spans="1:11" ht="23.4" thickBot="1">
      <c r="A1" s="44" t="s">
        <v>10</v>
      </c>
      <c r="B1" s="45"/>
      <c r="C1" s="45"/>
      <c r="D1" s="45"/>
      <c r="E1" s="45"/>
      <c r="F1" s="45"/>
      <c r="G1" s="46"/>
      <c r="H1" s="46"/>
      <c r="I1" s="46"/>
      <c r="J1" s="45"/>
    </row>
    <row r="2" spans="1:11" s="8" customFormat="1" ht="34.200000000000003" thickBot="1">
      <c r="A2" s="1" t="s">
        <v>95</v>
      </c>
      <c r="B2" s="2" t="s">
        <v>29</v>
      </c>
      <c r="C2" s="2" t="s">
        <v>36</v>
      </c>
      <c r="D2" s="2" t="s">
        <v>28</v>
      </c>
      <c r="E2" s="3" t="s">
        <v>61</v>
      </c>
      <c r="F2" s="3" t="s">
        <v>37</v>
      </c>
      <c r="G2" s="4" t="s">
        <v>66</v>
      </c>
      <c r="H2" s="5" t="s">
        <v>94</v>
      </c>
      <c r="I2" s="6" t="s">
        <v>81</v>
      </c>
      <c r="J2" s="7" t="s">
        <v>79</v>
      </c>
      <c r="K2" s="207"/>
    </row>
    <row r="3" spans="1:11" s="8" customFormat="1" ht="15.75" customHeight="1">
      <c r="A3" s="47" t="s">
        <v>68</v>
      </c>
      <c r="B3" s="48">
        <v>4</v>
      </c>
      <c r="C3" s="49" t="s">
        <v>31</v>
      </c>
      <c r="D3" s="49" t="str">
        <f>IF(C3="Str",'Personal File'!$C$7,IF(C3="Dex",'Personal File'!$C$8,IF(C3="Con",'Personal File'!$C$9,IF(C3="Int",'Personal File'!$C$10,IF(C3="Wis",'Personal File'!$C$11,IF(C3="Cha",'Personal File'!$C$12))))))</f>
        <v>+0</v>
      </c>
      <c r="E3" s="326" t="str">
        <f t="shared" ref="E3:E5" si="0">CONCATENATE(C3," (",D3,")")</f>
        <v>Con (+0)</v>
      </c>
      <c r="F3" s="383">
        <f>1+2</f>
        <v>3</v>
      </c>
      <c r="G3" s="50">
        <f t="shared" ref="G3:G42" si="1">B3+D3+F3</f>
        <v>7</v>
      </c>
      <c r="H3" s="51">
        <f t="shared" ref="H3:H5" ca="1" si="2">RANDBETWEEN(1,20)</f>
        <v>17</v>
      </c>
      <c r="I3" s="50">
        <f t="shared" ref="I3:I42" ca="1" si="3">SUM(G3:H3)</f>
        <v>24</v>
      </c>
      <c r="J3" s="52"/>
      <c r="K3" s="207"/>
    </row>
    <row r="4" spans="1:11" s="8" customFormat="1" ht="15.75" customHeight="1">
      <c r="A4" s="53" t="s">
        <v>69</v>
      </c>
      <c r="B4" s="48">
        <v>8</v>
      </c>
      <c r="C4" s="49" t="s">
        <v>34</v>
      </c>
      <c r="D4" s="49" t="str">
        <f>IF(C4="Str",'Personal File'!$C$7,IF(C4="Dex",'Personal File'!$C$8,IF(C4="Con",'Personal File'!$C$9,IF(C4="Int",'Personal File'!$C$10,IF(C4="Wis",'Personal File'!$C$11,IF(C4="Cha",'Personal File'!$C$12))))))</f>
        <v>+5</v>
      </c>
      <c r="E4" s="327" t="str">
        <f t="shared" si="0"/>
        <v>Dex (+5)</v>
      </c>
      <c r="F4" s="383">
        <v>1</v>
      </c>
      <c r="G4" s="50">
        <f t="shared" si="1"/>
        <v>14</v>
      </c>
      <c r="H4" s="51">
        <f t="shared" ca="1" si="2"/>
        <v>11</v>
      </c>
      <c r="I4" s="50">
        <f t="shared" ca="1" si="3"/>
        <v>25</v>
      </c>
      <c r="J4" s="87" t="s">
        <v>236</v>
      </c>
      <c r="K4" s="272"/>
    </row>
    <row r="5" spans="1:11" s="8" customFormat="1" ht="15.75" customHeight="1">
      <c r="A5" s="54" t="s">
        <v>70</v>
      </c>
      <c r="B5" s="55">
        <v>4</v>
      </c>
      <c r="C5" s="56" t="s">
        <v>33</v>
      </c>
      <c r="D5" s="56" t="str">
        <f>IF(C5="Str",'Personal File'!$C$7,IF(C5="Dex",'Personal File'!$C$8,IF(C5="Con",'Personal File'!$C$9,IF(C5="Int",'Personal File'!$C$10,IF(C5="Wis",'Personal File'!$C$11,IF(C5="Cha",'Personal File'!$C$12))))))</f>
        <v>+3</v>
      </c>
      <c r="E5" s="328" t="str">
        <f t="shared" si="0"/>
        <v>Wis (+3)</v>
      </c>
      <c r="F5" s="384">
        <v>1</v>
      </c>
      <c r="G5" s="57">
        <f t="shared" si="1"/>
        <v>8</v>
      </c>
      <c r="H5" s="58">
        <f t="shared" ca="1" si="2"/>
        <v>16</v>
      </c>
      <c r="I5" s="57">
        <f t="shared" ca="1" si="3"/>
        <v>24</v>
      </c>
      <c r="J5" s="59"/>
      <c r="K5" s="207"/>
    </row>
    <row r="6" spans="1:11" s="67" customFormat="1" ht="16.8">
      <c r="A6" s="60" t="s">
        <v>38</v>
      </c>
      <c r="B6" s="61">
        <v>0</v>
      </c>
      <c r="C6" s="62" t="s">
        <v>32</v>
      </c>
      <c r="D6" s="63" t="str">
        <f>IF(C6="Str",'Personal File'!$C$7,IF(C6="Dex",'Personal File'!$C$8,IF(C6="Con",'Personal File'!$C$9,IF(C6="Int",'Personal File'!$C$10,IF(C6="Wis",'Personal File'!$C$11,IF(C6="Cha",'Personal File'!$C$12))))))</f>
        <v>+0</v>
      </c>
      <c r="E6" s="63" t="str">
        <f t="shared" ref="E6:E42" si="4">CONCATENATE(C6," (",D6,")")</f>
        <v>Int (+0)</v>
      </c>
      <c r="F6" s="64" t="s">
        <v>62</v>
      </c>
      <c r="G6" s="65">
        <f t="shared" si="1"/>
        <v>0</v>
      </c>
      <c r="H6" s="51">
        <f ca="1">RANDBETWEEN(1,20)</f>
        <v>3</v>
      </c>
      <c r="I6" s="65">
        <f t="shared" ca="1" si="3"/>
        <v>3</v>
      </c>
      <c r="J6" s="87"/>
    </row>
    <row r="7" spans="1:11" s="74" customFormat="1" ht="16.8">
      <c r="A7" s="68" t="s">
        <v>39</v>
      </c>
      <c r="B7" s="69">
        <v>7</v>
      </c>
      <c r="C7" s="70" t="s">
        <v>34</v>
      </c>
      <c r="D7" s="71" t="str">
        <f>IF(C7="Str",'Personal File'!$C$7,IF(C7="Dex",'Personal File'!$C$8,IF(C7="Con",'Personal File'!$C$9,IF(C7="Int",'Personal File'!$C$10,IF(C7="Wis",'Personal File'!$C$11,IF(C7="Cha",'Personal File'!$C$12))))))</f>
        <v>+5</v>
      </c>
      <c r="E7" s="71" t="str">
        <f t="shared" si="4"/>
        <v>Dex (+5)</v>
      </c>
      <c r="F7" s="72" t="s">
        <v>175</v>
      </c>
      <c r="G7" s="72">
        <f t="shared" si="1"/>
        <v>14</v>
      </c>
      <c r="H7" s="51">
        <f ca="1">RANDBETWEEN(1,20)</f>
        <v>7</v>
      </c>
      <c r="I7" s="72">
        <f t="shared" ca="1" si="3"/>
        <v>21</v>
      </c>
      <c r="J7" s="233"/>
    </row>
    <row r="8" spans="1:11" s="78" customFormat="1" ht="16.8">
      <c r="A8" s="75" t="s">
        <v>40</v>
      </c>
      <c r="B8" s="61">
        <v>0</v>
      </c>
      <c r="C8" s="76" t="s">
        <v>30</v>
      </c>
      <c r="D8" s="77">
        <f>IF(C8="Str",'Personal File'!$C$7,IF(C8="Dex",'Personal File'!$C$8,IF(C8="Con",'Personal File'!$C$9,IF(C8="Int",'Personal File'!$C$10,IF(C8="Wis",'Personal File'!$C$11,IF(C8="Cha",'Personal File'!$C$12))))))</f>
        <v>-1</v>
      </c>
      <c r="E8" s="77" t="str">
        <f t="shared" si="4"/>
        <v>Cha (-1)</v>
      </c>
      <c r="F8" s="65" t="s">
        <v>62</v>
      </c>
      <c r="G8" s="65">
        <f t="shared" si="1"/>
        <v>-1</v>
      </c>
      <c r="H8" s="51">
        <f t="shared" ref="H8:H42" ca="1" si="5">RANDBETWEEN(1,20)</f>
        <v>1</v>
      </c>
      <c r="I8" s="65">
        <f t="shared" ca="1" si="3"/>
        <v>0</v>
      </c>
      <c r="J8" s="87"/>
    </row>
    <row r="9" spans="1:11" s="79" customFormat="1" ht="16.8">
      <c r="A9" s="246" t="s">
        <v>41</v>
      </c>
      <c r="B9" s="69">
        <v>5</v>
      </c>
      <c r="C9" s="247" t="s">
        <v>35</v>
      </c>
      <c r="D9" s="248" t="str">
        <f>IF(C9="Str",'Personal File'!$C$7,IF(C9="Dex",'Personal File'!$C$8,IF(C9="Con",'Personal File'!$C$9,IF(C9="Int",'Personal File'!$C$10,IF(C9="Wis",'Personal File'!$C$11,IF(C9="Cha",'Personal File'!$C$12))))))</f>
        <v>+1</v>
      </c>
      <c r="E9" s="248" t="str">
        <f t="shared" si="4"/>
        <v>Str (+1)</v>
      </c>
      <c r="F9" s="72" t="s">
        <v>62</v>
      </c>
      <c r="G9" s="72">
        <f t="shared" si="1"/>
        <v>6</v>
      </c>
      <c r="H9" s="51">
        <f t="shared" ca="1" si="5"/>
        <v>7</v>
      </c>
      <c r="I9" s="72">
        <f t="shared" ca="1" si="3"/>
        <v>13</v>
      </c>
      <c r="J9" s="233"/>
    </row>
    <row r="10" spans="1:11" s="79" customFormat="1" ht="16.8">
      <c r="A10" s="227" t="s">
        <v>16</v>
      </c>
      <c r="B10" s="61">
        <v>0</v>
      </c>
      <c r="C10" s="228" t="s">
        <v>31</v>
      </c>
      <c r="D10" s="229" t="str">
        <f>IF(C10="Str",'Personal File'!$C$7,IF(C10="Dex",'Personal File'!$C$8,IF(C10="Con",'Personal File'!$C$9,IF(C10="Int",'Personal File'!$C$10,IF(C10="Wis",'Personal File'!$C$11,IF(C10="Cha",'Personal File'!$C$12))))))</f>
        <v>+0</v>
      </c>
      <c r="E10" s="229" t="str">
        <f t="shared" si="4"/>
        <v>Con (+0)</v>
      </c>
      <c r="F10" s="65" t="s">
        <v>62</v>
      </c>
      <c r="G10" s="65">
        <f t="shared" si="1"/>
        <v>0</v>
      </c>
      <c r="H10" s="51">
        <f t="shared" ca="1" si="5"/>
        <v>3</v>
      </c>
      <c r="I10" s="65">
        <f t="shared" ca="1" si="3"/>
        <v>3</v>
      </c>
      <c r="J10" s="87"/>
    </row>
    <row r="11" spans="1:11" s="67" customFormat="1" ht="16.8">
      <c r="A11" s="60" t="s">
        <v>86</v>
      </c>
      <c r="B11" s="61">
        <v>0</v>
      </c>
      <c r="C11" s="62" t="s">
        <v>32</v>
      </c>
      <c r="D11" s="63" t="str">
        <f>IF(C11="Str",'Personal File'!$C$7,IF(C11="Dex",'Personal File'!$C$8,IF(C11="Con",'Personal File'!$C$9,IF(C11="Int",'Personal File'!$C$10,IF(C11="Wis",'Personal File'!$C$11,IF(C11="Cha",'Personal File'!$C$12))))))</f>
        <v>+0</v>
      </c>
      <c r="E11" s="63" t="str">
        <f t="shared" si="4"/>
        <v>Int (+0)</v>
      </c>
      <c r="F11" s="65" t="s">
        <v>62</v>
      </c>
      <c r="G11" s="65">
        <f t="shared" si="1"/>
        <v>0</v>
      </c>
      <c r="H11" s="51">
        <f t="shared" ca="1" si="5"/>
        <v>1</v>
      </c>
      <c r="I11" s="65">
        <f t="shared" ca="1" si="3"/>
        <v>1</v>
      </c>
      <c r="J11" s="87"/>
    </row>
    <row r="12" spans="1:11" s="86" customFormat="1" ht="16.8">
      <c r="A12" s="80" t="s">
        <v>42</v>
      </c>
      <c r="B12" s="81">
        <v>0</v>
      </c>
      <c r="C12" s="82" t="s">
        <v>32</v>
      </c>
      <c r="D12" s="83" t="str">
        <f>IF(C12="Str",'Personal File'!$C$7,IF(C12="Dex",'Personal File'!$C$8,IF(C12="Con",'Personal File'!$C$9,IF(C12="Int",'Personal File'!$C$10,IF(C12="Wis",'Personal File'!$C$11,IF(C12="Cha",'Personal File'!$C$12))))))</f>
        <v>+0</v>
      </c>
      <c r="E12" s="83" t="str">
        <f t="shared" si="4"/>
        <v>Int (+0)</v>
      </c>
      <c r="F12" s="84" t="s">
        <v>62</v>
      </c>
      <c r="G12" s="84">
        <f t="shared" si="1"/>
        <v>0</v>
      </c>
      <c r="H12" s="51">
        <f t="shared" ca="1" si="5"/>
        <v>3</v>
      </c>
      <c r="I12" s="84">
        <f t="shared" ca="1" si="3"/>
        <v>3</v>
      </c>
      <c r="J12" s="271"/>
    </row>
    <row r="13" spans="1:11" s="74" customFormat="1" ht="16.8">
      <c r="A13" s="75" t="s">
        <v>43</v>
      </c>
      <c r="B13" s="61">
        <v>0</v>
      </c>
      <c r="C13" s="76" t="s">
        <v>30</v>
      </c>
      <c r="D13" s="77">
        <f>IF(C13="Str",'Personal File'!$C$7,IF(C13="Dex",'Personal File'!$C$8,IF(C13="Con",'Personal File'!$C$9,IF(C13="Int",'Personal File'!$C$10,IF(C13="Wis",'Personal File'!$C$11,IF(C13="Cha",'Personal File'!$C$12))))))</f>
        <v>-1</v>
      </c>
      <c r="E13" s="77" t="str">
        <f t="shared" si="4"/>
        <v>Cha (-1)</v>
      </c>
      <c r="F13" s="65" t="s">
        <v>62</v>
      </c>
      <c r="G13" s="65">
        <f t="shared" si="1"/>
        <v>-1</v>
      </c>
      <c r="H13" s="51">
        <f t="shared" ca="1" si="5"/>
        <v>8</v>
      </c>
      <c r="I13" s="65">
        <f t="shared" ca="1" si="3"/>
        <v>7</v>
      </c>
      <c r="J13" s="87"/>
    </row>
    <row r="14" spans="1:11" s="74" customFormat="1" ht="16.8">
      <c r="A14" s="60" t="s">
        <v>44</v>
      </c>
      <c r="B14" s="61">
        <v>0</v>
      </c>
      <c r="C14" s="62" t="s">
        <v>32</v>
      </c>
      <c r="D14" s="63" t="str">
        <f>IF(C14="Str",'Personal File'!$C$7,IF(C14="Dex",'Personal File'!$C$8,IF(C14="Con",'Personal File'!$C$9,IF(C14="Int",'Personal File'!$C$10,IF(C14="Wis",'Personal File'!$C$11,IF(C14="Cha",'Personal File'!$C$12))))))</f>
        <v>+0</v>
      </c>
      <c r="E14" s="63" t="str">
        <f t="shared" si="4"/>
        <v>Int (+0)</v>
      </c>
      <c r="F14" s="65" t="s">
        <v>62</v>
      </c>
      <c r="G14" s="65">
        <f t="shared" si="1"/>
        <v>0</v>
      </c>
      <c r="H14" s="51">
        <f t="shared" ca="1" si="5"/>
        <v>17</v>
      </c>
      <c r="I14" s="65">
        <f t="shared" ca="1" si="3"/>
        <v>17</v>
      </c>
      <c r="J14" s="87"/>
    </row>
    <row r="15" spans="1:11" s="74" customFormat="1" ht="16.8">
      <c r="A15" s="75" t="s">
        <v>45</v>
      </c>
      <c r="B15" s="61">
        <v>0</v>
      </c>
      <c r="C15" s="76" t="s">
        <v>30</v>
      </c>
      <c r="D15" s="77">
        <f>IF(C15="Str",'Personal File'!$C$7,IF(C15="Dex",'Personal File'!$C$8,IF(C15="Con",'Personal File'!$C$9,IF(C15="Int",'Personal File'!$C$10,IF(C15="Wis",'Personal File'!$C$11,IF(C15="Cha",'Personal File'!$C$12))))))</f>
        <v>-1</v>
      </c>
      <c r="E15" s="77" t="str">
        <f t="shared" si="4"/>
        <v>Cha (-1)</v>
      </c>
      <c r="F15" s="65" t="s">
        <v>62</v>
      </c>
      <c r="G15" s="65">
        <f t="shared" si="1"/>
        <v>-1</v>
      </c>
      <c r="H15" s="51">
        <f t="shared" ca="1" si="5"/>
        <v>10</v>
      </c>
      <c r="I15" s="65">
        <f t="shared" ca="1" si="3"/>
        <v>9</v>
      </c>
      <c r="J15" s="87"/>
    </row>
    <row r="16" spans="1:11" s="74" customFormat="1" ht="16.8">
      <c r="A16" s="68" t="s">
        <v>46</v>
      </c>
      <c r="B16" s="69">
        <v>13</v>
      </c>
      <c r="C16" s="70" t="s">
        <v>34</v>
      </c>
      <c r="D16" s="71" t="str">
        <f>IF(C16="Str",'Personal File'!$C$7,IF(C16="Dex",'Personal File'!$C$8,IF(C16="Con",'Personal File'!$C$9,IF(C16="Int",'Personal File'!$C$10,IF(C16="Wis",'Personal File'!$C$11,IF(C16="Cha",'Personal File'!$C$12))))))</f>
        <v>+5</v>
      </c>
      <c r="E16" s="71" t="str">
        <f t="shared" si="4"/>
        <v>Dex (+5)</v>
      </c>
      <c r="F16" s="72" t="s">
        <v>62</v>
      </c>
      <c r="G16" s="72">
        <f t="shared" si="1"/>
        <v>18</v>
      </c>
      <c r="H16" s="51">
        <f t="shared" ca="1" si="5"/>
        <v>5</v>
      </c>
      <c r="I16" s="72">
        <f t="shared" ca="1" si="3"/>
        <v>23</v>
      </c>
      <c r="J16" s="233"/>
    </row>
    <row r="17" spans="1:10" s="74" customFormat="1" ht="16.8">
      <c r="A17" s="91" t="s">
        <v>47</v>
      </c>
      <c r="B17" s="92">
        <v>0</v>
      </c>
      <c r="C17" s="93" t="s">
        <v>32</v>
      </c>
      <c r="D17" s="94" t="str">
        <f>IF(C17="Str",'Personal File'!$C$7,IF(C17="Dex",'Personal File'!$C$8,IF(C17="Con",'Personal File'!$C$9,IF(C17="Int",'Personal File'!$C$10,IF(C17="Wis",'Personal File'!$C$11,IF(C17="Cha",'Personal File'!$C$12))))))</f>
        <v>+0</v>
      </c>
      <c r="E17" s="94" t="str">
        <f t="shared" si="4"/>
        <v>Int (+0)</v>
      </c>
      <c r="F17" s="95" t="s">
        <v>62</v>
      </c>
      <c r="G17" s="95">
        <f t="shared" si="1"/>
        <v>0</v>
      </c>
      <c r="H17" s="51">
        <f t="shared" ca="1" si="5"/>
        <v>17</v>
      </c>
      <c r="I17" s="95">
        <f t="shared" ca="1" si="3"/>
        <v>17</v>
      </c>
      <c r="J17" s="340"/>
    </row>
    <row r="18" spans="1:10" s="74" customFormat="1" ht="16.8">
      <c r="A18" s="75" t="s">
        <v>48</v>
      </c>
      <c r="B18" s="61">
        <v>0</v>
      </c>
      <c r="C18" s="76" t="s">
        <v>30</v>
      </c>
      <c r="D18" s="77">
        <f>IF(C18="Str",'Personal File'!$C$7,IF(C18="Dex",'Personal File'!$C$8,IF(C18="Con",'Personal File'!$C$9,IF(C18="Int",'Personal File'!$C$10,IF(C18="Wis",'Personal File'!$C$11,IF(C18="Cha",'Personal File'!$C$12))))))</f>
        <v>-1</v>
      </c>
      <c r="E18" s="77" t="str">
        <f t="shared" si="4"/>
        <v>Cha (-1)</v>
      </c>
      <c r="F18" s="65" t="s">
        <v>62</v>
      </c>
      <c r="G18" s="65">
        <f t="shared" si="1"/>
        <v>-1</v>
      </c>
      <c r="H18" s="51">
        <f t="shared" ca="1" si="5"/>
        <v>15</v>
      </c>
      <c r="I18" s="65">
        <f t="shared" ca="1" si="3"/>
        <v>14</v>
      </c>
      <c r="J18" s="87"/>
    </row>
    <row r="19" spans="1:10" s="74" customFormat="1" ht="16.8">
      <c r="A19" s="75" t="s">
        <v>18</v>
      </c>
      <c r="B19" s="61">
        <v>0</v>
      </c>
      <c r="C19" s="76" t="s">
        <v>30</v>
      </c>
      <c r="D19" s="77">
        <f>IF(C19="Str",'Personal File'!$C$7,IF(C19="Dex",'Personal File'!$C$8,IF(C19="Con",'Personal File'!$C$9,IF(C19="Int",'Personal File'!$C$10,IF(C19="Wis",'Personal File'!$C$11,IF(C19="Cha",'Personal File'!$C$12))))))</f>
        <v>-1</v>
      </c>
      <c r="E19" s="77" t="str">
        <f t="shared" si="4"/>
        <v>Cha (-1)</v>
      </c>
      <c r="F19" s="65" t="s">
        <v>62</v>
      </c>
      <c r="G19" s="65">
        <f t="shared" si="1"/>
        <v>-1</v>
      </c>
      <c r="H19" s="51">
        <f t="shared" ca="1" si="5"/>
        <v>4</v>
      </c>
      <c r="I19" s="65">
        <f t="shared" ca="1" si="3"/>
        <v>3</v>
      </c>
      <c r="J19" s="87"/>
    </row>
    <row r="20" spans="1:10" s="74" customFormat="1" ht="16.8">
      <c r="A20" s="97" t="s">
        <v>49</v>
      </c>
      <c r="B20" s="61">
        <v>0</v>
      </c>
      <c r="C20" s="98" t="s">
        <v>33</v>
      </c>
      <c r="D20" s="99" t="str">
        <f>IF(C20="Str",'Personal File'!$C$7,IF(C20="Dex",'Personal File'!$C$8,IF(C20="Con",'Personal File'!$C$9,IF(C20="Int",'Personal File'!$C$10,IF(C20="Wis",'Personal File'!$C$11,IF(C20="Cha",'Personal File'!$C$12))))))</f>
        <v>+3</v>
      </c>
      <c r="E20" s="99" t="str">
        <f t="shared" si="4"/>
        <v>Wis (+3)</v>
      </c>
      <c r="F20" s="65" t="s">
        <v>62</v>
      </c>
      <c r="G20" s="65">
        <f t="shared" si="1"/>
        <v>3</v>
      </c>
      <c r="H20" s="51">
        <f t="shared" ca="1" si="5"/>
        <v>4</v>
      </c>
      <c r="I20" s="65">
        <f t="shared" ca="1" si="3"/>
        <v>7</v>
      </c>
      <c r="J20" s="66"/>
    </row>
    <row r="21" spans="1:10" s="74" customFormat="1" ht="16.8">
      <c r="A21" s="68" t="s">
        <v>50</v>
      </c>
      <c r="B21" s="69">
        <v>12</v>
      </c>
      <c r="C21" s="70" t="s">
        <v>34</v>
      </c>
      <c r="D21" s="71" t="str">
        <f>IF(C21="Str",'Personal File'!$C$7,IF(C21="Dex",'Personal File'!$C$8,IF(C21="Con",'Personal File'!$C$9,IF(C21="Int",'Personal File'!$C$10,IF(C21="Wis",'Personal File'!$C$11,IF(C21="Cha",'Personal File'!$C$12))))))</f>
        <v>+5</v>
      </c>
      <c r="E21" s="71" t="str">
        <f t="shared" si="4"/>
        <v>Dex (+5)</v>
      </c>
      <c r="F21" s="72" t="s">
        <v>62</v>
      </c>
      <c r="G21" s="72">
        <f t="shared" si="1"/>
        <v>17</v>
      </c>
      <c r="H21" s="51">
        <f t="shared" ca="1" si="5"/>
        <v>19</v>
      </c>
      <c r="I21" s="72">
        <f t="shared" ca="1" si="3"/>
        <v>36</v>
      </c>
      <c r="J21" s="73"/>
    </row>
    <row r="22" spans="1:10" s="74" customFormat="1" ht="16.8">
      <c r="A22" s="100" t="s">
        <v>51</v>
      </c>
      <c r="B22" s="92">
        <v>0</v>
      </c>
      <c r="C22" s="101" t="s">
        <v>30</v>
      </c>
      <c r="D22" s="102">
        <f>IF(C22="Str",'Personal File'!$C$7,IF(C22="Dex",'Personal File'!$C$8,IF(C22="Con",'Personal File'!$C$9,IF(C22="Int",'Personal File'!$C$10,IF(C22="Wis",'Personal File'!$C$11,IF(C22="Cha",'Personal File'!$C$12))))))</f>
        <v>-1</v>
      </c>
      <c r="E22" s="329" t="str">
        <f t="shared" si="4"/>
        <v>Cha (-1)</v>
      </c>
      <c r="F22" s="95" t="s">
        <v>62</v>
      </c>
      <c r="G22" s="95">
        <f t="shared" si="1"/>
        <v>-1</v>
      </c>
      <c r="H22" s="51">
        <f t="shared" ca="1" si="5"/>
        <v>20</v>
      </c>
      <c r="I22" s="95">
        <f t="shared" ca="1" si="3"/>
        <v>19</v>
      </c>
      <c r="J22" s="96"/>
    </row>
    <row r="23" spans="1:10" s="74" customFormat="1" ht="16.8">
      <c r="A23" s="246" t="s">
        <v>52</v>
      </c>
      <c r="B23" s="69">
        <v>6</v>
      </c>
      <c r="C23" s="247" t="s">
        <v>35</v>
      </c>
      <c r="D23" s="248" t="str">
        <f>IF(C23="Str",'Personal File'!$C$7,IF(C23="Dex",'Personal File'!$C$8,IF(C23="Con",'Personal File'!$C$9,IF(C23="Int",'Personal File'!$C$10,IF(C23="Wis",'Personal File'!$C$11,IF(C23="Cha",'Personal File'!$C$12))))))</f>
        <v>+1</v>
      </c>
      <c r="E23" s="248" t="str">
        <f t="shared" si="4"/>
        <v>Str (+1)</v>
      </c>
      <c r="F23" s="249">
        <f>2</f>
        <v>2</v>
      </c>
      <c r="G23" s="72">
        <f t="shared" si="1"/>
        <v>9</v>
      </c>
      <c r="H23" s="51">
        <f t="shared" ca="1" si="5"/>
        <v>20</v>
      </c>
      <c r="I23" s="72">
        <f t="shared" ca="1" si="3"/>
        <v>29</v>
      </c>
      <c r="J23" s="73"/>
    </row>
    <row r="24" spans="1:10" s="74" customFormat="1" ht="16.8">
      <c r="A24" s="88" t="s">
        <v>151</v>
      </c>
      <c r="B24" s="69">
        <v>5</v>
      </c>
      <c r="C24" s="89" t="s">
        <v>32</v>
      </c>
      <c r="D24" s="90" t="str">
        <f>IF(C24="Str",'Personal File'!$C$7,IF(C24="Dex",'Personal File'!$C$8,IF(C24="Con",'Personal File'!$C$9,IF(C24="Int",'Personal File'!$C$10,IF(C24="Wis",'Personal File'!$C$11,IF(C24="Cha",'Personal File'!$C$12))))))</f>
        <v>+0</v>
      </c>
      <c r="E24" s="90" t="str">
        <f>CONCATENATE(C24," (",D24,")")</f>
        <v>Int (+0)</v>
      </c>
      <c r="F24" s="72" t="s">
        <v>62</v>
      </c>
      <c r="G24" s="72">
        <f t="shared" si="1"/>
        <v>5</v>
      </c>
      <c r="H24" s="51">
        <f t="shared" ca="1" si="5"/>
        <v>12</v>
      </c>
      <c r="I24" s="72">
        <f t="shared" ca="1" si="3"/>
        <v>17</v>
      </c>
      <c r="J24" s="73"/>
    </row>
    <row r="25" spans="1:10" s="74" customFormat="1" ht="16.8">
      <c r="A25" s="88" t="s">
        <v>169</v>
      </c>
      <c r="B25" s="69">
        <v>4</v>
      </c>
      <c r="C25" s="89" t="s">
        <v>32</v>
      </c>
      <c r="D25" s="90" t="str">
        <f>IF(C25="Str",'Personal File'!$C$7,IF(C25="Dex",'Personal File'!$C$8,IF(C25="Con",'Personal File'!$C$9,IF(C25="Int",'Personal File'!$C$10,IF(C25="Wis",'Personal File'!$C$11,IF(C25="Cha",'Personal File'!$C$12))))))</f>
        <v>+0</v>
      </c>
      <c r="E25" s="90" t="str">
        <f>CONCATENATE(C25," (",D25,")")</f>
        <v>Int (+0)</v>
      </c>
      <c r="F25" s="249">
        <f>2</f>
        <v>2</v>
      </c>
      <c r="G25" s="72">
        <f t="shared" ref="G25" si="6">B25+D25+F25</f>
        <v>6</v>
      </c>
      <c r="H25" s="51">
        <f t="shared" ca="1" si="5"/>
        <v>6</v>
      </c>
      <c r="I25" s="72">
        <f t="shared" ref="I25" ca="1" si="7">SUM(G25:H25)</f>
        <v>12</v>
      </c>
      <c r="J25" s="73"/>
    </row>
    <row r="26" spans="1:10" s="74" customFormat="1" ht="16.8">
      <c r="A26" s="230" t="s">
        <v>53</v>
      </c>
      <c r="B26" s="69">
        <v>11</v>
      </c>
      <c r="C26" s="231" t="s">
        <v>33</v>
      </c>
      <c r="D26" s="232" t="str">
        <f>IF(C26="Str",'Personal File'!$C$7,IF(C26="Dex",'Personal File'!$C$8,IF(C26="Con",'Personal File'!$C$9,IF(C26="Int",'Personal File'!$C$10,IF(C26="Wis",'Personal File'!$C$11,IF(C26="Cha",'Personal File'!$C$12))))))</f>
        <v>+3</v>
      </c>
      <c r="E26" s="232" t="str">
        <f t="shared" si="4"/>
        <v>Wis (+3)</v>
      </c>
      <c r="F26" s="72" t="s">
        <v>62</v>
      </c>
      <c r="G26" s="72">
        <f t="shared" si="1"/>
        <v>14</v>
      </c>
      <c r="H26" s="51">
        <f t="shared" ca="1" si="5"/>
        <v>1</v>
      </c>
      <c r="I26" s="72">
        <f t="shared" ca="1" si="3"/>
        <v>15</v>
      </c>
      <c r="J26" s="73"/>
    </row>
    <row r="27" spans="1:10" s="74" customFormat="1" ht="16.8">
      <c r="A27" s="68" t="s">
        <v>19</v>
      </c>
      <c r="B27" s="69">
        <v>13</v>
      </c>
      <c r="C27" s="70" t="s">
        <v>34</v>
      </c>
      <c r="D27" s="71" t="str">
        <f>IF(C27="Str",'Personal File'!$C$7,IF(C27="Dex",'Personal File'!$C$8,IF(C27="Con",'Personal File'!$C$9,IF(C27="Int",'Personal File'!$C$10,IF(C27="Wis",'Personal File'!$C$11,IF(C27="Cha",'Personal File'!$C$12))))))</f>
        <v>+5</v>
      </c>
      <c r="E27" s="71" t="str">
        <f t="shared" si="4"/>
        <v>Dex (+5)</v>
      </c>
      <c r="F27" s="72" t="s">
        <v>62</v>
      </c>
      <c r="G27" s="72">
        <f t="shared" si="1"/>
        <v>18</v>
      </c>
      <c r="H27" s="51">
        <f t="shared" ca="1" si="5"/>
        <v>3</v>
      </c>
      <c r="I27" s="72">
        <f t="shared" ca="1" si="3"/>
        <v>21</v>
      </c>
      <c r="J27" s="73"/>
    </row>
    <row r="28" spans="1:10" s="74" customFormat="1" ht="16.8">
      <c r="A28" s="109" t="s">
        <v>54</v>
      </c>
      <c r="B28" s="81">
        <v>0</v>
      </c>
      <c r="C28" s="110" t="s">
        <v>34</v>
      </c>
      <c r="D28" s="111" t="str">
        <f>IF(C28="Str",'Personal File'!$C$7,IF(C28="Dex",'Personal File'!$C$8,IF(C28="Con",'Personal File'!$C$9,IF(C28="Int",'Personal File'!$C$10,IF(C28="Wis",'Personal File'!$C$11,IF(C28="Cha",'Personal File'!$C$12))))))</f>
        <v>+5</v>
      </c>
      <c r="E28" s="111" t="str">
        <f t="shared" si="4"/>
        <v>Dex (+5)</v>
      </c>
      <c r="F28" s="84" t="s">
        <v>62</v>
      </c>
      <c r="G28" s="84">
        <f t="shared" si="1"/>
        <v>5</v>
      </c>
      <c r="H28" s="51">
        <f t="shared" ca="1" si="5"/>
        <v>13</v>
      </c>
      <c r="I28" s="84">
        <f t="shared" ca="1" si="3"/>
        <v>18</v>
      </c>
      <c r="J28" s="85"/>
    </row>
    <row r="29" spans="1:10" ht="16.8">
      <c r="A29" s="75" t="s">
        <v>98</v>
      </c>
      <c r="B29" s="61">
        <v>0</v>
      </c>
      <c r="C29" s="76" t="s">
        <v>30</v>
      </c>
      <c r="D29" s="77">
        <f>IF(C29="Str",'Personal File'!$C$7,IF(C29="Dex",'Personal File'!$C$8,IF(C29="Con",'Personal File'!$C$9,IF(C29="Int",'Personal File'!$C$10,IF(C29="Wis",'Personal File'!$C$11,IF(C29="Cha",'Personal File'!$C$12))))))</f>
        <v>-1</v>
      </c>
      <c r="E29" s="77" t="str">
        <f t="shared" si="4"/>
        <v>Cha (-1)</v>
      </c>
      <c r="F29" s="65" t="s">
        <v>62</v>
      </c>
      <c r="G29" s="65">
        <f t="shared" si="1"/>
        <v>-1</v>
      </c>
      <c r="H29" s="51">
        <f t="shared" ca="1" si="5"/>
        <v>4</v>
      </c>
      <c r="I29" s="65">
        <f t="shared" ca="1" si="3"/>
        <v>3</v>
      </c>
      <c r="J29" s="66"/>
    </row>
    <row r="30" spans="1:10" ht="16.8">
      <c r="A30" s="112" t="s">
        <v>99</v>
      </c>
      <c r="B30" s="104">
        <v>0</v>
      </c>
      <c r="C30" s="113" t="s">
        <v>33</v>
      </c>
      <c r="D30" s="114" t="str">
        <f>IF(C30="Str",'Personal File'!$C$7,IF(C30="Dex",'Personal File'!$C$8,IF(C30="Con",'Personal File'!$C$9,IF(C30="Int",'Personal File'!$C$10,IF(C30="Wis",'Personal File'!$C$11,IF(C30="Cha",'Personal File'!$C$12))))))</f>
        <v>+3</v>
      </c>
      <c r="E30" s="114" t="str">
        <f t="shared" ref="E30" si="8">CONCATENATE(C30," (",D30,")")</f>
        <v>Wis (+3)</v>
      </c>
      <c r="F30" s="107" t="s">
        <v>62</v>
      </c>
      <c r="G30" s="115">
        <f t="shared" si="1"/>
        <v>3</v>
      </c>
      <c r="H30" s="51">
        <f t="shared" ca="1" si="5"/>
        <v>17</v>
      </c>
      <c r="I30" s="115">
        <f t="shared" ca="1" si="3"/>
        <v>20</v>
      </c>
      <c r="J30" s="108"/>
    </row>
    <row r="31" spans="1:10" ht="16.8">
      <c r="A31" s="68" t="s">
        <v>20</v>
      </c>
      <c r="B31" s="69">
        <v>2</v>
      </c>
      <c r="C31" s="70" t="s">
        <v>34</v>
      </c>
      <c r="D31" s="71" t="str">
        <f>IF(C31="Str",'Personal File'!$C$7,IF(C31="Dex",'Personal File'!$C$8,IF(C31="Con",'Personal File'!$C$9,IF(C31="Int",'Personal File'!$C$10,IF(C31="Wis",'Personal File'!$C$11,IF(C31="Cha",'Personal File'!$C$12))))))</f>
        <v>+5</v>
      </c>
      <c r="E31" s="71" t="str">
        <f t="shared" si="4"/>
        <v>Dex (+5)</v>
      </c>
      <c r="F31" s="72" t="s">
        <v>62</v>
      </c>
      <c r="G31" s="72">
        <f t="shared" si="1"/>
        <v>7</v>
      </c>
      <c r="H31" s="51">
        <f t="shared" ca="1" si="5"/>
        <v>20</v>
      </c>
      <c r="I31" s="72">
        <f t="shared" ca="1" si="3"/>
        <v>27</v>
      </c>
      <c r="J31" s="73"/>
    </row>
    <row r="32" spans="1:10" ht="16.8">
      <c r="A32" s="88" t="s">
        <v>21</v>
      </c>
      <c r="B32" s="69">
        <v>8</v>
      </c>
      <c r="C32" s="89" t="s">
        <v>32</v>
      </c>
      <c r="D32" s="90" t="str">
        <f>IF(C32="Str",'Personal File'!$C$7,IF(C32="Dex",'Personal File'!$C$8,IF(C32="Con",'Personal File'!$C$9,IF(C32="Int",'Personal File'!$C$10,IF(C32="Wis",'Personal File'!$C$11,IF(C32="Cha",'Personal File'!$C$12))))))</f>
        <v>+0</v>
      </c>
      <c r="E32" s="90" t="str">
        <f t="shared" si="4"/>
        <v>Int (+0)</v>
      </c>
      <c r="F32" s="72" t="s">
        <v>62</v>
      </c>
      <c r="G32" s="72">
        <f t="shared" si="1"/>
        <v>8</v>
      </c>
      <c r="H32" s="51">
        <f t="shared" ca="1" si="5"/>
        <v>20</v>
      </c>
      <c r="I32" s="72">
        <f t="shared" ca="1" si="3"/>
        <v>28</v>
      </c>
      <c r="J32" s="73"/>
    </row>
    <row r="33" spans="1:10" ht="16.8">
      <c r="A33" s="230" t="s">
        <v>55</v>
      </c>
      <c r="B33" s="69">
        <v>3</v>
      </c>
      <c r="C33" s="231" t="s">
        <v>33</v>
      </c>
      <c r="D33" s="232" t="str">
        <f>IF(C33="Str",'Personal File'!$C$7,IF(C33="Dex",'Personal File'!$C$8,IF(C33="Con",'Personal File'!$C$9,IF(C33="Int",'Personal File'!$C$10,IF(C33="Wis",'Personal File'!$C$11,IF(C33="Cha",'Personal File'!$C$12))))))</f>
        <v>+3</v>
      </c>
      <c r="E33" s="232" t="str">
        <f t="shared" si="4"/>
        <v>Wis (+3)</v>
      </c>
      <c r="F33" s="72" t="s">
        <v>62</v>
      </c>
      <c r="G33" s="72">
        <f t="shared" si="1"/>
        <v>6</v>
      </c>
      <c r="H33" s="51">
        <f t="shared" ca="1" si="5"/>
        <v>2</v>
      </c>
      <c r="I33" s="72">
        <f t="shared" ca="1" si="3"/>
        <v>8</v>
      </c>
      <c r="J33" s="73"/>
    </row>
    <row r="34" spans="1:10" ht="16.8">
      <c r="A34" s="109" t="s">
        <v>84</v>
      </c>
      <c r="B34" s="81">
        <v>0</v>
      </c>
      <c r="C34" s="110" t="s">
        <v>34</v>
      </c>
      <c r="D34" s="111" t="str">
        <f>IF(C34="Str",'Personal File'!$C$7,IF(C34="Dex",'Personal File'!$C$8,IF(C34="Con",'Personal File'!$C$9,IF(C34="Int",'Personal File'!$C$10,IF(C34="Wis",'Personal File'!$C$11,IF(C34="Cha",'Personal File'!$C$12))))))</f>
        <v>+5</v>
      </c>
      <c r="E34" s="111" t="str">
        <f t="shared" si="4"/>
        <v>Dex (+5)</v>
      </c>
      <c r="F34" s="107" t="s">
        <v>62</v>
      </c>
      <c r="G34" s="84">
        <f t="shared" si="1"/>
        <v>5</v>
      </c>
      <c r="H34" s="51">
        <f t="shared" ca="1" si="5"/>
        <v>19</v>
      </c>
      <c r="I34" s="84">
        <f t="shared" ca="1" si="3"/>
        <v>24</v>
      </c>
      <c r="J34" s="85"/>
    </row>
    <row r="35" spans="1:10" ht="16.8">
      <c r="A35" s="88" t="s">
        <v>227</v>
      </c>
      <c r="B35" s="69">
        <v>1</v>
      </c>
      <c r="C35" s="89" t="s">
        <v>32</v>
      </c>
      <c r="D35" s="90" t="str">
        <f>IF(C35="Str",'Personal File'!$C$7,IF(C35="Dex",'Personal File'!$C$8,IF(C35="Con",'Personal File'!$C$9,IF(C35="Int",'Personal File'!$C$10,IF(C35="Wis",'Personal File'!$C$11,IF(C35="Cha",'Personal File'!$C$12))))))</f>
        <v>+0</v>
      </c>
      <c r="E35" s="90" t="str">
        <f t="shared" si="4"/>
        <v>Int (+0)</v>
      </c>
      <c r="F35" s="72" t="s">
        <v>62</v>
      </c>
      <c r="G35" s="381">
        <f t="shared" si="1"/>
        <v>1</v>
      </c>
      <c r="H35" s="382">
        <f t="shared" ca="1" si="5"/>
        <v>20</v>
      </c>
      <c r="I35" s="381">
        <f t="shared" ca="1" si="3"/>
        <v>21</v>
      </c>
      <c r="J35" s="233"/>
    </row>
    <row r="36" spans="1:10" ht="16.8">
      <c r="A36" s="103" t="s">
        <v>56</v>
      </c>
      <c r="B36" s="104">
        <v>0</v>
      </c>
      <c r="C36" s="105" t="s">
        <v>32</v>
      </c>
      <c r="D36" s="106" t="str">
        <f>IF(C36="Str",'Personal File'!$C$7,IF(C36="Dex",'Personal File'!$C$8,IF(C36="Con",'Personal File'!$C$9,IF(C36="Int",'Personal File'!$C$10,IF(C36="Wis",'Personal File'!$C$11,IF(C36="Cha",'Personal File'!$C$12))))))</f>
        <v>+0</v>
      </c>
      <c r="E36" s="106" t="str">
        <f t="shared" si="4"/>
        <v>Int (+0)</v>
      </c>
      <c r="F36" s="107" t="s">
        <v>62</v>
      </c>
      <c r="G36" s="107">
        <f t="shared" si="1"/>
        <v>0</v>
      </c>
      <c r="H36" s="51">
        <f t="shared" ca="1" si="5"/>
        <v>12</v>
      </c>
      <c r="I36" s="107">
        <f t="shared" ca="1" si="3"/>
        <v>12</v>
      </c>
      <c r="J36" s="116"/>
    </row>
    <row r="37" spans="1:10" ht="16.8">
      <c r="A37" s="230" t="s">
        <v>57</v>
      </c>
      <c r="B37" s="69">
        <v>12</v>
      </c>
      <c r="C37" s="231" t="s">
        <v>33</v>
      </c>
      <c r="D37" s="232" t="str">
        <f>IF(C37="Str",'Personal File'!$C$7,IF(C37="Dex",'Personal File'!$C$8,IF(C37="Con",'Personal File'!$C$9,IF(C37="Int",'Personal File'!$C$10,IF(C37="Wis",'Personal File'!$C$11,IF(C37="Cha",'Personal File'!$C$12))))))</f>
        <v>+3</v>
      </c>
      <c r="E37" s="232" t="str">
        <f t="shared" si="4"/>
        <v>Wis (+3)</v>
      </c>
      <c r="F37" s="72" t="s">
        <v>62</v>
      </c>
      <c r="G37" s="72">
        <f t="shared" si="1"/>
        <v>15</v>
      </c>
      <c r="H37" s="51">
        <f t="shared" ca="1" si="5"/>
        <v>19</v>
      </c>
      <c r="I37" s="72">
        <f t="shared" ca="1" si="3"/>
        <v>34</v>
      </c>
      <c r="J37" s="73"/>
    </row>
    <row r="38" spans="1:10" ht="16.8">
      <c r="A38" s="230" t="s">
        <v>85</v>
      </c>
      <c r="B38" s="69">
        <v>14</v>
      </c>
      <c r="C38" s="231" t="s">
        <v>33</v>
      </c>
      <c r="D38" s="232" t="str">
        <f>IF(C38="Str",'Personal File'!$C$7,IF(C38="Dex",'Personal File'!$C$8,IF(C38="Con",'Personal File'!$C$9,IF(C38="Int",'Personal File'!$C$10,IF(C38="Wis",'Personal File'!$C$11,IF(C38="Cha",'Personal File'!$C$12))))))</f>
        <v>+3</v>
      </c>
      <c r="E38" s="232" t="str">
        <f t="shared" si="4"/>
        <v>Wis (+3)</v>
      </c>
      <c r="F38" s="72" t="s">
        <v>62</v>
      </c>
      <c r="G38" s="72">
        <f t="shared" si="1"/>
        <v>17</v>
      </c>
      <c r="H38" s="51">
        <f t="shared" ca="1" si="5"/>
        <v>4</v>
      </c>
      <c r="I38" s="72">
        <f t="shared" ca="1" si="3"/>
        <v>21</v>
      </c>
      <c r="J38" s="233" t="s">
        <v>108</v>
      </c>
    </row>
    <row r="39" spans="1:10" ht="16.8">
      <c r="A39" s="246" t="s">
        <v>22</v>
      </c>
      <c r="B39" s="69">
        <v>4</v>
      </c>
      <c r="C39" s="247" t="s">
        <v>35</v>
      </c>
      <c r="D39" s="248" t="str">
        <f>IF(C39="Str",'Personal File'!$C$7,IF(C39="Dex",'Personal File'!$C$8,IF(C39="Con",'Personal File'!$C$9,IF(C39="Int",'Personal File'!$C$10,IF(C39="Wis",'Personal File'!$C$11,IF(C39="Cha",'Personal File'!$C$12))))))</f>
        <v>+1</v>
      </c>
      <c r="E39" s="248" t="str">
        <f t="shared" si="4"/>
        <v>Str (+1)</v>
      </c>
      <c r="F39" s="72" t="s">
        <v>62</v>
      </c>
      <c r="G39" s="72">
        <f t="shared" si="1"/>
        <v>5</v>
      </c>
      <c r="H39" s="51">
        <f t="shared" ca="1" si="5"/>
        <v>15</v>
      </c>
      <c r="I39" s="72">
        <f t="shared" ca="1" si="3"/>
        <v>20</v>
      </c>
      <c r="J39" s="233"/>
    </row>
    <row r="40" spans="1:10" ht="16.8">
      <c r="A40" s="68" t="s">
        <v>58</v>
      </c>
      <c r="B40" s="69">
        <v>12</v>
      </c>
      <c r="C40" s="70" t="s">
        <v>34</v>
      </c>
      <c r="D40" s="71" t="str">
        <f>IF(C40="Str",'Personal File'!$C$7,IF(C40="Dex",'Personal File'!$C$8,IF(C40="Con",'Personal File'!$C$9,IF(C40="Int",'Personal File'!$C$10,IF(C40="Wis",'Personal File'!$C$11,IF(C40="Cha",'Personal File'!$C$12))))))</f>
        <v>+5</v>
      </c>
      <c r="E40" s="71" t="str">
        <f t="shared" si="4"/>
        <v>Dex (+5)</v>
      </c>
      <c r="F40" s="72" t="s">
        <v>62</v>
      </c>
      <c r="G40" s="72">
        <f t="shared" si="1"/>
        <v>17</v>
      </c>
      <c r="H40" s="51">
        <f t="shared" ca="1" si="5"/>
        <v>8</v>
      </c>
      <c r="I40" s="72">
        <f t="shared" ca="1" si="3"/>
        <v>25</v>
      </c>
      <c r="J40" s="73"/>
    </row>
    <row r="41" spans="1:10" ht="16.8">
      <c r="A41" s="117" t="s">
        <v>59</v>
      </c>
      <c r="B41" s="81">
        <v>0</v>
      </c>
      <c r="C41" s="118" t="s">
        <v>30</v>
      </c>
      <c r="D41" s="119">
        <f>IF(C41="Str",'Personal File'!$C$7,IF(C41="Dex",'Personal File'!$C$8,IF(C41="Con",'Personal File'!$C$9,IF(C41="Int",'Personal File'!$C$10,IF(C41="Wis",'Personal File'!$C$11,IF(C41="Cha",'Personal File'!$C$12))))))</f>
        <v>-1</v>
      </c>
      <c r="E41" s="119" t="str">
        <f t="shared" si="4"/>
        <v>Cha (-1)</v>
      </c>
      <c r="F41" s="84" t="s">
        <v>62</v>
      </c>
      <c r="G41" s="84">
        <f t="shared" si="1"/>
        <v>-1</v>
      </c>
      <c r="H41" s="51">
        <f t="shared" ca="1" si="5"/>
        <v>9</v>
      </c>
      <c r="I41" s="84">
        <f t="shared" ca="1" si="3"/>
        <v>8</v>
      </c>
      <c r="J41" s="85"/>
    </row>
    <row r="42" spans="1:10" ht="17.399999999999999" thickBot="1">
      <c r="A42" s="250" t="s">
        <v>60</v>
      </c>
      <c r="B42" s="251">
        <v>3</v>
      </c>
      <c r="C42" s="252" t="s">
        <v>34</v>
      </c>
      <c r="D42" s="253" t="str">
        <f>IF(C42="Str",'Personal File'!$C$7,IF(C42="Dex",'Personal File'!$C$8,IF(C42="Con",'Personal File'!$C$9,IF(C42="Int",'Personal File'!$C$10,IF(C42="Wis",'Personal File'!$C$11,IF(C42="Cha",'Personal File'!$C$12))))))</f>
        <v>+5</v>
      </c>
      <c r="E42" s="253" t="str">
        <f t="shared" si="4"/>
        <v>Dex (+5)</v>
      </c>
      <c r="F42" s="254" t="s">
        <v>62</v>
      </c>
      <c r="G42" s="254">
        <f t="shared" si="1"/>
        <v>8</v>
      </c>
      <c r="H42" s="120">
        <f t="shared" ca="1" si="5"/>
        <v>6</v>
      </c>
      <c r="I42" s="254">
        <f t="shared" ca="1" si="3"/>
        <v>14</v>
      </c>
      <c r="J42" s="255"/>
    </row>
    <row r="43" spans="1:10" ht="16.2" thickTop="1">
      <c r="A43" s="121"/>
      <c r="B43" s="121">
        <f>SUM(B6:B42)</f>
        <v>135</v>
      </c>
      <c r="E43" s="121">
        <f>SUM(E44:E56)</f>
        <v>135</v>
      </c>
      <c r="F43" s="122" t="s">
        <v>66</v>
      </c>
    </row>
    <row r="44" spans="1:10">
      <c r="B44" s="121"/>
      <c r="E44" s="121">
        <v>32</v>
      </c>
      <c r="F44" s="124" t="s">
        <v>122</v>
      </c>
    </row>
    <row r="45" spans="1:10">
      <c r="E45" s="121">
        <v>8</v>
      </c>
      <c r="F45" s="124" t="s">
        <v>123</v>
      </c>
    </row>
    <row r="46" spans="1:10">
      <c r="E46" s="121">
        <v>8</v>
      </c>
      <c r="F46" s="124" t="s">
        <v>124</v>
      </c>
    </row>
    <row r="47" spans="1:10">
      <c r="E47" s="121">
        <v>8</v>
      </c>
      <c r="F47" s="124" t="s">
        <v>125</v>
      </c>
    </row>
    <row r="48" spans="1:10">
      <c r="E48" s="121">
        <v>8</v>
      </c>
      <c r="F48" s="124" t="s">
        <v>126</v>
      </c>
    </row>
    <row r="49" spans="5:6">
      <c r="E49" s="121">
        <v>8</v>
      </c>
      <c r="F49" s="124" t="s">
        <v>127</v>
      </c>
    </row>
    <row r="50" spans="5:6">
      <c r="E50" s="121">
        <v>8</v>
      </c>
      <c r="F50" s="124" t="s">
        <v>149</v>
      </c>
    </row>
    <row r="51" spans="5:6">
      <c r="E51" s="121">
        <v>8</v>
      </c>
      <c r="F51" s="124" t="s">
        <v>150</v>
      </c>
    </row>
    <row r="52" spans="5:6">
      <c r="E52" s="121">
        <v>8</v>
      </c>
      <c r="F52" s="124" t="s">
        <v>161</v>
      </c>
    </row>
    <row r="53" spans="5:6">
      <c r="E53" s="121">
        <v>8</v>
      </c>
      <c r="F53" s="124" t="s">
        <v>168</v>
      </c>
    </row>
    <row r="54" spans="5:6">
      <c r="E54" s="121">
        <v>8</v>
      </c>
      <c r="F54" s="124" t="s">
        <v>182</v>
      </c>
    </row>
    <row r="55" spans="5:6">
      <c r="E55" s="121">
        <v>8</v>
      </c>
      <c r="F55" s="124" t="s">
        <v>226</v>
      </c>
    </row>
    <row r="56" spans="5:6">
      <c r="E56" s="121">
        <f>3+'Personal File'!E3</f>
        <v>15</v>
      </c>
      <c r="F56" s="124" t="s">
        <v>106</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6"/>
  <sheetViews>
    <sheetView showGridLines="0" workbookViewId="0"/>
  </sheetViews>
  <sheetFormatPr defaultColWidth="10.8984375" defaultRowHeight="16.8"/>
  <cols>
    <col min="1" max="1" width="34.09765625" style="130" bestFit="1" customWidth="1"/>
    <col min="2" max="2" width="2.69921875" style="134" customWidth="1"/>
    <col min="3" max="3" width="21" style="126" bestFit="1" customWidth="1"/>
    <col min="4" max="16384" width="10.8984375" style="126"/>
  </cols>
  <sheetData>
    <row r="1" spans="1:3" ht="24" thickTop="1" thickBot="1">
      <c r="A1" s="125" t="s">
        <v>92</v>
      </c>
      <c r="B1" s="126"/>
      <c r="C1" s="125" t="s">
        <v>88</v>
      </c>
    </row>
    <row r="2" spans="1:3">
      <c r="A2" s="128" t="s">
        <v>138</v>
      </c>
      <c r="B2" s="126"/>
      <c r="C2" s="127" t="s">
        <v>181</v>
      </c>
    </row>
    <row r="3" spans="1:3">
      <c r="A3" s="128" t="s">
        <v>139</v>
      </c>
      <c r="B3" s="126"/>
      <c r="C3" s="133" t="s">
        <v>105</v>
      </c>
    </row>
    <row r="4" spans="1:3">
      <c r="A4" s="129" t="s">
        <v>140</v>
      </c>
      <c r="B4" s="126"/>
      <c r="C4" s="127" t="s">
        <v>178</v>
      </c>
    </row>
    <row r="5" spans="1:3">
      <c r="A5" s="129" t="s">
        <v>133</v>
      </c>
      <c r="B5" s="126"/>
      <c r="C5" s="127" t="s">
        <v>167</v>
      </c>
    </row>
    <row r="6" spans="1:3">
      <c r="A6" s="129" t="s">
        <v>162</v>
      </c>
      <c r="B6" s="126"/>
      <c r="C6" s="127" t="s">
        <v>128</v>
      </c>
    </row>
    <row r="7" spans="1:3">
      <c r="A7" s="128" t="s">
        <v>222</v>
      </c>
      <c r="C7" s="131" t="s">
        <v>179</v>
      </c>
    </row>
    <row r="8" spans="1:3">
      <c r="A8" s="129" t="s">
        <v>232</v>
      </c>
      <c r="C8" s="133" t="s">
        <v>129</v>
      </c>
    </row>
    <row r="9" spans="1:3">
      <c r="A9" s="129" t="s">
        <v>155</v>
      </c>
      <c r="B9" s="126"/>
      <c r="C9" s="133" t="s">
        <v>152</v>
      </c>
    </row>
    <row r="10" spans="1:3" ht="17.399999999999999" thickBot="1">
      <c r="A10" s="380" t="s">
        <v>220</v>
      </c>
      <c r="B10" s="126"/>
      <c r="C10" s="234" t="s">
        <v>132</v>
      </c>
    </row>
    <row r="11" spans="1:3" ht="18" thickTop="1" thickBot="1">
      <c r="B11" s="126"/>
      <c r="C11" s="235" t="s">
        <v>130</v>
      </c>
    </row>
    <row r="12" spans="1:3" ht="24" thickTop="1" thickBot="1">
      <c r="A12" s="9" t="s">
        <v>90</v>
      </c>
      <c r="B12" s="126"/>
      <c r="C12" s="256" t="s">
        <v>131</v>
      </c>
    </row>
    <row r="13" spans="1:3" ht="17.399999999999999" thickBot="1">
      <c r="A13" s="236" t="s">
        <v>134</v>
      </c>
    </row>
    <row r="14" spans="1:3" ht="24" thickTop="1" thickBot="1">
      <c r="A14" s="132" t="s">
        <v>135</v>
      </c>
      <c r="C14" s="10" t="s">
        <v>75</v>
      </c>
    </row>
    <row r="15" spans="1:3" ht="18" thickTop="1" thickBot="1">
      <c r="C15" s="135" t="s">
        <v>147</v>
      </c>
    </row>
    <row r="16" spans="1:3" ht="17.399999999999999" thickTop="1"/>
  </sheetData>
  <sortState ref="A2:A10">
    <sortCondition ref="A2:A10"/>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showGridLines="0" workbookViewId="0"/>
  </sheetViews>
  <sheetFormatPr defaultColWidth="13" defaultRowHeight="15.6"/>
  <cols>
    <col min="1" max="1" width="33.8984375" style="145" bestFit="1" customWidth="1"/>
    <col min="2" max="2" width="8.59765625" style="145" customWidth="1"/>
    <col min="3" max="3" width="11.69921875" style="145" customWidth="1"/>
    <col min="4" max="4" width="6.19921875" style="145" bestFit="1" customWidth="1"/>
    <col min="5" max="5" width="8.09765625" style="145" bestFit="1" customWidth="1"/>
    <col min="6" max="6" width="8.8984375" style="145" bestFit="1" customWidth="1"/>
    <col min="7" max="7" width="4.5" style="145" bestFit="1" customWidth="1"/>
    <col min="8" max="8" width="5.69921875" style="145" bestFit="1" customWidth="1"/>
    <col min="9" max="9" width="5.5" style="145" bestFit="1" customWidth="1"/>
    <col min="10" max="10" width="6.19921875" style="145" bestFit="1" customWidth="1"/>
    <col min="11" max="11" width="17.796875" style="145" bestFit="1" customWidth="1"/>
    <col min="12" max="12" width="2.3984375" style="15" customWidth="1"/>
    <col min="13" max="13" width="5.8984375" style="15" bestFit="1" customWidth="1"/>
    <col min="14" max="14" width="7.69921875" style="145" bestFit="1" customWidth="1"/>
    <col min="15" max="16384" width="13" style="15"/>
  </cols>
  <sheetData>
    <row r="1" spans="1:14" ht="23.4" thickBot="1">
      <c r="A1" s="136" t="s">
        <v>23</v>
      </c>
      <c r="B1" s="136"/>
      <c r="C1" s="136"/>
      <c r="D1" s="136"/>
      <c r="E1" s="136"/>
      <c r="F1" s="136"/>
      <c r="G1" s="136"/>
      <c r="H1" s="136"/>
      <c r="I1" s="136"/>
      <c r="J1" s="136"/>
      <c r="K1" s="136"/>
    </row>
    <row r="2" spans="1:14" ht="16.8" thickTop="1" thickBot="1">
      <c r="A2" s="137" t="s">
        <v>5</v>
      </c>
      <c r="B2" s="138" t="s">
        <v>8</v>
      </c>
      <c r="C2" s="138" t="s">
        <v>25</v>
      </c>
      <c r="D2" s="138" t="s">
        <v>26</v>
      </c>
      <c r="E2" s="139" t="s">
        <v>67</v>
      </c>
      <c r="F2" s="138" t="s">
        <v>24</v>
      </c>
      <c r="G2" s="138" t="s">
        <v>27</v>
      </c>
      <c r="H2" s="140" t="s">
        <v>91</v>
      </c>
      <c r="I2" s="141" t="s">
        <v>94</v>
      </c>
      <c r="J2" s="142" t="s">
        <v>81</v>
      </c>
      <c r="K2" s="143" t="s">
        <v>79</v>
      </c>
      <c r="M2" s="144" t="s">
        <v>112</v>
      </c>
    </row>
    <row r="3" spans="1:14">
      <c r="A3" s="274" t="s">
        <v>210</v>
      </c>
      <c r="B3" s="275" t="s">
        <v>136</v>
      </c>
      <c r="C3" s="290" t="str">
        <f>CONCATENATE("+1 ",'Personal File'!$C$7)</f>
        <v>+1 +1</v>
      </c>
      <c r="D3" s="276" t="s">
        <v>107</v>
      </c>
      <c r="E3" s="277" t="s">
        <v>207</v>
      </c>
      <c r="F3" s="278" t="s">
        <v>205</v>
      </c>
      <c r="G3" s="279">
        <f>2*3</f>
        <v>6</v>
      </c>
      <c r="H3" s="385" t="str">
        <f>CONCATENATE("+",'Personal File'!$B$5+'Personal File'!$C$7+D3)</f>
        <v>+11</v>
      </c>
      <c r="I3" s="280">
        <f ca="1">RANDBETWEEN(1,20)</f>
        <v>20</v>
      </c>
      <c r="J3" s="281">
        <f ca="1">(I3+H3)</f>
        <v>31</v>
      </c>
      <c r="K3" s="282"/>
      <c r="M3" s="312">
        <v>2308</v>
      </c>
      <c r="N3" s="161"/>
    </row>
    <row r="4" spans="1:14">
      <c r="A4" s="283" t="s">
        <v>204</v>
      </c>
      <c r="B4" s="392" t="s">
        <v>136</v>
      </c>
      <c r="C4" s="393" t="str">
        <f>CONCATENATE("+1 ",'Personal File'!$C$7)</f>
        <v>+1 +1</v>
      </c>
      <c r="D4" s="393" t="s">
        <v>107</v>
      </c>
      <c r="E4" s="394" t="s">
        <v>207</v>
      </c>
      <c r="F4" s="395" t="s">
        <v>205</v>
      </c>
      <c r="G4" s="284" t="s">
        <v>144</v>
      </c>
      <c r="H4" s="386" t="str">
        <f>CONCATENATE("+",'Personal File'!$B$5+'Personal File'!$C$7+D4-5)</f>
        <v>+6</v>
      </c>
      <c r="I4" s="285">
        <f t="shared" ref="I4:I6" ca="1" si="0">RANDBETWEEN(1,20)</f>
        <v>12</v>
      </c>
      <c r="J4" s="286">
        <f t="shared" ref="J4" ca="1" si="1">(I4+H4)</f>
        <v>18</v>
      </c>
      <c r="K4" s="287"/>
      <c r="M4" s="391"/>
      <c r="N4" s="161"/>
    </row>
    <row r="5" spans="1:14">
      <c r="A5" s="288" t="s">
        <v>116</v>
      </c>
      <c r="B5" s="241" t="s">
        <v>109</v>
      </c>
      <c r="C5" s="295" t="str">
        <f>CONCATENATE("+1 ",'Personal File'!$C$7)</f>
        <v>+1 +1</v>
      </c>
      <c r="D5" s="390" t="s">
        <v>62</v>
      </c>
      <c r="E5" s="396" t="s">
        <v>117</v>
      </c>
      <c r="F5" s="397" t="s">
        <v>206</v>
      </c>
      <c r="G5" s="335">
        <v>1</v>
      </c>
      <c r="H5" s="398" t="str">
        <f>CONCATENATE("+",'Personal File'!$B$5+'Personal File'!$C$7+D5)</f>
        <v>+10</v>
      </c>
      <c r="I5" s="289">
        <f ca="1">RANDBETWEEN(1,20)</f>
        <v>5</v>
      </c>
      <c r="J5" s="266">
        <f ca="1">(I5+H5)</f>
        <v>15</v>
      </c>
      <c r="K5" s="399"/>
      <c r="M5" s="312">
        <v>2</v>
      </c>
      <c r="N5" s="161"/>
    </row>
    <row r="6" spans="1:14">
      <c r="A6" s="283" t="s">
        <v>234</v>
      </c>
      <c r="B6" s="392" t="s">
        <v>109</v>
      </c>
      <c r="C6" s="393" t="s">
        <v>235</v>
      </c>
      <c r="D6" s="393" t="s">
        <v>62</v>
      </c>
      <c r="E6" s="394" t="s">
        <v>117</v>
      </c>
      <c r="F6" s="395" t="s">
        <v>206</v>
      </c>
      <c r="G6" s="284" t="s">
        <v>144</v>
      </c>
      <c r="H6" s="386" t="str">
        <f>CONCATENATE("+",'Personal File'!$B$5+'Personal File'!$C$7+D6-5)</f>
        <v>+5</v>
      </c>
      <c r="I6" s="285">
        <f t="shared" ca="1" si="0"/>
        <v>6</v>
      </c>
      <c r="J6" s="286">
        <f t="shared" ref="J6" ca="1" si="2">(I6+H6)</f>
        <v>11</v>
      </c>
      <c r="K6" s="287"/>
      <c r="M6" s="312"/>
      <c r="N6" s="161"/>
    </row>
    <row r="7" spans="1:14" ht="16.2" thickBot="1">
      <c r="A7" s="212" t="s">
        <v>156</v>
      </c>
      <c r="B7" s="213" t="s">
        <v>144</v>
      </c>
      <c r="C7" s="257" t="s">
        <v>144</v>
      </c>
      <c r="D7" s="257">
        <v>0</v>
      </c>
      <c r="E7" s="257" t="s">
        <v>144</v>
      </c>
      <c r="F7" s="257" t="s">
        <v>144</v>
      </c>
      <c r="G7" s="196"/>
      <c r="H7" s="387" t="str">
        <f>CONCATENATE("+",'Personal File'!$B$5+'Personal File'!$C$7+D7)</f>
        <v>+10</v>
      </c>
      <c r="I7" s="12">
        <f ca="1">RANDBETWEEN(1,20)</f>
        <v>4</v>
      </c>
      <c r="J7" s="244">
        <f ca="1">(I7+H7)</f>
        <v>14</v>
      </c>
      <c r="K7" s="258"/>
      <c r="M7" s="313">
        <v>0</v>
      </c>
      <c r="N7" s="161"/>
    </row>
    <row r="8" spans="1:14" ht="16.8" thickTop="1" thickBot="1">
      <c r="M8" s="145"/>
    </row>
    <row r="9" spans="1:14" ht="16.8" thickTop="1" thickBot="1">
      <c r="A9" s="137" t="s">
        <v>7</v>
      </c>
      <c r="B9" s="138" t="s">
        <v>8</v>
      </c>
      <c r="C9" s="138" t="s">
        <v>25</v>
      </c>
      <c r="D9" s="138" t="s">
        <v>26</v>
      </c>
      <c r="E9" s="139" t="s">
        <v>67</v>
      </c>
      <c r="F9" s="138" t="s">
        <v>9</v>
      </c>
      <c r="G9" s="138" t="s">
        <v>27</v>
      </c>
      <c r="H9" s="140" t="s">
        <v>91</v>
      </c>
      <c r="I9" s="141" t="s">
        <v>94</v>
      </c>
      <c r="J9" s="140" t="s">
        <v>81</v>
      </c>
      <c r="K9" s="143" t="s">
        <v>79</v>
      </c>
      <c r="M9" s="144" t="s">
        <v>112</v>
      </c>
    </row>
    <row r="10" spans="1:14">
      <c r="A10" s="274" t="s">
        <v>202</v>
      </c>
      <c r="B10" s="275" t="s">
        <v>136</v>
      </c>
      <c r="C10" s="290" t="s">
        <v>203</v>
      </c>
      <c r="D10" s="291">
        <v>1</v>
      </c>
      <c r="E10" s="377" t="s">
        <v>221</v>
      </c>
      <c r="F10" s="292" t="s">
        <v>146</v>
      </c>
      <c r="G10" s="279">
        <v>3</v>
      </c>
      <c r="H10" s="293" t="str">
        <f>CONCATENATE("+",'Personal File'!$B$5+'Personal File'!$C$8+D10)</f>
        <v>+15</v>
      </c>
      <c r="I10" s="280">
        <f t="shared" ref="I10:I12" ca="1" si="3">RANDBETWEEN(1,20)</f>
        <v>10</v>
      </c>
      <c r="J10" s="293">
        <f t="shared" ref="J10:J12" ca="1" si="4">(I10+H10)</f>
        <v>25</v>
      </c>
      <c r="K10" s="294" t="s">
        <v>157</v>
      </c>
      <c r="L10" s="211"/>
      <c r="M10" s="312">
        <v>14500</v>
      </c>
      <c r="N10" s="161"/>
    </row>
    <row r="11" spans="1:14">
      <c r="A11" s="288" t="s">
        <v>165</v>
      </c>
      <c r="B11" s="241" t="s">
        <v>136</v>
      </c>
      <c r="C11" s="295" t="s">
        <v>203</v>
      </c>
      <c r="D11" s="273">
        <v>1</v>
      </c>
      <c r="E11" s="268"/>
      <c r="F11" s="269"/>
      <c r="G11" s="270" t="s">
        <v>144</v>
      </c>
      <c r="H11" s="388" t="str">
        <f>CONCATENATE("+",'Personal File'!$B$5+'Personal File'!$C$8+D11-5)</f>
        <v>+10</v>
      </c>
      <c r="I11" s="289">
        <f t="shared" ca="1" si="3"/>
        <v>7</v>
      </c>
      <c r="J11" s="266">
        <f t="shared" ref="J11" ca="1" si="5">(I11+H11)</f>
        <v>17</v>
      </c>
      <c r="K11" s="267" t="s">
        <v>157</v>
      </c>
      <c r="L11" s="211"/>
      <c r="M11" s="321"/>
      <c r="N11" s="161"/>
    </row>
    <row r="12" spans="1:14">
      <c r="A12" s="288" t="s">
        <v>163</v>
      </c>
      <c r="B12" s="241" t="s">
        <v>136</v>
      </c>
      <c r="C12" s="295" t="s">
        <v>203</v>
      </c>
      <c r="D12" s="273">
        <v>1</v>
      </c>
      <c r="E12" s="268"/>
      <c r="F12" s="269"/>
      <c r="G12" s="270" t="s">
        <v>144</v>
      </c>
      <c r="H12" s="388" t="str">
        <f>CONCATENATE("+",'Personal File'!$B$5+'Personal File'!$C$8+D12-10)</f>
        <v>+5</v>
      </c>
      <c r="I12" s="289">
        <f t="shared" ca="1" si="3"/>
        <v>13</v>
      </c>
      <c r="J12" s="266">
        <f t="shared" ca="1" si="4"/>
        <v>18</v>
      </c>
      <c r="K12" s="267" t="s">
        <v>157</v>
      </c>
      <c r="L12" s="211"/>
      <c r="M12" s="321"/>
      <c r="N12" s="161"/>
    </row>
    <row r="13" spans="1:14">
      <c r="A13" s="288" t="s">
        <v>164</v>
      </c>
      <c r="B13" s="241" t="s">
        <v>136</v>
      </c>
      <c r="C13" s="295" t="s">
        <v>203</v>
      </c>
      <c r="D13" s="273">
        <v>1</v>
      </c>
      <c r="E13" s="268"/>
      <c r="F13" s="269"/>
      <c r="G13" s="270" t="s">
        <v>144</v>
      </c>
      <c r="H13" s="388" t="str">
        <f>CONCATENATE("+",'Personal File'!$B$5+'Personal File'!$C$8+D13)</f>
        <v>+15</v>
      </c>
      <c r="I13" s="289">
        <f t="shared" ref="I13:I20" ca="1" si="6">RANDBETWEEN(1,20)</f>
        <v>3</v>
      </c>
      <c r="J13" s="266">
        <f t="shared" ref="J13" ca="1" si="7">(I13+H13)</f>
        <v>18</v>
      </c>
      <c r="K13" s="267" t="s">
        <v>157</v>
      </c>
      <c r="L13" s="211"/>
      <c r="M13" s="321"/>
      <c r="N13" s="161"/>
    </row>
    <row r="14" spans="1:14">
      <c r="A14" s="288" t="s">
        <v>209</v>
      </c>
      <c r="B14" s="241" t="s">
        <v>136</v>
      </c>
      <c r="C14" s="295" t="s">
        <v>231</v>
      </c>
      <c r="D14" s="273">
        <v>1</v>
      </c>
      <c r="E14" s="379" t="s">
        <v>221</v>
      </c>
      <c r="F14" s="269" t="s">
        <v>146</v>
      </c>
      <c r="G14" s="270" t="s">
        <v>144</v>
      </c>
      <c r="H14" s="388" t="str">
        <f>CONCATENATE("+",'Personal File'!$B$5+'Personal File'!$C$8+D14)</f>
        <v>+15</v>
      </c>
      <c r="I14" s="289">
        <f t="shared" ca="1" si="6"/>
        <v>19</v>
      </c>
      <c r="J14" s="266">
        <f t="shared" ref="J14:J19" ca="1" si="8">(I14+H14)</f>
        <v>34</v>
      </c>
      <c r="K14" s="267" t="s">
        <v>157</v>
      </c>
      <c r="L14" s="211"/>
      <c r="M14" s="321"/>
      <c r="N14" s="161"/>
    </row>
    <row r="15" spans="1:14">
      <c r="A15" s="370" t="s">
        <v>208</v>
      </c>
      <c r="B15" s="371" t="s">
        <v>144</v>
      </c>
      <c r="C15" s="372" t="s">
        <v>93</v>
      </c>
      <c r="D15" s="358" t="s">
        <v>144</v>
      </c>
      <c r="E15" s="359" t="s">
        <v>144</v>
      </c>
      <c r="F15" s="360" t="s">
        <v>144</v>
      </c>
      <c r="G15" s="365" t="s">
        <v>144</v>
      </c>
      <c r="H15" s="389" t="s">
        <v>144</v>
      </c>
      <c r="I15" s="361" t="s">
        <v>144</v>
      </c>
      <c r="J15" s="362" t="s">
        <v>144</v>
      </c>
      <c r="K15" s="363" t="s">
        <v>177</v>
      </c>
      <c r="L15" s="211"/>
      <c r="M15" s="364"/>
      <c r="N15" s="161"/>
    </row>
    <row r="16" spans="1:14">
      <c r="A16" s="288" t="s">
        <v>211</v>
      </c>
      <c r="B16" s="241" t="s">
        <v>136</v>
      </c>
      <c r="C16" s="295">
        <v>2</v>
      </c>
      <c r="D16" s="273">
        <v>2</v>
      </c>
      <c r="E16" s="379" t="s">
        <v>221</v>
      </c>
      <c r="F16" s="334" t="s">
        <v>213</v>
      </c>
      <c r="G16" s="335">
        <v>3</v>
      </c>
      <c r="H16" s="366" t="str">
        <f>CONCATENATE("+",'Personal File'!$B$5+'Personal File'!$C$8+D16)</f>
        <v>+16</v>
      </c>
      <c r="I16" s="289">
        <f t="shared" ca="1" si="6"/>
        <v>11</v>
      </c>
      <c r="J16" s="366">
        <f t="shared" ca="1" si="8"/>
        <v>27</v>
      </c>
      <c r="K16" s="267" t="s">
        <v>157</v>
      </c>
      <c r="L16" s="211"/>
      <c r="M16" s="312">
        <v>8300</v>
      </c>
      <c r="N16" s="161"/>
    </row>
    <row r="17" spans="1:14">
      <c r="A17" s="288" t="s">
        <v>165</v>
      </c>
      <c r="B17" s="241" t="s">
        <v>136</v>
      </c>
      <c r="C17" s="295">
        <v>2</v>
      </c>
      <c r="D17" s="273">
        <v>2</v>
      </c>
      <c r="E17" s="268"/>
      <c r="F17" s="269"/>
      <c r="G17" s="270" t="s">
        <v>144</v>
      </c>
      <c r="H17" s="388" t="str">
        <f>CONCATENATE("+",'Personal File'!$B$5+'Personal File'!$C$8+D17)</f>
        <v>+16</v>
      </c>
      <c r="I17" s="289">
        <f t="shared" ca="1" si="6"/>
        <v>4</v>
      </c>
      <c r="J17" s="266">
        <f t="shared" ca="1" si="8"/>
        <v>20</v>
      </c>
      <c r="K17" s="267" t="s">
        <v>157</v>
      </c>
      <c r="L17" s="211"/>
      <c r="M17" s="321"/>
      <c r="N17" s="161"/>
    </row>
    <row r="18" spans="1:14">
      <c r="A18" s="288" t="s">
        <v>163</v>
      </c>
      <c r="B18" s="241" t="s">
        <v>136</v>
      </c>
      <c r="C18" s="295">
        <v>2</v>
      </c>
      <c r="D18" s="273">
        <v>2</v>
      </c>
      <c r="E18" s="268"/>
      <c r="F18" s="269"/>
      <c r="G18" s="270" t="s">
        <v>144</v>
      </c>
      <c r="H18" s="388" t="str">
        <f>CONCATENATE("+",'Personal File'!$B$5+'Personal File'!$C$8+D18)</f>
        <v>+16</v>
      </c>
      <c r="I18" s="289">
        <f t="shared" ca="1" si="6"/>
        <v>12</v>
      </c>
      <c r="J18" s="266">
        <f t="shared" ca="1" si="8"/>
        <v>28</v>
      </c>
      <c r="K18" s="267" t="s">
        <v>157</v>
      </c>
      <c r="L18" s="211"/>
      <c r="M18" s="321"/>
      <c r="N18" s="161"/>
    </row>
    <row r="19" spans="1:14">
      <c r="A19" s="288" t="s">
        <v>164</v>
      </c>
      <c r="B19" s="241" t="s">
        <v>136</v>
      </c>
      <c r="C19" s="295">
        <v>2</v>
      </c>
      <c r="D19" s="273">
        <v>2</v>
      </c>
      <c r="E19" s="268"/>
      <c r="F19" s="269"/>
      <c r="G19" s="270" t="s">
        <v>144</v>
      </c>
      <c r="H19" s="388" t="str">
        <f>CONCATENATE("+",'Personal File'!$B$5+'Personal File'!$C$8+D19)</f>
        <v>+16</v>
      </c>
      <c r="I19" s="289">
        <f t="shared" ca="1" si="6"/>
        <v>8</v>
      </c>
      <c r="J19" s="266">
        <f t="shared" ca="1" si="8"/>
        <v>24</v>
      </c>
      <c r="K19" s="267" t="s">
        <v>157</v>
      </c>
      <c r="L19" s="211"/>
      <c r="M19" s="321"/>
      <c r="N19" s="161"/>
    </row>
    <row r="20" spans="1:14">
      <c r="A20" s="355" t="s">
        <v>212</v>
      </c>
      <c r="B20" s="356" t="s">
        <v>136</v>
      </c>
      <c r="C20" s="357" t="s">
        <v>231</v>
      </c>
      <c r="D20" s="358">
        <v>2</v>
      </c>
      <c r="E20" s="378" t="s">
        <v>221</v>
      </c>
      <c r="F20" s="360" t="s">
        <v>213</v>
      </c>
      <c r="G20" s="365" t="s">
        <v>144</v>
      </c>
      <c r="H20" s="389" t="str">
        <f>CONCATENATE("+",'Personal File'!$B$5+'Personal File'!$C$8+D20)</f>
        <v>+16</v>
      </c>
      <c r="I20" s="361">
        <f t="shared" ca="1" si="6"/>
        <v>13</v>
      </c>
      <c r="J20" s="362">
        <f t="shared" ref="J20:J21" ca="1" si="9">(I20+H20)</f>
        <v>29</v>
      </c>
      <c r="K20" s="363" t="s">
        <v>157</v>
      </c>
      <c r="L20" s="211"/>
      <c r="M20" s="321"/>
      <c r="N20" s="161"/>
    </row>
    <row r="21" spans="1:14" ht="16.2" thickBot="1">
      <c r="A21" s="296" t="s">
        <v>223</v>
      </c>
      <c r="B21" s="297" t="s">
        <v>224</v>
      </c>
      <c r="C21" s="297" t="s">
        <v>224</v>
      </c>
      <c r="D21" s="297">
        <v>0</v>
      </c>
      <c r="E21" s="297" t="s">
        <v>144</v>
      </c>
      <c r="F21" s="297" t="s">
        <v>225</v>
      </c>
      <c r="G21" s="297" t="s">
        <v>144</v>
      </c>
      <c r="H21" s="373" t="str">
        <f>CONCATENATE("+",'Personal File'!$B$5+'Personal File'!$C$8+D21)</f>
        <v>+14</v>
      </c>
      <c r="I21" s="12">
        <f ca="1">RANDBETWEEN(1,20)</f>
        <v>1</v>
      </c>
      <c r="J21" s="373">
        <f t="shared" ca="1" si="9"/>
        <v>15</v>
      </c>
      <c r="K21" s="336" t="s">
        <v>157</v>
      </c>
      <c r="M21" s="323">
        <v>6000</v>
      </c>
      <c r="N21" s="161"/>
    </row>
    <row r="22" spans="1:14" ht="16.8" thickTop="1" thickBot="1">
      <c r="D22" s="146"/>
      <c r="E22" s="146"/>
      <c r="G22" s="147"/>
      <c r="H22" s="147"/>
      <c r="I22" s="147"/>
      <c r="J22" s="147"/>
      <c r="M22" s="147"/>
    </row>
    <row r="23" spans="1:14" ht="16.8" thickTop="1" thickBot="1">
      <c r="A23" s="137" t="s">
        <v>71</v>
      </c>
      <c r="B23" s="138" t="s">
        <v>17</v>
      </c>
      <c r="C23" s="138" t="s">
        <v>34</v>
      </c>
      <c r="D23" s="138" t="s">
        <v>81</v>
      </c>
      <c r="E23" s="138" t="s">
        <v>82</v>
      </c>
      <c r="F23" s="138" t="s">
        <v>83</v>
      </c>
      <c r="G23" s="138" t="s">
        <v>27</v>
      </c>
      <c r="H23" s="148" t="s">
        <v>79</v>
      </c>
      <c r="I23" s="149"/>
      <c r="J23" s="149"/>
      <c r="K23" s="150"/>
      <c r="M23" s="144" t="s">
        <v>112</v>
      </c>
    </row>
    <row r="24" spans="1:14">
      <c r="A24" s="318" t="s">
        <v>174</v>
      </c>
      <c r="B24" s="275">
        <v>7</v>
      </c>
      <c r="C24" s="275">
        <v>6</v>
      </c>
      <c r="D24" s="275">
        <v>0</v>
      </c>
      <c r="E24" s="319">
        <v>0.1</v>
      </c>
      <c r="F24" s="275" t="s">
        <v>180</v>
      </c>
      <c r="G24" s="279">
        <v>10</v>
      </c>
      <c r="H24" s="151" t="s">
        <v>173</v>
      </c>
      <c r="I24" s="151"/>
      <c r="J24" s="151"/>
      <c r="K24" s="152"/>
      <c r="M24" s="320">
        <v>10100</v>
      </c>
      <c r="N24" s="161"/>
    </row>
    <row r="25" spans="1:14">
      <c r="A25" s="301" t="s">
        <v>233</v>
      </c>
      <c r="B25" s="13">
        <v>2</v>
      </c>
      <c r="C25" s="13" t="s">
        <v>144</v>
      </c>
      <c r="D25" s="13" t="s">
        <v>144</v>
      </c>
      <c r="E25" s="302" t="s">
        <v>144</v>
      </c>
      <c r="F25" s="13" t="s">
        <v>144</v>
      </c>
      <c r="G25" s="14">
        <v>0</v>
      </c>
      <c r="H25" s="303"/>
      <c r="I25" s="242"/>
      <c r="J25" s="242"/>
      <c r="K25" s="243"/>
      <c r="M25" s="322">
        <v>4000</v>
      </c>
      <c r="N25" s="161"/>
    </row>
    <row r="26" spans="1:14">
      <c r="A26" s="301" t="s">
        <v>233</v>
      </c>
      <c r="B26" s="13">
        <v>2</v>
      </c>
      <c r="C26" s="13" t="s">
        <v>144</v>
      </c>
      <c r="D26" s="13" t="s">
        <v>144</v>
      </c>
      <c r="E26" s="302" t="s">
        <v>144</v>
      </c>
      <c r="F26" s="13" t="s">
        <v>144</v>
      </c>
      <c r="G26" s="14">
        <v>0</v>
      </c>
      <c r="H26" s="303"/>
      <c r="I26" s="242"/>
      <c r="J26" s="242"/>
      <c r="K26" s="243"/>
      <c r="M26" s="322">
        <v>4000</v>
      </c>
      <c r="N26" s="161"/>
    </row>
    <row r="27" spans="1:14" ht="16.2" thickBot="1">
      <c r="A27" s="212" t="s">
        <v>172</v>
      </c>
      <c r="B27" s="213">
        <v>1</v>
      </c>
      <c r="C27" s="214" t="s">
        <v>144</v>
      </c>
      <c r="D27" s="213" t="s">
        <v>144</v>
      </c>
      <c r="E27" s="215" t="s">
        <v>144</v>
      </c>
      <c r="F27" s="213" t="s">
        <v>144</v>
      </c>
      <c r="G27" s="196">
        <v>0</v>
      </c>
      <c r="H27" s="216"/>
      <c r="I27" s="217"/>
      <c r="J27" s="217"/>
      <c r="K27" s="153"/>
      <c r="L27" s="211"/>
      <c r="M27" s="323">
        <v>2000</v>
      </c>
      <c r="N27" s="161"/>
    </row>
    <row r="28" spans="1:14" ht="16.8" thickTop="1" thickBot="1">
      <c r="M28" s="145"/>
    </row>
    <row r="29" spans="1:14" ht="16.8" thickTop="1" thickBot="1">
      <c r="A29" s="154"/>
      <c r="B29" s="147"/>
      <c r="C29" s="155" t="s">
        <v>72</v>
      </c>
      <c r="D29" s="149"/>
      <c r="E29" s="156"/>
      <c r="F29" s="148" t="s">
        <v>6</v>
      </c>
      <c r="G29" s="138" t="s">
        <v>27</v>
      </c>
      <c r="H29" s="140" t="s">
        <v>91</v>
      </c>
      <c r="I29" s="148" t="s">
        <v>79</v>
      </c>
      <c r="J29" s="149"/>
      <c r="K29" s="150"/>
      <c r="M29" s="144" t="s">
        <v>112</v>
      </c>
    </row>
    <row r="30" spans="1:14">
      <c r="A30" s="154"/>
      <c r="B30" s="147"/>
      <c r="C30" s="157" t="s">
        <v>137</v>
      </c>
      <c r="D30" s="158"/>
      <c r="E30" s="206"/>
      <c r="F30" s="199">
        <v>100</v>
      </c>
      <c r="G30" s="195">
        <f t="shared" ref="G30" si="10">(F30*3)/20</f>
        <v>15</v>
      </c>
      <c r="H30" s="200" t="s">
        <v>62</v>
      </c>
      <c r="I30" s="201"/>
      <c r="J30" s="159"/>
      <c r="K30" s="160"/>
      <c r="L30" s="161"/>
      <c r="M30" s="324">
        <f t="shared" ref="M30" si="11">(L30*3)/20</f>
        <v>0</v>
      </c>
      <c r="N30" s="161"/>
    </row>
    <row r="31" spans="1:14">
      <c r="A31" s="154"/>
      <c r="B31" s="147"/>
      <c r="C31" s="259" t="s">
        <v>153</v>
      </c>
      <c r="D31" s="260"/>
      <c r="E31" s="261"/>
      <c r="F31" s="262">
        <v>1</v>
      </c>
      <c r="G31" s="14">
        <v>1</v>
      </c>
      <c r="H31" s="263" t="s">
        <v>62</v>
      </c>
      <c r="I31" s="203"/>
      <c r="J31" s="264"/>
      <c r="K31" s="265"/>
      <c r="L31" s="161"/>
      <c r="M31" s="311">
        <v>1800</v>
      </c>
      <c r="N31" s="161"/>
    </row>
    <row r="32" spans="1:14">
      <c r="A32" s="154"/>
      <c r="B32" s="147"/>
      <c r="C32" s="259" t="s">
        <v>160</v>
      </c>
      <c r="D32" s="260"/>
      <c r="E32" s="261"/>
      <c r="F32" s="262">
        <v>15</v>
      </c>
      <c r="G32" s="14">
        <f>(F32*3)/10</f>
        <v>4.5</v>
      </c>
      <c r="H32" s="263" t="s">
        <v>62</v>
      </c>
      <c r="I32" s="203"/>
      <c r="J32" s="264"/>
      <c r="K32" s="265"/>
      <c r="L32" s="161"/>
      <c r="M32" s="311">
        <f t="shared" ref="M32:M33" si="12">F32*25</f>
        <v>375</v>
      </c>
      <c r="N32" s="161"/>
    </row>
    <row r="33" spans="1:14">
      <c r="A33" s="154"/>
      <c r="B33" s="147"/>
      <c r="C33" s="259" t="s">
        <v>159</v>
      </c>
      <c r="D33" s="260"/>
      <c r="E33" s="261"/>
      <c r="F33" s="262">
        <v>50</v>
      </c>
      <c r="G33" s="14">
        <f>(F33*3)/10</f>
        <v>15</v>
      </c>
      <c r="H33" s="263" t="s">
        <v>62</v>
      </c>
      <c r="I33" s="203"/>
      <c r="J33" s="264"/>
      <c r="K33" s="265"/>
      <c r="L33" s="161"/>
      <c r="M33" s="311">
        <f t="shared" si="12"/>
        <v>1250</v>
      </c>
      <c r="N33" s="161"/>
    </row>
    <row r="34" spans="1:14" ht="16.2" thickBot="1">
      <c r="A34" s="161"/>
      <c r="C34" s="162" t="s">
        <v>148</v>
      </c>
      <c r="D34" s="163"/>
      <c r="E34" s="239"/>
      <c r="F34" s="245">
        <v>40</v>
      </c>
      <c r="G34" s="196">
        <f t="shared" ref="G34" si="13">(F34*3)/20</f>
        <v>6</v>
      </c>
      <c r="H34" s="198" t="s">
        <v>62</v>
      </c>
      <c r="I34" s="202"/>
      <c r="J34" s="164"/>
      <c r="K34" s="165"/>
      <c r="L34" s="161"/>
      <c r="M34" s="323">
        <v>0</v>
      </c>
      <c r="N34" s="161"/>
    </row>
    <row r="35" spans="1:14" ht="16.8" thickTop="1" thickBot="1"/>
    <row r="36" spans="1:14" ht="16.8" thickTop="1" thickBot="1">
      <c r="C36" s="155" t="s">
        <v>100</v>
      </c>
      <c r="D36" s="149"/>
      <c r="E36" s="149"/>
      <c r="F36" s="149"/>
      <c r="G36" s="166" t="s">
        <v>6</v>
      </c>
      <c r="H36" s="166" t="s">
        <v>4</v>
      </c>
      <c r="I36" s="166" t="s">
        <v>101</v>
      </c>
      <c r="J36" s="148" t="s">
        <v>79</v>
      </c>
      <c r="K36" s="150"/>
      <c r="M36" s="144" t="s">
        <v>112</v>
      </c>
    </row>
    <row r="37" spans="1:14">
      <c r="C37" s="167" t="s">
        <v>142</v>
      </c>
      <c r="D37" s="168"/>
      <c r="E37" s="168"/>
      <c r="F37" s="237"/>
      <c r="G37" s="204">
        <v>2</v>
      </c>
      <c r="H37" s="197">
        <v>1</v>
      </c>
      <c r="I37" s="197">
        <v>1</v>
      </c>
      <c r="J37" s="201"/>
      <c r="K37" s="169"/>
      <c r="M37" s="324">
        <f t="shared" ref="M37" si="14">G37*25</f>
        <v>50</v>
      </c>
      <c r="N37" s="161"/>
    </row>
    <row r="38" spans="1:14">
      <c r="C38" s="170" t="s">
        <v>158</v>
      </c>
      <c r="D38" s="171"/>
      <c r="E38" s="171"/>
      <c r="F38" s="238"/>
      <c r="G38" s="205">
        <v>1</v>
      </c>
      <c r="H38" s="13">
        <v>2</v>
      </c>
      <c r="I38" s="13">
        <v>4</v>
      </c>
      <c r="J38" s="203"/>
      <c r="K38" s="172"/>
      <c r="M38" s="322">
        <f>G38*150</f>
        <v>150</v>
      </c>
      <c r="N38" s="161"/>
    </row>
    <row r="39" spans="1:14" ht="16.2" thickBot="1">
      <c r="C39" s="219"/>
      <c r="D39" s="163"/>
      <c r="E39" s="163"/>
      <c r="F39" s="239"/>
      <c r="G39" s="220"/>
      <c r="H39" s="198"/>
      <c r="I39" s="198"/>
      <c r="J39" s="202"/>
      <c r="K39" s="153"/>
      <c r="L39" s="211"/>
      <c r="M39" s="316"/>
      <c r="N39" s="161"/>
    </row>
    <row r="40" spans="1:14" ht="16.2" thickTop="1"/>
    <row r="41" spans="1:14">
      <c r="K41" s="42" t="s">
        <v>113</v>
      </c>
      <c r="M41" s="314">
        <f>SUM(M3:M39,Equipment!B3:B20)</f>
        <v>54850</v>
      </c>
    </row>
  </sheetData>
  <sortState ref="A3:K6">
    <sortCondition ref="A3:A6"/>
  </sortState>
  <phoneticPr fontId="0" type="noConversion"/>
  <conditionalFormatting sqref="B27">
    <cfRule type="cellIs" dxfId="28" priority="67" operator="equal">
      <formula>2</formula>
    </cfRule>
  </conditionalFormatting>
  <conditionalFormatting sqref="I7">
    <cfRule type="cellIs" dxfId="27" priority="63" operator="equal">
      <formula>20</formula>
    </cfRule>
    <cfRule type="cellIs" dxfId="26" priority="64" operator="equal">
      <formula>1</formula>
    </cfRule>
  </conditionalFormatting>
  <conditionalFormatting sqref="I10 I12:I13">
    <cfRule type="cellIs" dxfId="25" priority="29" operator="equal">
      <formula>20</formula>
    </cfRule>
    <cfRule type="cellIs" dxfId="24" priority="30" operator="equal">
      <formula>1</formula>
    </cfRule>
  </conditionalFormatting>
  <conditionalFormatting sqref="I3:I4">
    <cfRule type="cellIs" dxfId="23" priority="27" operator="equal">
      <formula>20</formula>
    </cfRule>
    <cfRule type="cellIs" dxfId="22" priority="28" operator="equal">
      <formula>1</formula>
    </cfRule>
  </conditionalFormatting>
  <conditionalFormatting sqref="I4">
    <cfRule type="cellIs" dxfId="21" priority="23" operator="equal">
      <formula>20</formula>
    </cfRule>
    <cfRule type="cellIs" dxfId="20" priority="24" operator="equal">
      <formula>1</formula>
    </cfRule>
  </conditionalFormatting>
  <conditionalFormatting sqref="I11">
    <cfRule type="cellIs" dxfId="19" priority="21" operator="equal">
      <formula>20</formula>
    </cfRule>
    <cfRule type="cellIs" dxfId="18" priority="22" operator="equal">
      <formula>1</formula>
    </cfRule>
  </conditionalFormatting>
  <conditionalFormatting sqref="I14:I15">
    <cfRule type="cellIs" dxfId="17" priority="19" operator="equal">
      <formula>20</formula>
    </cfRule>
    <cfRule type="cellIs" dxfId="16" priority="20" operator="equal">
      <formula>1</formula>
    </cfRule>
  </conditionalFormatting>
  <conditionalFormatting sqref="I16 I18:I19">
    <cfRule type="cellIs" dxfId="15" priority="17" operator="equal">
      <formula>20</formula>
    </cfRule>
    <cfRule type="cellIs" dxfId="14" priority="18" operator="equal">
      <formula>1</formula>
    </cfRule>
  </conditionalFormatting>
  <conditionalFormatting sqref="I17">
    <cfRule type="cellIs" dxfId="13" priority="15" operator="equal">
      <formula>20</formula>
    </cfRule>
    <cfRule type="cellIs" dxfId="12" priority="16" operator="equal">
      <formula>1</formula>
    </cfRule>
  </conditionalFormatting>
  <conditionalFormatting sqref="I20">
    <cfRule type="cellIs" dxfId="11" priority="13" operator="equal">
      <formula>20</formula>
    </cfRule>
    <cfRule type="cellIs" dxfId="10" priority="14" operator="equal">
      <formula>1</formula>
    </cfRule>
  </conditionalFormatting>
  <conditionalFormatting sqref="I14">
    <cfRule type="cellIs" dxfId="9" priority="11" operator="equal">
      <formula>20</formula>
    </cfRule>
    <cfRule type="cellIs" dxfId="8" priority="12" operator="equal">
      <formula>1</formula>
    </cfRule>
  </conditionalFormatting>
  <conditionalFormatting sqref="I21">
    <cfRule type="cellIs" dxfId="7" priority="9" operator="equal">
      <formula>20</formula>
    </cfRule>
    <cfRule type="cellIs" dxfId="6" priority="10" operator="equal">
      <formula>1</formula>
    </cfRule>
  </conditionalFormatting>
  <conditionalFormatting sqref="I5">
    <cfRule type="cellIs" dxfId="5" priority="7" operator="equal">
      <formula>20</formula>
    </cfRule>
    <cfRule type="cellIs" dxfId="4" priority="8" operator="equal">
      <formula>1</formula>
    </cfRule>
  </conditionalFormatting>
  <conditionalFormatting sqref="I6">
    <cfRule type="cellIs" dxfId="3" priority="3" operator="equal">
      <formula>20</formula>
    </cfRule>
    <cfRule type="cellIs" dxfId="2" priority="4" operator="equal">
      <formula>1</formula>
    </cfRule>
  </conditionalFormatting>
  <conditionalFormatting sqref="I6">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workbookViewId="0"/>
  </sheetViews>
  <sheetFormatPr defaultColWidth="13" defaultRowHeight="15.6"/>
  <cols>
    <col min="1" max="1" width="28.09765625" style="145" bestFit="1" customWidth="1"/>
    <col min="2" max="2" width="4.8984375" style="145" bestFit="1" customWidth="1"/>
    <col min="3" max="3" width="5.59765625" style="147" bestFit="1" customWidth="1"/>
    <col min="4" max="5" width="26.59765625" style="15" customWidth="1"/>
    <col min="6" max="6" width="1.69921875" style="145" bestFit="1" customWidth="1"/>
    <col min="7" max="7" width="8.296875" style="15" bestFit="1" customWidth="1"/>
    <col min="8" max="16384" width="13" style="15"/>
  </cols>
  <sheetData>
    <row r="1" spans="1:7" ht="23.4" thickBot="1">
      <c r="A1" s="136" t="s">
        <v>76</v>
      </c>
      <c r="B1" s="136"/>
      <c r="C1" s="173"/>
      <c r="D1" s="136"/>
      <c r="E1" s="136"/>
    </row>
    <row r="2" spans="1:7" s="145" customFormat="1" ht="16.8" thickTop="1" thickBot="1">
      <c r="A2" s="174" t="s">
        <v>77</v>
      </c>
      <c r="B2" s="174" t="s">
        <v>6</v>
      </c>
      <c r="C2" s="175" t="s">
        <v>27</v>
      </c>
      <c r="D2" s="176" t="s">
        <v>78</v>
      </c>
      <c r="E2" s="177" t="s">
        <v>79</v>
      </c>
      <c r="G2" s="209" t="s">
        <v>112</v>
      </c>
    </row>
    <row r="3" spans="1:7">
      <c r="A3" s="178" t="s">
        <v>118</v>
      </c>
      <c r="B3" s="179">
        <v>1</v>
      </c>
      <c r="C3" s="180">
        <v>2</v>
      </c>
      <c r="D3" s="181"/>
      <c r="E3" s="182"/>
      <c r="F3" s="161"/>
      <c r="G3" s="311">
        <v>2</v>
      </c>
    </row>
    <row r="4" spans="1:7">
      <c r="A4" s="192" t="s">
        <v>143</v>
      </c>
      <c r="B4" s="179">
        <v>1</v>
      </c>
      <c r="C4" s="180">
        <v>1</v>
      </c>
      <c r="D4" s="240"/>
      <c r="E4" s="182"/>
      <c r="F4" s="161"/>
      <c r="G4" s="312">
        <v>1000</v>
      </c>
    </row>
    <row r="5" spans="1:7">
      <c r="A5" s="308" t="s">
        <v>166</v>
      </c>
      <c r="B5" s="309">
        <v>1</v>
      </c>
      <c r="C5" s="180">
        <v>0</v>
      </c>
      <c r="D5" s="310"/>
      <c r="E5" s="306"/>
      <c r="F5" s="207"/>
      <c r="G5" s="312">
        <v>3600</v>
      </c>
    </row>
    <row r="6" spans="1:7">
      <c r="A6" s="308" t="s">
        <v>230</v>
      </c>
      <c r="B6" s="330">
        <v>1</v>
      </c>
      <c r="C6" s="180">
        <v>1</v>
      </c>
      <c r="D6" s="310"/>
      <c r="E6" s="306"/>
      <c r="F6" s="207"/>
      <c r="G6" s="312">
        <v>3200</v>
      </c>
    </row>
    <row r="7" spans="1:7">
      <c r="A7" s="402" t="s">
        <v>238</v>
      </c>
      <c r="B7" s="403">
        <v>1</v>
      </c>
      <c r="C7" s="404">
        <v>0</v>
      </c>
      <c r="D7" s="405"/>
      <c r="E7" s="406"/>
      <c r="F7" s="407"/>
      <c r="G7" s="408">
        <v>3400</v>
      </c>
    </row>
    <row r="8" spans="1:7">
      <c r="A8" s="308" t="s">
        <v>176</v>
      </c>
      <c r="B8" s="330">
        <v>1</v>
      </c>
      <c r="C8" s="180">
        <v>1</v>
      </c>
      <c r="D8" s="310"/>
      <c r="E8" s="306"/>
      <c r="F8" s="207"/>
      <c r="G8" s="312">
        <v>4000</v>
      </c>
    </row>
    <row r="9" spans="1:7">
      <c r="A9" s="189" t="s">
        <v>171</v>
      </c>
      <c r="B9" s="317">
        <v>1</v>
      </c>
      <c r="C9" s="191">
        <v>0</v>
      </c>
      <c r="D9" s="310"/>
      <c r="E9" s="306"/>
      <c r="F9" s="161"/>
      <c r="G9" s="312">
        <v>3000</v>
      </c>
    </row>
    <row r="10" spans="1:7" ht="16.2" thickBot="1">
      <c r="A10" s="183" t="s">
        <v>120</v>
      </c>
      <c r="B10" s="11">
        <v>1</v>
      </c>
      <c r="C10" s="184">
        <v>0.5</v>
      </c>
      <c r="D10" s="185"/>
      <c r="E10" s="186"/>
      <c r="G10" s="313">
        <v>1</v>
      </c>
    </row>
    <row r="11" spans="1:7" ht="24" thickTop="1" thickBot="1">
      <c r="A11" s="136" t="s">
        <v>80</v>
      </c>
      <c r="B11" s="136"/>
      <c r="C11" s="187"/>
      <c r="D11" s="136"/>
      <c r="E11" s="188"/>
      <c r="F11" s="161"/>
      <c r="G11" s="331"/>
    </row>
    <row r="12" spans="1:7" ht="16.8" thickTop="1" thickBot="1">
      <c r="A12" s="174" t="s">
        <v>77</v>
      </c>
      <c r="B12" s="174" t="s">
        <v>6</v>
      </c>
      <c r="C12" s="175" t="s">
        <v>27</v>
      </c>
      <c r="D12" s="176" t="s">
        <v>78</v>
      </c>
      <c r="E12" s="177" t="s">
        <v>79</v>
      </c>
      <c r="F12" s="161"/>
      <c r="G12" s="315" t="s">
        <v>112</v>
      </c>
    </row>
    <row r="13" spans="1:7">
      <c r="A13" s="189" t="s">
        <v>119</v>
      </c>
      <c r="B13" s="190">
        <v>1</v>
      </c>
      <c r="C13" s="191">
        <v>0</v>
      </c>
      <c r="D13" s="332"/>
      <c r="E13" s="333"/>
      <c r="F13" s="161"/>
      <c r="G13" s="311">
        <v>1</v>
      </c>
    </row>
    <row r="14" spans="1:7">
      <c r="A14" s="409" t="s">
        <v>240</v>
      </c>
      <c r="B14" s="410">
        <v>1</v>
      </c>
      <c r="C14" s="191">
        <v>0.5</v>
      </c>
      <c r="D14" s="411" t="s">
        <v>241</v>
      </c>
      <c r="E14" s="333"/>
      <c r="F14" s="161"/>
      <c r="G14" s="412">
        <v>2000</v>
      </c>
    </row>
    <row r="15" spans="1:7">
      <c r="A15" s="192" t="s">
        <v>145</v>
      </c>
      <c r="B15" s="190">
        <v>1</v>
      </c>
      <c r="C15" s="191">
        <v>1</v>
      </c>
      <c r="D15" s="332"/>
      <c r="E15" s="333"/>
      <c r="F15" s="161"/>
      <c r="G15" s="311">
        <v>110</v>
      </c>
    </row>
    <row r="16" spans="1:7">
      <c r="A16" s="192" t="s">
        <v>229</v>
      </c>
      <c r="B16" s="190">
        <v>1</v>
      </c>
      <c r="C16" s="180">
        <v>6</v>
      </c>
      <c r="D16" s="332"/>
      <c r="E16" s="333"/>
      <c r="F16" s="161"/>
      <c r="G16" s="311">
        <v>500</v>
      </c>
    </row>
    <row r="17" spans="1:7">
      <c r="A17" s="192" t="s">
        <v>228</v>
      </c>
      <c r="B17" s="190">
        <v>1</v>
      </c>
      <c r="C17" s="180">
        <v>2</v>
      </c>
      <c r="D17" s="332"/>
      <c r="E17" s="333"/>
      <c r="F17" s="161"/>
      <c r="G17" s="311">
        <v>350</v>
      </c>
    </row>
    <row r="18" spans="1:7">
      <c r="A18" s="192" t="s">
        <v>121</v>
      </c>
      <c r="B18" s="190">
        <v>1</v>
      </c>
      <c r="C18" s="180">
        <v>0.5</v>
      </c>
      <c r="D18" s="332"/>
      <c r="E18" s="333"/>
      <c r="F18" s="161"/>
      <c r="G18" s="311">
        <v>0</v>
      </c>
    </row>
    <row r="19" spans="1:7">
      <c r="A19" s="192" t="s">
        <v>170</v>
      </c>
      <c r="B19" s="190">
        <v>0</v>
      </c>
      <c r="C19" s="180">
        <f>B19/100</f>
        <v>0</v>
      </c>
      <c r="D19" s="305"/>
      <c r="E19" s="306"/>
      <c r="F19" s="207"/>
      <c r="G19" s="307">
        <f>B19</f>
        <v>0</v>
      </c>
    </row>
    <row r="20" spans="1:7" ht="16.2" thickBot="1">
      <c r="A20" s="193" t="s">
        <v>154</v>
      </c>
      <c r="B20" s="11">
        <v>1</v>
      </c>
      <c r="C20" s="194">
        <v>0</v>
      </c>
      <c r="D20" s="210"/>
      <c r="E20" s="186"/>
      <c r="F20" s="161"/>
      <c r="G20" s="316">
        <v>0</v>
      </c>
    </row>
    <row r="21" spans="1:7" ht="16.2" thickTop="1">
      <c r="B21" s="325"/>
      <c r="F21" s="15"/>
    </row>
    <row r="22" spans="1:7">
      <c r="E22" s="208" t="s">
        <v>114</v>
      </c>
      <c r="F22" s="207"/>
      <c r="G22" s="339">
        <f>SUM(G3:G20,Martial!M3:M39)</f>
        <v>75999</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62.796875" style="20" bestFit="1" customWidth="1"/>
    <col min="2" max="2" width="9.5" style="354" customWidth="1"/>
    <col min="3" max="3" width="6.3984375" style="20" customWidth="1"/>
    <col min="4" max="16384" width="9" style="20"/>
  </cols>
  <sheetData>
    <row r="1" spans="1:3">
      <c r="A1" s="341" t="s">
        <v>183</v>
      </c>
      <c r="B1" s="342" t="s">
        <v>141</v>
      </c>
      <c r="C1" s="343" t="s">
        <v>184</v>
      </c>
    </row>
    <row r="2" spans="1:3">
      <c r="A2" s="344" t="s">
        <v>185</v>
      </c>
      <c r="B2" s="345" t="s">
        <v>186</v>
      </c>
      <c r="C2" s="346">
        <v>0.1</v>
      </c>
    </row>
    <row r="3" spans="1:3">
      <c r="A3" s="376" t="s">
        <v>218</v>
      </c>
      <c r="B3" s="345" t="s">
        <v>237</v>
      </c>
      <c r="C3" s="346">
        <v>0.06</v>
      </c>
    </row>
    <row r="4" spans="1:3">
      <c r="A4" s="344" t="s">
        <v>187</v>
      </c>
      <c r="B4" s="345" t="s">
        <v>237</v>
      </c>
      <c r="C4" s="346">
        <v>0.06</v>
      </c>
    </row>
    <row r="5" spans="1:3">
      <c r="A5" s="344" t="s">
        <v>201</v>
      </c>
      <c r="B5" s="345" t="s">
        <v>214</v>
      </c>
      <c r="C5" s="346">
        <v>0.02</v>
      </c>
    </row>
    <row r="6" spans="1:3">
      <c r="A6" s="344" t="s">
        <v>188</v>
      </c>
      <c r="B6" s="345" t="s">
        <v>214</v>
      </c>
      <c r="C6" s="346">
        <v>0.02</v>
      </c>
    </row>
    <row r="7" spans="1:3">
      <c r="A7" s="344" t="s">
        <v>189</v>
      </c>
      <c r="B7" s="345" t="s">
        <v>237</v>
      </c>
      <c r="C7" s="346">
        <v>0.06</v>
      </c>
    </row>
    <row r="8" spans="1:3">
      <c r="A8" s="344" t="s">
        <v>190</v>
      </c>
      <c r="B8" s="345" t="s">
        <v>237</v>
      </c>
      <c r="C8" s="346">
        <v>0.06</v>
      </c>
    </row>
    <row r="9" spans="1:3">
      <c r="A9" s="344" t="s">
        <v>191</v>
      </c>
      <c r="B9" s="345" t="s">
        <v>237</v>
      </c>
      <c r="C9" s="346">
        <v>0.06</v>
      </c>
    </row>
    <row r="10" spans="1:3">
      <c r="A10" s="344" t="s">
        <v>192</v>
      </c>
      <c r="B10" s="345" t="s">
        <v>239</v>
      </c>
      <c r="C10" s="346">
        <v>0.04</v>
      </c>
    </row>
    <row r="11" spans="1:3">
      <c r="A11" s="344" t="s">
        <v>193</v>
      </c>
      <c r="B11" s="345" t="s">
        <v>214</v>
      </c>
      <c r="C11" s="346">
        <v>0.02</v>
      </c>
    </row>
    <row r="12" spans="1:3">
      <c r="A12" s="341" t="s">
        <v>66</v>
      </c>
      <c r="B12" s="342"/>
      <c r="C12" s="343">
        <f>SUM(C2:C11)</f>
        <v>0.5</v>
      </c>
    </row>
    <row r="13" spans="1:3">
      <c r="A13" s="341"/>
      <c r="B13" s="342"/>
      <c r="C13" s="343"/>
    </row>
    <row r="14" spans="1:3">
      <c r="A14" s="341" t="s">
        <v>194</v>
      </c>
      <c r="B14" s="347">
        <v>0</v>
      </c>
      <c r="C14" s="348"/>
    </row>
    <row r="15" spans="1:3">
      <c r="A15" s="341" t="s">
        <v>195</v>
      </c>
      <c r="B15" s="347">
        <v>5000</v>
      </c>
      <c r="C15" s="348"/>
    </row>
    <row r="16" spans="1:3">
      <c r="A16" s="341" t="s">
        <v>196</v>
      </c>
      <c r="B16" s="349">
        <f>B15*C12/(1+B14)</f>
        <v>2500</v>
      </c>
      <c r="C16" s="348"/>
    </row>
    <row r="17" spans="1:3">
      <c r="A17" s="341" t="s">
        <v>197</v>
      </c>
      <c r="B17" s="350">
        <v>0</v>
      </c>
      <c r="C17" s="351"/>
    </row>
    <row r="18" spans="1:3">
      <c r="A18" s="341" t="s">
        <v>66</v>
      </c>
      <c r="B18" s="352">
        <f>SUM(B16:B17)</f>
        <v>2500</v>
      </c>
      <c r="C18" s="348"/>
    </row>
    <row r="19" spans="1:3">
      <c r="A19" s="341" t="s">
        <v>198</v>
      </c>
      <c r="B19" s="347">
        <v>69100</v>
      </c>
      <c r="C19" s="348"/>
    </row>
    <row r="20" spans="1:3">
      <c r="A20" s="341" t="s">
        <v>199</v>
      </c>
      <c r="B20" s="352">
        <f>SUM(B18:B19)</f>
        <v>71600</v>
      </c>
      <c r="C20" s="348"/>
    </row>
    <row r="22" spans="1:3">
      <c r="A22" s="353" t="s">
        <v>200</v>
      </c>
    </row>
    <row r="24" spans="1:3">
      <c r="A24" s="353"/>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Personal File</vt:lpstr>
      <vt:lpstr>Skills</vt:lpstr>
      <vt:lpstr>Feats</vt:lpstr>
      <vt:lpstr>Martial</vt:lpstr>
      <vt:lpstr>Equipment</vt:lpstr>
      <vt:lpstr>XP Awards</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2018-06-02T12:41:03Z</dcterms:modified>
</cp:coreProperties>
</file>