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10224"/>
  </bookViews>
  <sheets>
    <sheet name="Initiative" sheetId="1" r:id="rId1"/>
    <sheet name="Spells" sheetId="6" r:id="rId2"/>
    <sheet name="Attacks" sheetId="2" r:id="rId3"/>
    <sheet name="Saves" sheetId="3" r:id="rId4"/>
    <sheet name="hps" sheetId="5" r:id="rId5"/>
    <sheet name="Rolls" sheetId="4" r:id="rId6"/>
  </sheets>
  <calcPr calcId="145621"/>
</workbook>
</file>

<file path=xl/calcChain.xml><?xml version="1.0" encoding="utf-8"?>
<calcChain xmlns="http://schemas.openxmlformats.org/spreadsheetml/2006/main">
  <c r="H4" i="2" l="1"/>
  <c r="D4" i="2"/>
  <c r="H3" i="2"/>
  <c r="D3" i="2"/>
  <c r="I3" i="2" l="1"/>
  <c r="I4" i="2"/>
  <c r="H22" i="2"/>
  <c r="I22" i="2" s="1"/>
  <c r="C2" i="5" l="1"/>
  <c r="D2" i="5"/>
  <c r="B2" i="5"/>
  <c r="D7" i="2" l="1"/>
  <c r="H7" i="2"/>
  <c r="I7" i="2" s="1"/>
  <c r="D6" i="2"/>
  <c r="H6" i="2"/>
  <c r="I6" i="2" l="1"/>
  <c r="C22" i="3"/>
  <c r="C20" i="3"/>
  <c r="C21" i="3"/>
  <c r="D14" i="1"/>
  <c r="D4" i="5" l="1"/>
  <c r="C4" i="5"/>
  <c r="B4" i="5"/>
  <c r="D2" i="2" l="1"/>
  <c r="H2" i="2"/>
  <c r="I2" i="2" s="1"/>
  <c r="D5" i="2"/>
  <c r="H5" i="2"/>
  <c r="D8" i="2"/>
  <c r="H8" i="2"/>
  <c r="D9" i="2"/>
  <c r="H9" i="2"/>
  <c r="I9" i="2" s="1"/>
  <c r="D10" i="2"/>
  <c r="H10" i="2"/>
  <c r="D11" i="2"/>
  <c r="H11" i="2"/>
  <c r="D12" i="2"/>
  <c r="H12" i="2"/>
  <c r="I12" i="2" s="1"/>
  <c r="D13" i="2"/>
  <c r="H13" i="2"/>
  <c r="I13" i="2" s="1"/>
  <c r="D14" i="2"/>
  <c r="H14" i="2"/>
  <c r="H15" i="2"/>
  <c r="I15" i="2" s="1"/>
  <c r="H16" i="2"/>
  <c r="I16" i="2" s="1"/>
  <c r="H17" i="2"/>
  <c r="I17" i="2" s="1"/>
  <c r="H18" i="2"/>
  <c r="I18" i="2" s="1"/>
  <c r="H20" i="2"/>
  <c r="I20" i="2" s="1"/>
  <c r="I14" i="2" l="1"/>
  <c r="I5" i="2"/>
  <c r="I10" i="2"/>
  <c r="I8" i="2"/>
  <c r="I11" i="2"/>
  <c r="E7" i="6"/>
  <c r="E4" i="6"/>
  <c r="E10" i="6" l="1"/>
  <c r="E6" i="6"/>
  <c r="E8" i="6" l="1"/>
  <c r="F8" i="6" s="1"/>
  <c r="F7" i="6"/>
  <c r="E5" i="6" l="1"/>
  <c r="F5" i="6" s="1"/>
  <c r="F4" i="6"/>
  <c r="E2" i="6"/>
  <c r="E3" i="6"/>
  <c r="C16" i="3" l="1"/>
  <c r="C13" i="3"/>
  <c r="C10" i="3"/>
  <c r="C7" i="3"/>
  <c r="C4" i="3"/>
  <c r="C14" i="3"/>
  <c r="C11" i="3"/>
  <c r="C8" i="3"/>
  <c r="C5" i="3"/>
  <c r="C2" i="3"/>
  <c r="C15" i="3"/>
  <c r="C12" i="3"/>
  <c r="C6" i="3"/>
  <c r="C9" i="3"/>
  <c r="C3" i="3"/>
  <c r="Y10" i="5" l="1"/>
  <c r="Y9" i="5"/>
  <c r="B27" i="5" l="1"/>
  <c r="D27" i="5" s="1"/>
  <c r="C27" i="5" s="1"/>
  <c r="B26" i="5"/>
  <c r="B25" i="5"/>
  <c r="D25" i="5" s="1"/>
  <c r="C25" i="5" s="1"/>
  <c r="B24" i="5"/>
  <c r="B23" i="5"/>
  <c r="D23" i="5" s="1"/>
  <c r="C23" i="5" s="1"/>
  <c r="B22" i="5"/>
  <c r="B21" i="5"/>
  <c r="D21" i="5" s="1"/>
  <c r="C21" i="5" s="1"/>
  <c r="B20" i="5"/>
  <c r="D20" i="5" s="1"/>
  <c r="C20" i="5" s="1"/>
  <c r="D26" i="5"/>
  <c r="C26" i="5" s="1"/>
  <c r="D24" i="5"/>
  <c r="C24" i="5" s="1"/>
  <c r="D22" i="5"/>
  <c r="C22" i="5" s="1"/>
  <c r="B19" i="5"/>
  <c r="D19" i="5" s="1"/>
  <c r="C19" i="5" s="1"/>
  <c r="B18" i="5"/>
  <c r="D18" i="5" s="1"/>
  <c r="C18" i="5" s="1"/>
  <c r="B17" i="5"/>
  <c r="D17" i="5" s="1"/>
  <c r="C17" i="5" s="1"/>
  <c r="B16" i="5"/>
  <c r="D16" i="5" s="1"/>
  <c r="C16" i="5" s="1"/>
  <c r="B15" i="5"/>
  <c r="D15" i="5" s="1"/>
  <c r="C15" i="5" s="1"/>
  <c r="B14" i="5"/>
  <c r="D14" i="5" s="1"/>
  <c r="C14" i="5" s="1"/>
  <c r="B13" i="5"/>
  <c r="D13" i="5" s="1"/>
  <c r="C13" i="5" s="1"/>
  <c r="B12" i="5"/>
  <c r="D12" i="5" s="1"/>
  <c r="C12" i="5" s="1"/>
  <c r="B11" i="5"/>
  <c r="D11" i="5" s="1"/>
  <c r="C11" i="5" s="1"/>
  <c r="V19" i="5"/>
  <c r="Z19" i="5" s="1"/>
  <c r="AA19" i="5" s="1"/>
  <c r="V18" i="5"/>
  <c r="Z18" i="5" s="1"/>
  <c r="AA18" i="5" s="1"/>
  <c r="V17" i="5"/>
  <c r="Z17" i="5" s="1"/>
  <c r="AA17" i="5" s="1"/>
  <c r="V16" i="5"/>
  <c r="Z16" i="5" s="1"/>
  <c r="AA16" i="5" s="1"/>
  <c r="V15" i="5"/>
  <c r="Z15" i="5" s="1"/>
  <c r="AA15" i="5" s="1"/>
  <c r="V14" i="5"/>
  <c r="Z14" i="5" s="1"/>
  <c r="AA14" i="5" s="1"/>
  <c r="V13" i="5"/>
  <c r="Z13" i="5" s="1"/>
  <c r="AA13" i="5" s="1"/>
  <c r="V12" i="5"/>
  <c r="Z12" i="5" s="1"/>
  <c r="AA12" i="5" s="1"/>
  <c r="V27" i="5"/>
  <c r="Z27" i="5" s="1"/>
  <c r="AA27" i="5" s="1"/>
  <c r="V26" i="5"/>
  <c r="Z26" i="5" s="1"/>
  <c r="AA26" i="5" s="1"/>
  <c r="V25" i="5"/>
  <c r="Z25" i="5" s="1"/>
  <c r="AA25" i="5" s="1"/>
  <c r="V24" i="5"/>
  <c r="Z24" i="5" s="1"/>
  <c r="AA24" i="5" s="1"/>
  <c r="V23" i="5"/>
  <c r="Z23" i="5" s="1"/>
  <c r="AA23" i="5" s="1"/>
  <c r="V22" i="5"/>
  <c r="Z22" i="5" s="1"/>
  <c r="AA22" i="5" s="1"/>
  <c r="V21" i="5"/>
  <c r="Z21" i="5" s="1"/>
  <c r="AA21" i="5" s="1"/>
  <c r="Y6" i="5" l="1"/>
  <c r="Y7" i="5"/>
  <c r="Y8" i="5"/>
  <c r="H21" i="2" l="1"/>
  <c r="I21" i="2" s="1"/>
  <c r="E19" i="6" l="1"/>
  <c r="F19" i="6" s="1"/>
  <c r="E18" i="6"/>
  <c r="F18" i="6" s="1"/>
  <c r="F17" i="6"/>
  <c r="E17" i="6"/>
  <c r="E16" i="6"/>
  <c r="F16" i="6" s="1"/>
  <c r="E15" i="6"/>
  <c r="F15" i="6" s="1"/>
  <c r="E14" i="6"/>
  <c r="F14" i="6" s="1"/>
  <c r="E13" i="6"/>
  <c r="F13" i="6" s="1"/>
  <c r="O8" i="1" l="1"/>
  <c r="O6" i="1"/>
  <c r="O5" i="1"/>
  <c r="O3" i="1" l="1"/>
  <c r="O4" i="1"/>
  <c r="B7" i="5"/>
  <c r="D7" i="5" s="1"/>
  <c r="B10" i="5"/>
  <c r="D10" i="5" s="1"/>
  <c r="C10" i="5" s="1"/>
  <c r="B9" i="5"/>
  <c r="D9" i="5" s="1"/>
  <c r="C9" i="5" s="1"/>
  <c r="B8" i="5"/>
  <c r="D8" i="5" s="1"/>
  <c r="C8" i="5" s="1"/>
  <c r="B6" i="5"/>
  <c r="D6" i="5" s="1"/>
  <c r="C6" i="5" s="1"/>
  <c r="E9" i="1"/>
  <c r="C12" i="1"/>
  <c r="C7" i="5" l="1"/>
  <c r="H26" i="2" l="1"/>
  <c r="I26" i="2" s="1"/>
  <c r="H19" i="2" l="1"/>
  <c r="I19" i="2" s="1"/>
  <c r="V11" i="5" l="1"/>
  <c r="Z11" i="5" s="1"/>
  <c r="AA11" i="5" s="1"/>
  <c r="V10" i="5"/>
  <c r="V9" i="5"/>
  <c r="Z9" i="5" s="1"/>
  <c r="AA9" i="5" s="1"/>
  <c r="V8" i="5"/>
  <c r="Z8" i="5" s="1"/>
  <c r="AA8" i="5" s="1"/>
  <c r="V7" i="5"/>
  <c r="Z7" i="5" s="1"/>
  <c r="AA7" i="5" s="1"/>
  <c r="Z10" i="5"/>
  <c r="AA10" i="5" s="1"/>
  <c r="D20" i="3"/>
  <c r="E20" i="3" s="1"/>
  <c r="D21" i="3"/>
  <c r="E21" i="3" s="1"/>
  <c r="D22" i="3"/>
  <c r="E22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E7" i="1" l="1"/>
  <c r="E11" i="1"/>
  <c r="E3" i="1"/>
  <c r="E2" i="1"/>
  <c r="E4" i="1"/>
  <c r="D3" i="5" l="1"/>
  <c r="C3" i="5"/>
  <c r="E9" i="6" l="1"/>
  <c r="F6" i="6"/>
  <c r="V20" i="5" l="1"/>
  <c r="Z20" i="5" s="1"/>
  <c r="AA20" i="5" s="1"/>
  <c r="F9" i="6" l="1"/>
  <c r="F10" i="6"/>
  <c r="V6" i="5"/>
  <c r="Z6" i="5" s="1"/>
  <c r="AA6" i="5" s="1"/>
  <c r="E8" i="1" l="1"/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D19" i="3" l="1"/>
  <c r="E19" i="3" s="1"/>
  <c r="D18" i="3"/>
  <c r="E18" i="3" s="1"/>
  <c r="D17" i="3"/>
  <c r="E17" i="3" s="1"/>
  <c r="H23" i="2" l="1"/>
  <c r="I23" i="2" l="1"/>
  <c r="F3" i="6" l="1"/>
  <c r="F2" i="6" l="1"/>
  <c r="E12" i="1" l="1"/>
  <c r="G4" i="4" l="1"/>
  <c r="V5" i="5" l="1"/>
  <c r="Z5" i="5" s="1"/>
  <c r="AA5" i="5" s="1"/>
  <c r="D5" i="5"/>
  <c r="C5" i="5"/>
  <c r="B5" i="5"/>
  <c r="V4" i="5"/>
  <c r="V3" i="5"/>
  <c r="Z3" i="5" s="1"/>
  <c r="AA3" i="5" s="1"/>
  <c r="B3" i="5"/>
  <c r="V2" i="5"/>
  <c r="Z2" i="5" l="1"/>
  <c r="AA2" i="5" s="1"/>
  <c r="Z4" i="5"/>
  <c r="AA4" i="5" s="1"/>
  <c r="F4" i="4" l="1"/>
  <c r="E6" i="1" l="1"/>
  <c r="E10" i="1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9" i="1"/>
  <c r="I8" i="1"/>
  <c r="I10" i="1" s="1"/>
  <c r="I7" i="1"/>
  <c r="M11" i="1"/>
  <c r="M10" i="1"/>
  <c r="M19" i="1" s="1"/>
  <c r="M9" i="1"/>
  <c r="E5" i="1"/>
  <c r="I11" i="1" l="1"/>
  <c r="M16" i="1" s="1"/>
  <c r="M15" i="1"/>
  <c r="M17" i="1"/>
  <c r="M12" i="1"/>
  <c r="M13" i="1" s="1"/>
</calcChain>
</file>

<file path=xl/comments1.xml><?xml version="1.0" encoding="utf-8"?>
<comments xmlns="http://schemas.openxmlformats.org/spreadsheetml/2006/main">
  <authors>
    <author>Alexis Álvarez</author>
  </authors>
  <commentList>
    <comment ref="C12" authorId="0">
      <text>
        <r>
          <rPr>
            <i/>
            <sz val="12"/>
            <color indexed="81"/>
            <rFont val="Times New Roman"/>
            <family val="1"/>
          </rPr>
          <t>Battle Fortitude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G5" authorId="0">
      <text>
        <r>
          <rPr>
            <i/>
            <sz val="12"/>
            <color indexed="81"/>
            <rFont val="Times New Roman"/>
            <family val="1"/>
          </rPr>
          <t>Weapon Focus +1</t>
        </r>
      </text>
    </comment>
    <comment ref="G6" authorId="0">
      <text>
        <r>
          <rPr>
            <i/>
            <sz val="12"/>
            <color indexed="81"/>
            <rFont val="Times New Roman"/>
            <family val="1"/>
          </rPr>
          <t>Weapon Focus +1</t>
        </r>
      </text>
    </comment>
    <comment ref="G7" authorId="0">
      <text>
        <r>
          <rPr>
            <i/>
            <sz val="12"/>
            <color indexed="81"/>
            <rFont val="Times New Roman"/>
            <family val="1"/>
          </rPr>
          <t>Weapon Focus +1</t>
        </r>
      </text>
    </comment>
    <comment ref="G8" authorId="0">
      <text>
        <r>
          <rPr>
            <i/>
            <sz val="12"/>
            <color indexed="81"/>
            <rFont val="Times New Roman"/>
            <family val="1"/>
          </rPr>
          <t>Weapon Focus +2</t>
        </r>
      </text>
    </comment>
    <comment ref="G12" authorId="0">
      <text>
        <r>
          <rPr>
            <i/>
            <sz val="12"/>
            <color indexed="81"/>
            <rFont val="Times New Roman"/>
            <family val="1"/>
          </rPr>
          <t>Weapon Focus +1</t>
        </r>
      </text>
    </comment>
    <comment ref="G15" authorId="0">
      <text>
        <r>
          <rPr>
            <i/>
            <sz val="12"/>
            <color indexed="81"/>
            <rFont val="Times New Roman"/>
            <family val="1"/>
          </rPr>
          <t>Weapon Focus +1</t>
        </r>
      </text>
    </comment>
    <comment ref="G19" authorId="0">
      <text>
        <r>
          <rPr>
            <i/>
            <sz val="12"/>
            <color indexed="81"/>
            <rFont val="Times New Roman"/>
            <family val="1"/>
          </rPr>
          <t>Weapon Focus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C5" authorId="0">
      <text>
        <r>
          <rPr>
            <i/>
            <sz val="12"/>
            <color indexed="81"/>
            <rFont val="Times New Roman"/>
            <family val="1"/>
          </rPr>
          <t>Battle Fortitude +1</t>
        </r>
      </text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B2" authorId="0">
      <text>
        <r>
          <rPr>
            <i/>
            <sz val="12"/>
            <color indexed="81"/>
            <rFont val="Times New Roman"/>
            <family val="1"/>
          </rPr>
          <t>+1 monk’s belt
+3 shield of faith
+1 haste
+4 shield</t>
        </r>
      </text>
    </comment>
    <comment ref="C3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C4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D4" authorId="0">
      <text>
        <r>
          <rPr>
            <i/>
            <sz val="12"/>
            <color indexed="81"/>
            <rFont val="Times New Roman"/>
            <family val="1"/>
          </rPr>
          <t>barkskin +2</t>
        </r>
      </text>
    </comment>
    <comment ref="C6" authorId="0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K6" authorId="0">
      <text>
        <r>
          <rPr>
            <i/>
            <sz val="12"/>
            <color indexed="81"/>
            <rFont val="Times New Roman"/>
            <family val="1"/>
          </rPr>
          <t>R10</t>
        </r>
      </text>
    </comment>
    <comment ref="B7" authorId="0">
      <text>
        <r>
          <rPr>
            <i/>
            <sz val="12"/>
            <color indexed="81"/>
            <rFont val="Times New Roman"/>
            <family val="1"/>
          </rPr>
          <t>Ninja bonus +1</t>
        </r>
      </text>
    </comment>
    <comment ref="C7" authorId="0">
      <text>
        <r>
          <rPr>
            <i/>
            <sz val="12"/>
            <color indexed="81"/>
            <rFont val="Times New Roman"/>
            <family val="1"/>
          </rPr>
          <t>Uncanny Dodge
Ninja bonus +1</t>
        </r>
      </text>
    </comment>
    <comment ref="D7" authorId="0">
      <text>
        <r>
          <rPr>
            <i/>
            <sz val="12"/>
            <color indexed="81"/>
            <rFont val="Times New Roman"/>
            <family val="1"/>
          </rPr>
          <t>Ninja bonus +1</t>
        </r>
      </text>
    </comment>
    <comment ref="K7" authorId="0">
      <text>
        <r>
          <rPr>
            <i/>
            <sz val="12"/>
            <color indexed="81"/>
            <rFont val="Times New Roman"/>
            <family val="1"/>
          </rPr>
          <t>R10</t>
        </r>
      </text>
    </comment>
    <comment ref="K8" authorId="0">
      <text>
        <r>
          <rPr>
            <i/>
            <sz val="12"/>
            <color indexed="81"/>
            <rFont val="Times New Roman"/>
            <family val="1"/>
          </rPr>
          <t>R10</t>
        </r>
      </text>
    </comment>
  </commentList>
</comments>
</file>

<file path=xl/sharedStrings.xml><?xml version="1.0" encoding="utf-8"?>
<sst xmlns="http://schemas.openxmlformats.org/spreadsheetml/2006/main" count="469" uniqueCount="224">
  <si>
    <t>Character</t>
  </si>
  <si>
    <t>Group</t>
  </si>
  <si>
    <t>Initiative</t>
  </si>
  <si>
    <t>Roll</t>
  </si>
  <si>
    <t>Modified Roll</t>
  </si>
  <si>
    <t>Move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</si>
  <si>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</si>
  <si>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</si>
  <si>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</si>
  <si>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</si>
  <si>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</si>
  <si>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</si>
  <si>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</si>
  <si>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</si>
  <si>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</si>
  <si>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</si>
  <si>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</si>
  <si>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</si>
  <si>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</si>
  <si>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</si>
  <si>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</si>
  <si>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</si>
  <si>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ECL</t>
  </si>
  <si>
    <t>Classes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</si>
  <si>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</si>
  <si>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</si>
  <si>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</si>
  <si>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</si>
  <si>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</si>
  <si>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</si>
  <si>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</si>
  <si>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</si>
  <si>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</si>
  <si>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</si>
  <si>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</si>
  <si>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</si>
  <si>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</si>
  <si>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</si>
  <si>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</si>
  <si>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</si>
  <si>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</si>
  <si>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</si>
  <si>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</si>
  <si>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</si>
  <si>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</si>
  <si>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</si>
  <si>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</si>
  <si>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</si>
  <si>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</si>
  <si>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</si>
  <si>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</si>
  <si>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</si>
  <si>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</si>
  <si>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</si>
  <si>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</si>
  <si>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</si>
  <si>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</si>
  <si>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</si>
  <si>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</si>
  <si>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</si>
  <si>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</si>
  <si>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</si>
  <si>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</si>
  <si>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</si>
  <si>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</si>
  <si>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</si>
  <si>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</si>
  <si>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</si>
  <si>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</si>
  <si>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</si>
  <si>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</si>
  <si>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</si>
  <si>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</si>
  <si>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</si>
  <si>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</si>
  <si>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</si>
  <si>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Targeting</t>
  </si>
  <si>
    <t>Stoneskin</t>
  </si>
  <si>
    <t>Caleb</t>
  </si>
  <si>
    <t>Jason</t>
  </si>
  <si>
    <t>Kali</t>
  </si>
  <si>
    <t>Magpie</t>
  </si>
  <si>
    <t>20’</t>
  </si>
  <si>
    <t>Beguiler-Visionary</t>
  </si>
  <si>
    <t>Diviner-Cleric</t>
  </si>
  <si>
    <t>Scout</t>
  </si>
  <si>
    <t>40’</t>
  </si>
  <si>
    <t>Imm</t>
  </si>
  <si>
    <t>30’</t>
  </si>
  <si>
    <t>Expires on Round</t>
  </si>
  <si>
    <t>Duration (Rounds)</t>
  </si>
  <si>
    <t>CL</t>
  </si>
  <si>
    <t>Cast on Round</t>
  </si>
  <si>
    <t>Spell</t>
  </si>
  <si>
    <t>Applied</t>
  </si>
  <si>
    <t>q</t>
  </si>
  <si>
    <t>þ</t>
  </si>
  <si>
    <t>Current Round</t>
  </si>
  <si>
    <t>Expired</t>
  </si>
  <si>
    <t>Target Character</t>
  </si>
  <si>
    <t>Githyanki</t>
  </si>
  <si>
    <t>Aurra Sing</t>
  </si>
  <si>
    <t>Cad Bane</t>
  </si>
  <si>
    <t>Robobino</t>
  </si>
  <si>
    <t>Shahan Alama</t>
  </si>
  <si>
    <t>Davtokk</t>
  </si>
  <si>
    <t>Fighter-Dervish</t>
  </si>
  <si>
    <t>Githyanki Fighter</t>
  </si>
  <si>
    <t>Force Net</t>
  </si>
  <si>
    <t>Air Genasi 1 Ninja 5 Scout 6</t>
  </si>
  <si>
    <t>Darkvision 60’</t>
  </si>
  <si>
    <t>Levitate CL 5 1/day</t>
  </si>
  <si>
    <t>Save Notes</t>
  </si>
  <si>
    <t>Other Abillities</t>
  </si>
  <si>
    <t>+3 vs. air spells &amp; effects</t>
  </si>
  <si>
    <t>Immune to Suffocation</t>
  </si>
  <si>
    <t>Armor</t>
  </si>
  <si>
    <t>AC+</t>
  </si>
  <si>
    <t>Plastic Plate +2</t>
  </si>
  <si>
    <t>Latex Plate +4</t>
  </si>
  <si>
    <t>Ensnarement</t>
  </si>
  <si>
    <t>Planar Stalker is a modified extra-</t>
  </si>
  <si>
    <t>planar version of Darkwood Stalker.</t>
  </si>
  <si>
    <t>Githyanki Fighter 2 Rogue 5 Planar Stalker 6</t>
  </si>
  <si>
    <t>Fauxskin Getup +5</t>
  </si>
  <si>
    <t>Leather +5</t>
  </si>
  <si>
    <t>Banded Mail +3</t>
  </si>
  <si>
    <t>Breastplate +1</t>
  </si>
  <si>
    <t>Humanbane Rapier</t>
  </si>
  <si>
    <t>Githyanki, Wiz</t>
  </si>
  <si>
    <t>Sudden Strike +3d6; Skirmish +2d6, +1 AC</t>
  </si>
  <si>
    <t>Laser Heavy Crossbow +2</t>
  </si>
  <si>
    <t>Electric Longsword +4</t>
  </si>
  <si>
    <t>Light Saber +5</t>
  </si>
  <si>
    <t>Sap of Cold +3</t>
  </si>
  <si>
    <t>1d3 + 1d6 cold (nonlethal)</t>
  </si>
  <si>
    <t>1d6 + 4 + 2d6 vs. humans</t>
  </si>
  <si>
    <t>Harpoon Musket +3</t>
  </si>
  <si>
    <t>1d12 + 3 + impale</t>
  </si>
  <si>
    <t>1d10 fire + 2 fire</t>
  </si>
  <si>
    <t>1d8 + 4 + 3 + 1d6 electric</t>
  </si>
  <si>
    <t>Gi Wiz</t>
  </si>
  <si>
    <t>Gi Fighter</t>
  </si>
  <si>
    <t>Kuo-toa Swashbuckler 11</t>
  </si>
  <si>
    <t>GiWiz</t>
  </si>
  <si>
    <t>MW Greatsword</t>
  </si>
  <si>
    <t>Weapon Focus</t>
  </si>
  <si>
    <t>1d10 + 5 + 3 + 1d6 fire/18-20</t>
  </si>
  <si>
    <t>MW Composite Longbow, Str +1</t>
  </si>
  <si>
    <t>Sneak Attack +5d6</t>
  </si>
  <si>
    <r>
      <t xml:space="preserve">the </t>
    </r>
    <r>
      <rPr>
        <i/>
        <sz val="12"/>
        <color theme="1"/>
        <rFont val="Times New Roman"/>
        <family val="1"/>
      </rPr>
      <t xml:space="preserve">fly </t>
    </r>
    <r>
      <rPr>
        <sz val="12"/>
        <color theme="1"/>
        <rFont val="Times New Roman"/>
        <family val="1"/>
      </rPr>
      <t>spell (CL 9) 3 times per day.</t>
    </r>
  </si>
  <si>
    <r>
      <t xml:space="preserve">All arch-enemies are wearing a </t>
    </r>
    <r>
      <rPr>
        <b/>
        <sz val="12"/>
        <color theme="1"/>
        <rFont val="Times New Roman"/>
        <family val="1"/>
      </rPr>
      <t>Gorget of Flight</t>
    </r>
    <r>
      <rPr>
        <sz val="12"/>
        <color theme="1"/>
        <rFont val="Times New Roman"/>
        <family val="1"/>
      </rPr>
      <t>, capable of bestowing</t>
    </r>
  </si>
  <si>
    <t>Kali (Elf)</t>
  </si>
  <si>
    <t>Magpie (Gnome)</t>
  </si>
  <si>
    <t>* Cad Bane is a specialist in hunting humans</t>
  </si>
  <si>
    <r>
      <t xml:space="preserve">Caleb </t>
    </r>
    <r>
      <rPr>
        <sz val="12"/>
        <color rgb="FFFF0000"/>
        <rFont val="Times New Roman"/>
        <family val="1"/>
      </rPr>
      <t>(Human)*</t>
    </r>
  </si>
  <si>
    <r>
      <t xml:space="preserve">Jason </t>
    </r>
    <r>
      <rPr>
        <sz val="12"/>
        <color rgb="FFFF0000"/>
        <rFont val="Times New Roman"/>
        <family val="1"/>
      </rPr>
      <t>(Human)*</t>
    </r>
  </si>
  <si>
    <t>Dodge, Track, Ancient Foe (Human) +4</t>
  </si>
  <si>
    <t>Darkvision 30’, Improved Uncanny Dodge</t>
  </si>
  <si>
    <t>1d10+4+2d6 fire</t>
  </si>
  <si>
    <t>QL Heavy Crossbow +4 of Fury</t>
  </si>
  <si>
    <t>20’/50’</t>
  </si>
  <si>
    <t>Handgun of Electrocution</t>
  </si>
  <si>
    <t>1d3 + 1d20 electric</t>
  </si>
  <si>
    <t>Harpoon Minimusket +2</t>
  </si>
  <si>
    <t>1d10 + 2 + impale</t>
  </si>
  <si>
    <t>* Davtokk’s favored enemy is humans</t>
  </si>
  <si>
    <t>Favored Enemy (Human)</t>
  </si>
  <si>
    <t>Handgun +1 of Fireballs</t>
  </si>
  <si>
    <t>1d10 + 1 + 3d6 fire DC 18</t>
  </si>
  <si>
    <r>
      <t xml:space="preserve">Fighters 1 and Wizards 2 </t>
    </r>
    <r>
      <rPr>
        <i/>
        <sz val="12"/>
        <color theme="1"/>
        <rFont val="Times New Roman"/>
        <family val="1"/>
      </rPr>
      <t>[mage armor]</t>
    </r>
  </si>
  <si>
    <t>Githyanki Fighter 1</t>
  </si>
  <si>
    <t>Githyanki Fighter 2</t>
  </si>
  <si>
    <t>Githyanki Fighter 3</t>
  </si>
  <si>
    <t>Githyanki Fighter 4</t>
  </si>
  <si>
    <t>Githyanki Fighter 5</t>
  </si>
  <si>
    <t>Githyanki Fighter 6</t>
  </si>
  <si>
    <t>Githyanki Fighter 7</t>
  </si>
  <si>
    <t>Githyanki Fighter 8</t>
  </si>
  <si>
    <t>Githyanki Fighter 9</t>
  </si>
  <si>
    <t>Gi Wiz 1</t>
  </si>
  <si>
    <t>Gi Wiz 2</t>
  </si>
  <si>
    <t>Gi Wiz 3</t>
  </si>
  <si>
    <t>Gi Wiz 4</t>
  </si>
  <si>
    <t>Gi Wiz 5</t>
  </si>
  <si>
    <t>Gi Wiz 6</t>
  </si>
  <si>
    <t>Gi Wiz 7</t>
  </si>
  <si>
    <t>Gi Wiz 8</t>
  </si>
  <si>
    <t>Acrobatic Charge, Improved Flanking, Lucky</t>
  </si>
  <si>
    <t xml:space="preserve">Grace +2, Insightful Strike, Dodge Bonus +2, </t>
  </si>
  <si>
    <t>Power Attack, Cleave, Improved Sunder</t>
  </si>
  <si>
    <t>Ooze Genasi Ranger 8</t>
  </si>
  <si>
    <t>Earth Genasi Fighter 9</t>
  </si>
  <si>
    <t>Cold Whip +2</t>
  </si>
  <si>
    <t>Rhino’s Rush</t>
  </si>
  <si>
    <t>Returning Javelin +3</t>
  </si>
  <si>
    <t>1d6 + 3</t>
  </si>
  <si>
    <t>1d3 + 2 + 1d6 cold</t>
  </si>
  <si>
    <t>2d6 + 1 / 19-20</t>
  </si>
  <si>
    <t>1d8+1 / x3</t>
  </si>
  <si>
    <t>Greater Mage Armor</t>
  </si>
  <si>
    <t>Mass Fly</t>
  </si>
  <si>
    <t>Mass Resist Energy (Fire)</t>
  </si>
  <si>
    <t>R30</t>
  </si>
  <si>
    <t>Greater Mirror Image</t>
  </si>
  <si>
    <t>Shield of Faith +2</t>
  </si>
  <si>
    <t>?</t>
  </si>
  <si>
    <t>Freedom of Movement</t>
  </si>
  <si>
    <t>Haste</t>
  </si>
  <si>
    <t>Githyanki Wizzes</t>
  </si>
  <si>
    <t>—</t>
  </si>
  <si>
    <t>Handgun, 2nd Attack</t>
  </si>
  <si>
    <t>Handgun, 3rd Attack</t>
  </si>
  <si>
    <t>Returning Electric Darts +3</t>
  </si>
  <si>
    <t>1d4 + 3 + 1d6 electric</t>
  </si>
  <si>
    <t>MW Quarterstaff</t>
  </si>
  <si>
    <t>1d6</t>
  </si>
  <si>
    <t>Ranged Touch Attack</t>
  </si>
  <si>
    <t>Ray of Frost, 1d3 cold</t>
  </si>
  <si>
    <t>Sap, 2nd Attack</t>
  </si>
  <si>
    <t>Sap, 3rd Attack</t>
  </si>
  <si>
    <t>R10</t>
  </si>
  <si>
    <t>Shahan has a timer-detonated bomb (see Siu-Ling’s demolitions for stats).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</si>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</sst>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i/>
      <sz val="12"/>
      <color indexed="81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color theme="0"/>
      <name val="Times New Roman"/>
      <family val="2"/>
    </font>
    <font>
      <sz val="12"/>
      <color theme="1"/>
      <name val="Wingdings"/>
      <charset val="2"/>
    </font>
    <font>
      <sz val="13"/>
      <name val="Wingdings"/>
      <charset val="2"/>
    </font>
    <font>
      <sz val="20"/>
      <color theme="1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</font>
    <font>
      <sz val="12"/>
      <color rgb="FFFF0000"/>
      <name val="Times New Roman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11"/>
        <bgColor indexed="64"/>
      </patternFill>
    </fill>
  </fills>
  <borders count="63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19" borderId="30" xfId="0" applyFont="1" applyFill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center" wrapText="1"/>
    </xf>
    <xf numFmtId="0" fontId="0" fillId="18" borderId="29" xfId="0" applyFill="1" applyBorder="1" applyAlignment="1">
      <alignment horizontal="center"/>
    </xf>
    <xf numFmtId="0" fontId="8" fillId="17" borderId="31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/>
    </xf>
    <xf numFmtId="0" fontId="9" fillId="17" borderId="33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7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19" borderId="54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right"/>
    </xf>
    <xf numFmtId="0" fontId="2" fillId="3" borderId="42" xfId="0" applyFont="1" applyFill="1" applyBorder="1" applyAlignment="1">
      <alignment horizontal="right"/>
    </xf>
    <xf numFmtId="0" fontId="2" fillId="3" borderId="44" xfId="0" applyFont="1" applyFill="1" applyBorder="1" applyAlignment="1">
      <alignment horizontal="right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6" borderId="39" xfId="0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3" borderId="58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/>
    </xf>
    <xf numFmtId="0" fontId="2" fillId="21" borderId="19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6" fillId="22" borderId="25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15" fillId="17" borderId="8" xfId="0" applyFont="1" applyFill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7" borderId="57" xfId="0" applyFont="1" applyFill="1" applyBorder="1" applyAlignment="1">
      <alignment horizontal="center"/>
    </xf>
    <xf numFmtId="0" fontId="5" fillId="8" borderId="57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25" borderId="29" xfId="5" applyNumberFormat="1" applyFont="1" applyFill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21" borderId="29" xfId="5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16" fillId="17" borderId="29" xfId="0" applyFont="1" applyFill="1" applyBorder="1" applyAlignment="1">
      <alignment horizontal="center" vertical="center"/>
    </xf>
    <xf numFmtId="1" fontId="5" fillId="19" borderId="54" xfId="0" applyNumberFormat="1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16" borderId="16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1" fillId="5" borderId="49" xfId="0" applyFont="1" applyFill="1" applyBorder="1" applyAlignment="1">
      <alignment horizontal="right"/>
    </xf>
    <xf numFmtId="164" fontId="20" fillId="5" borderId="50" xfId="0" applyNumberFormat="1" applyFont="1" applyFill="1" applyBorder="1" applyAlignment="1">
      <alignment horizontal="center"/>
    </xf>
    <xf numFmtId="0" fontId="20" fillId="5" borderId="51" xfId="0" applyFont="1" applyFill="1" applyBorder="1" applyAlignment="1">
      <alignment horizontal="center"/>
    </xf>
    <xf numFmtId="0" fontId="21" fillId="5" borderId="42" xfId="0" applyFont="1" applyFill="1" applyBorder="1" applyAlignment="1">
      <alignment horizontal="right"/>
    </xf>
    <xf numFmtId="0" fontId="20" fillId="5" borderId="0" xfId="0" applyFont="1" applyFill="1" applyBorder="1" applyAlignment="1">
      <alignment horizontal="center"/>
    </xf>
    <xf numFmtId="0" fontId="20" fillId="5" borderId="43" xfId="0" applyFont="1" applyFill="1" applyBorder="1" applyAlignment="1">
      <alignment horizontal="center"/>
    </xf>
    <xf numFmtId="164" fontId="20" fillId="5" borderId="0" xfId="0" applyNumberFormat="1" applyFont="1" applyFill="1" applyBorder="1" applyAlignment="1">
      <alignment horizontal="center"/>
    </xf>
    <xf numFmtId="0" fontId="21" fillId="5" borderId="44" xfId="0" applyFont="1" applyFill="1" applyBorder="1" applyAlignment="1">
      <alignment horizontal="right"/>
    </xf>
    <xf numFmtId="164" fontId="20" fillId="5" borderId="45" xfId="0" applyNumberFormat="1" applyFont="1" applyFill="1" applyBorder="1" applyAlignment="1">
      <alignment horizontal="center"/>
    </xf>
    <xf numFmtId="0" fontId="20" fillId="5" borderId="46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16" fillId="19" borderId="2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/>
    </xf>
    <xf numFmtId="0" fontId="0" fillId="0" borderId="35" xfId="0" quotePrefix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/>
    <xf numFmtId="0" fontId="16" fillId="5" borderId="2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2" fillId="0" borderId="0" xfId="0" applyFont="1"/>
    <xf numFmtId="0" fontId="8" fillId="17" borderId="29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7" fillId="22" borderId="57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Percent" xfId="5" builtinId="5"/>
  </cellStyles>
  <dxfs count="167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rgb="FF99FFCC"/>
        </patternFill>
      </fill>
    </dxf>
    <dxf>
      <font>
        <b val="0"/>
        <i/>
        <strike val="0"/>
      </font>
      <fill>
        <patternFill>
          <bgColor theme="0" tint="-0.2499465926084170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FF00"/>
      <color rgb="FF99FF99"/>
      <color rgb="FFFF00FF"/>
      <color rgb="FF00FFFF"/>
      <color rgb="FF008000"/>
      <color rgb="FF9999FF"/>
      <color rgb="FFFF9933"/>
      <color rgb="FF99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7</c:v>
                </c:pt>
                <c:pt idx="3">
                  <c:v>20</c:v>
                </c:pt>
                <c:pt idx="4">
                  <c:v>19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19</c:v>
                </c:pt>
                <c:pt idx="2">
                  <c:v>19</c:v>
                </c:pt>
                <c:pt idx="3">
                  <c:v>20</c:v>
                </c:pt>
                <c:pt idx="4">
                  <c:v>32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23</c:v>
                </c:pt>
                <c:pt idx="3">
                  <c:v>26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32</c:v>
                </c:pt>
                <c:pt idx="2">
                  <c:v>29</c:v>
                </c:pt>
                <c:pt idx="3">
                  <c:v>33</c:v>
                </c:pt>
                <c:pt idx="4">
                  <c:v>68</c:v>
                </c:pt>
                <c:pt idx="5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78752"/>
        <c:axId val="40788736"/>
        <c:axId val="176118400"/>
      </c:area3DChart>
      <c:catAx>
        <c:axId val="40778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0788736"/>
        <c:crosses val="autoZero"/>
        <c:auto val="1"/>
        <c:lblAlgn val="ctr"/>
        <c:lblOffset val="100"/>
        <c:noMultiLvlLbl val="0"/>
      </c:catAx>
      <c:valAx>
        <c:axId val="4078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0778752"/>
        <c:crosses val="autoZero"/>
        <c:crossBetween val="midCat"/>
      </c:valAx>
      <c:serAx>
        <c:axId val="176118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078873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19</c:v>
                </c:pt>
                <c:pt idx="5">
                  <c:v>23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19</c:v>
                </c:pt>
                <c:pt idx="3">
                  <c:v>22</c:v>
                </c:pt>
                <c:pt idx="4">
                  <c:v>32</c:v>
                </c:pt>
                <c:pt idx="5">
                  <c:v>34</c:v>
                </c:pt>
                <c:pt idx="6">
                  <c:v>68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21</c:v>
                </c:pt>
                <c:pt idx="3">
                  <c:v>33</c:v>
                </c:pt>
                <c:pt idx="4">
                  <c:v>29</c:v>
                </c:pt>
                <c:pt idx="5">
                  <c:v>37</c:v>
                </c:pt>
                <c:pt idx="6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85824"/>
        <c:axId val="41487360"/>
        <c:axId val="40805696"/>
      </c:area3DChart>
      <c:catAx>
        <c:axId val="41485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487360"/>
        <c:crosses val="autoZero"/>
        <c:auto val="1"/>
        <c:lblAlgn val="ctr"/>
        <c:lblOffset val="100"/>
        <c:noMultiLvlLbl val="0"/>
      </c:catAx>
      <c:valAx>
        <c:axId val="4148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485824"/>
        <c:crosses val="autoZero"/>
        <c:crossBetween val="midCat"/>
      </c:valAx>
      <c:serAx>
        <c:axId val="4080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4148736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12</c:v>
                </c:pt>
                <c:pt idx="2">
                  <c:v>7</c:v>
                </c:pt>
                <c:pt idx="3">
                  <c:v>20</c:v>
                </c:pt>
                <c:pt idx="4">
                  <c:v>19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33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19</c:v>
                </c:pt>
                <c:pt idx="2">
                  <c:v>19</c:v>
                </c:pt>
                <c:pt idx="3">
                  <c:v>20</c:v>
                </c:pt>
                <c:pt idx="4">
                  <c:v>32</c:v>
                </c:pt>
                <c:pt idx="5">
                  <c:v>29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20</c:v>
                </c:pt>
                <c:pt idx="2">
                  <c:v>23</c:v>
                </c:pt>
                <c:pt idx="3">
                  <c:v>26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19</c:v>
                </c:pt>
                <c:pt idx="1">
                  <c:v>32</c:v>
                </c:pt>
                <c:pt idx="2">
                  <c:v>29</c:v>
                </c:pt>
                <c:pt idx="3">
                  <c:v>33</c:v>
                </c:pt>
                <c:pt idx="4">
                  <c:v>68</c:v>
                </c:pt>
                <c:pt idx="5">
                  <c:v>77</c:v>
                </c:pt>
              </c:numCache>
            </c:numRef>
          </c:val>
        </c:ser>
        <c:bandFmts/>
        <c:axId val="41554688"/>
        <c:axId val="41556224"/>
        <c:axId val="41502016"/>
      </c:surface3DChart>
      <c:catAx>
        <c:axId val="41554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556224"/>
        <c:crosses val="autoZero"/>
        <c:auto val="1"/>
        <c:lblAlgn val="ctr"/>
        <c:lblOffset val="100"/>
        <c:noMultiLvlLbl val="0"/>
      </c:catAx>
      <c:valAx>
        <c:axId val="4155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554688"/>
        <c:crosses val="autoZero"/>
        <c:crossBetween val="midCat"/>
      </c:valAx>
      <c:serAx>
        <c:axId val="41502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55622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7</xdr:row>
      <xdr:rowOff>0</xdr:rowOff>
    </xdr:from>
    <xdr:to>
      <xdr:col>14</xdr:col>
      <xdr:colOff>297180</xdr:colOff>
      <xdr:row>11</xdr:row>
      <xdr:rowOff>1893</xdr:rowOff>
    </xdr:to>
    <xdr:grpSp>
      <xdr:nvGrpSpPr>
        <xdr:cNvPr id="6" name="Group 5"/>
        <xdr:cNvGrpSpPr/>
      </xdr:nvGrpSpPr>
      <xdr:grpSpPr>
        <a:xfrm>
          <a:off x="10264140" y="1394460"/>
          <a:ext cx="2971800" cy="794373"/>
          <a:chOff x="6804660" y="601980"/>
          <a:chExt cx="2407921" cy="596253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812281" y="601980"/>
            <a:ext cx="2400300" cy="596253"/>
          </a:xfrm>
          <a:prstGeom prst="rect">
            <a:avLst/>
          </a:prstGeom>
        </xdr:spPr>
      </xdr:pic>
      <xdr:sp macro="" textlink="">
        <xdr:nvSpPr>
          <xdr:cNvPr id="4" name="Rectangle 3"/>
          <xdr:cNvSpPr/>
        </xdr:nvSpPr>
        <xdr:spPr>
          <a:xfrm>
            <a:off x="6804660" y="899160"/>
            <a:ext cx="1135380" cy="12954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7376160" y="601980"/>
            <a:ext cx="1135380" cy="12954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1</xdr:rowOff>
    </xdr:from>
    <xdr:to>
      <xdr:col>19</xdr:col>
      <xdr:colOff>182880</xdr:colOff>
      <xdr:row>9</xdr:row>
      <xdr:rowOff>46219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520" y="792481"/>
          <a:ext cx="3154680" cy="1036818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</xdr:row>
      <xdr:rowOff>34006</xdr:rowOff>
    </xdr:from>
    <xdr:to>
      <xdr:col>14</xdr:col>
      <xdr:colOff>114300</xdr:colOff>
      <xdr:row>3</xdr:row>
      <xdr:rowOff>55623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5521" y="232126"/>
          <a:ext cx="1600199" cy="417857"/>
        </a:xfrm>
        <a:prstGeom prst="rect">
          <a:avLst/>
        </a:prstGeom>
      </xdr:spPr>
    </xdr:pic>
    <xdr:clientData/>
  </xdr:twoCellAnchor>
  <xdr:twoCellAnchor>
    <xdr:from>
      <xdr:col>4</xdr:col>
      <xdr:colOff>350520</xdr:colOff>
      <xdr:row>2</xdr:row>
      <xdr:rowOff>91440</xdr:rowOff>
    </xdr:from>
    <xdr:to>
      <xdr:col>19</xdr:col>
      <xdr:colOff>175260</xdr:colOff>
      <xdr:row>2</xdr:row>
      <xdr:rowOff>121920</xdr:rowOff>
    </xdr:to>
    <xdr:cxnSp macro="">
      <xdr:nvCxnSpPr>
        <xdr:cNvPr id="8" name="Straight Arrow Connector 7"/>
        <xdr:cNvCxnSpPr/>
      </xdr:nvCxnSpPr>
      <xdr:spPr>
        <a:xfrm flipH="1">
          <a:off x="2697480" y="487680"/>
          <a:ext cx="6515100" cy="30480"/>
        </a:xfrm>
        <a:prstGeom prst="straightConnector1">
          <a:avLst/>
        </a:prstGeom>
        <a:ln w="22225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</xdr:row>
      <xdr:rowOff>0</xdr:rowOff>
    </xdr:from>
    <xdr:to>
      <xdr:col>12</xdr:col>
      <xdr:colOff>22860</xdr:colOff>
      <xdr:row>2</xdr:row>
      <xdr:rowOff>99060</xdr:rowOff>
    </xdr:to>
    <xdr:sp macro="" textlink="">
      <xdr:nvSpPr>
        <xdr:cNvPr id="11" name="Rectangle 10"/>
        <xdr:cNvSpPr/>
      </xdr:nvSpPr>
      <xdr:spPr>
        <a:xfrm>
          <a:off x="6073140" y="396240"/>
          <a:ext cx="906780" cy="9906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167640</xdr:colOff>
      <xdr:row>1</xdr:row>
      <xdr:rowOff>167640</xdr:rowOff>
    </xdr:from>
    <xdr:to>
      <xdr:col>32</xdr:col>
      <xdr:colOff>228601</xdr:colOff>
      <xdr:row>7</xdr:row>
      <xdr:rowOff>158326</xdr:rowOff>
    </xdr:to>
    <xdr:grpSp>
      <xdr:nvGrpSpPr>
        <xdr:cNvPr id="15" name="Group 14"/>
        <xdr:cNvGrpSpPr/>
      </xdr:nvGrpSpPr>
      <xdr:grpSpPr>
        <a:xfrm>
          <a:off x="9204960" y="365760"/>
          <a:ext cx="3924301" cy="1179406"/>
          <a:chOff x="9204960" y="365760"/>
          <a:chExt cx="3924301" cy="117940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204960" y="365760"/>
            <a:ext cx="3924301" cy="1179406"/>
          </a:xfrm>
          <a:prstGeom prst="rect">
            <a:avLst/>
          </a:prstGeom>
        </xdr:spPr>
      </xdr:pic>
      <xdr:sp macro="" textlink="">
        <xdr:nvSpPr>
          <xdr:cNvPr id="4" name="Rounded Rectangle 3"/>
          <xdr:cNvSpPr/>
        </xdr:nvSpPr>
        <xdr:spPr>
          <a:xfrm>
            <a:off x="11521441" y="701040"/>
            <a:ext cx="1584960" cy="167640"/>
          </a:xfrm>
          <a:prstGeom prst="roundRect">
            <a:avLst/>
          </a:prstGeom>
          <a:noFill/>
          <a:ln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ounded Rectangle 4"/>
          <xdr:cNvSpPr/>
        </xdr:nvSpPr>
        <xdr:spPr>
          <a:xfrm>
            <a:off x="11590021" y="541020"/>
            <a:ext cx="1508760" cy="144780"/>
          </a:xfrm>
          <a:prstGeom prst="roundRect">
            <a:avLst/>
          </a:prstGeom>
          <a:noFill/>
          <a:ln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Rounded Rectangle 5"/>
          <xdr:cNvSpPr/>
        </xdr:nvSpPr>
        <xdr:spPr>
          <a:xfrm>
            <a:off x="12443461" y="876300"/>
            <a:ext cx="670560" cy="167640"/>
          </a:xfrm>
          <a:prstGeom prst="roundRect">
            <a:avLst>
              <a:gd name="adj" fmla="val 28667"/>
            </a:avLst>
          </a:prstGeom>
          <a:noFill/>
          <a:ln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ounded Rectangle 11"/>
          <xdr:cNvSpPr/>
        </xdr:nvSpPr>
        <xdr:spPr>
          <a:xfrm>
            <a:off x="9227820" y="1028700"/>
            <a:ext cx="3886200" cy="167640"/>
          </a:xfrm>
          <a:prstGeom prst="roundRect">
            <a:avLst/>
          </a:prstGeom>
          <a:noFill/>
          <a:ln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ounded Rectangle 12"/>
          <xdr:cNvSpPr/>
        </xdr:nvSpPr>
        <xdr:spPr>
          <a:xfrm>
            <a:off x="9220200" y="1219200"/>
            <a:ext cx="281940" cy="152400"/>
          </a:xfrm>
          <a:prstGeom prst="roundRect">
            <a:avLst>
              <a:gd name="adj" fmla="val 28667"/>
            </a:avLst>
          </a:prstGeom>
          <a:noFill/>
          <a:ln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Rounded Rectangle 13"/>
          <xdr:cNvSpPr/>
        </xdr:nvSpPr>
        <xdr:spPr>
          <a:xfrm>
            <a:off x="9227820" y="838200"/>
            <a:ext cx="502920" cy="182880"/>
          </a:xfrm>
          <a:prstGeom prst="roundRect">
            <a:avLst>
              <a:gd name="adj" fmla="val 28667"/>
            </a:avLst>
          </a:prstGeom>
          <a:noFill/>
          <a:ln>
            <a:solidFill>
              <a:srgbClr val="00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9</xdr:col>
      <xdr:colOff>0</xdr:colOff>
      <xdr:row>13</xdr:row>
      <xdr:rowOff>0</xdr:rowOff>
    </xdr:from>
    <xdr:to>
      <xdr:col>15</xdr:col>
      <xdr:colOff>142611</xdr:colOff>
      <xdr:row>18</xdr:row>
      <xdr:rowOff>99059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5520" y="2575560"/>
          <a:ext cx="1925691" cy="108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showGridLines="0" tabSelected="1" topLeftCell="L1" zoomScaleNormal="100" workbookViewId="0">
      <selection activeCell="N4" sqref="N4"/>
    </sheetView>
  </sheetViews>
  <sheetFormatPr defaultRowHeight="15.6" x14ac:dyDescent="0.3"/>
  <cols>
    <col min="1" max="1" width="14.796875" bestFit="1" customWidth="1"/>
    <col min="2" max="2" width="6.296875" style="20" bestFit="1" customWidth="1"/>
    <col min="3" max="3" width="8.5" style="20" bestFit="1" customWidth="1"/>
    <col min="4" max="4" width="3.8984375" style="20" bestFit="1" customWidth="1"/>
    <col min="5" max="5" width="8.3984375" style="20" bestFit="1" customWidth="1"/>
    <col min="6" max="6" width="6.8984375" style="20" bestFit="1" customWidth="1"/>
    <col min="7" max="7" width="2.69921875" customWidth="1"/>
    <col min="8" max="8" width="14.5" bestFit="1" customWidth="1"/>
    <col min="9" max="9" width="4.8984375" bestFit="1" customWidth="1"/>
    <col min="10" max="10" width="16.69921875" bestFit="1" customWidth="1"/>
    <col min="11" max="11" width="6.3984375" bestFit="1" customWidth="1"/>
    <col min="12" max="12" width="19.59765625" bestFit="1" customWidth="1"/>
    <col min="13" max="13" width="4.8984375" bestFit="1" customWidth="1"/>
    <col min="14" max="14" width="15.796875" bestFit="1" customWidth="1"/>
    <col min="15" max="15" width="4.796875" bestFit="1" customWidth="1"/>
    <col min="16" max="16" width="36.8984375" bestFit="1" customWidth="1"/>
  </cols>
  <sheetData>
    <row r="1" spans="1:16" s="93" customFormat="1" ht="31.8" thickBot="1" x14ac:dyDescent="0.35">
      <c r="A1" s="91" t="s">
        <v>0</v>
      </c>
      <c r="B1" s="91" t="s">
        <v>1</v>
      </c>
      <c r="C1" s="91" t="s">
        <v>2</v>
      </c>
      <c r="D1" s="92" t="s">
        <v>42</v>
      </c>
      <c r="E1" s="91" t="s">
        <v>4</v>
      </c>
      <c r="F1" s="91" t="s">
        <v>5</v>
      </c>
      <c r="H1" s="94" t="s">
        <v>20</v>
      </c>
      <c r="I1" s="94"/>
      <c r="J1" s="94"/>
      <c r="K1"/>
      <c r="L1" s="94" t="s">
        <v>21</v>
      </c>
      <c r="M1" s="94"/>
      <c r="N1" s="94"/>
      <c r="O1" s="94"/>
      <c r="P1"/>
    </row>
    <row r="2" spans="1:16" ht="16.8" thickTop="1" thickBot="1" x14ac:dyDescent="0.35">
      <c r="A2" s="72" t="s">
        <v>104</v>
      </c>
      <c r="B2" s="72">
        <v>2</v>
      </c>
      <c r="C2" s="71">
        <v>2</v>
      </c>
      <c r="D2" s="108">
        <v>20</v>
      </c>
      <c r="E2" s="71">
        <f t="shared" ref="E2:E12" si="0">SUM(C2:D2)</f>
        <v>22</v>
      </c>
      <c r="F2" s="71" t="s">
        <v>88</v>
      </c>
      <c r="H2" s="75" t="s">
        <v>0</v>
      </c>
      <c r="I2" s="76" t="s">
        <v>22</v>
      </c>
      <c r="J2" s="77" t="s">
        <v>23</v>
      </c>
      <c r="L2" s="86" t="s">
        <v>0</v>
      </c>
      <c r="M2" s="87" t="s">
        <v>22</v>
      </c>
      <c r="N2" s="87" t="s">
        <v>116</v>
      </c>
      <c r="O2" s="87" t="s">
        <v>117</v>
      </c>
      <c r="P2" s="88" t="s">
        <v>74</v>
      </c>
    </row>
    <row r="3" spans="1:16" x14ac:dyDescent="0.3">
      <c r="A3" s="72" t="s">
        <v>105</v>
      </c>
      <c r="B3" s="72">
        <v>2</v>
      </c>
      <c r="C3" s="71">
        <v>3</v>
      </c>
      <c r="D3" s="108">
        <v>18</v>
      </c>
      <c r="E3" s="71">
        <f t="shared" si="0"/>
        <v>21</v>
      </c>
      <c r="F3" s="71" t="s">
        <v>88</v>
      </c>
      <c r="H3" s="78" t="s">
        <v>155</v>
      </c>
      <c r="I3" s="79">
        <v>13</v>
      </c>
      <c r="J3" s="80" t="s">
        <v>84</v>
      </c>
      <c r="L3" s="188" t="s">
        <v>102</v>
      </c>
      <c r="M3" s="189">
        <v>13</v>
      </c>
      <c r="N3" s="189" t="s">
        <v>124</v>
      </c>
      <c r="O3" s="189">
        <f>7+5</f>
        <v>12</v>
      </c>
      <c r="P3" s="183" t="s">
        <v>123</v>
      </c>
    </row>
    <row r="4" spans="1:16" x14ac:dyDescent="0.3">
      <c r="A4" s="189" t="s">
        <v>103</v>
      </c>
      <c r="B4" s="72">
        <v>2</v>
      </c>
      <c r="C4" s="71">
        <v>4</v>
      </c>
      <c r="D4" s="108">
        <v>16</v>
      </c>
      <c r="E4" s="71">
        <f t="shared" si="0"/>
        <v>20</v>
      </c>
      <c r="F4" s="71" t="s">
        <v>161</v>
      </c>
      <c r="H4" s="78" t="s">
        <v>156</v>
      </c>
      <c r="I4" s="81">
        <v>13</v>
      </c>
      <c r="J4" s="80" t="s">
        <v>85</v>
      </c>
      <c r="L4" s="188" t="s">
        <v>101</v>
      </c>
      <c r="M4" s="189">
        <v>12</v>
      </c>
      <c r="N4" s="189" t="s">
        <v>119</v>
      </c>
      <c r="O4" s="189">
        <f>10+4</f>
        <v>14</v>
      </c>
      <c r="P4" s="183" t="s">
        <v>109</v>
      </c>
    </row>
    <row r="5" spans="1:16" x14ac:dyDescent="0.3">
      <c r="A5" s="81" t="s">
        <v>80</v>
      </c>
      <c r="B5" s="81">
        <v>1</v>
      </c>
      <c r="C5" s="71">
        <v>8</v>
      </c>
      <c r="D5" s="108">
        <v>11</v>
      </c>
      <c r="E5" s="71">
        <f t="shared" si="0"/>
        <v>19</v>
      </c>
      <c r="F5" s="71" t="s">
        <v>86</v>
      </c>
      <c r="H5" s="78" t="s">
        <v>152</v>
      </c>
      <c r="I5" s="81">
        <v>13</v>
      </c>
      <c r="J5" s="80" t="s">
        <v>106</v>
      </c>
      <c r="L5" s="188" t="s">
        <v>103</v>
      </c>
      <c r="M5" s="189">
        <v>11</v>
      </c>
      <c r="N5" s="189" t="s">
        <v>125</v>
      </c>
      <c r="O5" s="189">
        <f>2+5</f>
        <v>7</v>
      </c>
      <c r="P5" s="183" t="s">
        <v>143</v>
      </c>
    </row>
    <row r="6" spans="1:16" ht="16.2" thickBot="1" x14ac:dyDescent="0.35">
      <c r="A6" s="81" t="s">
        <v>78</v>
      </c>
      <c r="B6" s="81">
        <v>1</v>
      </c>
      <c r="C6" s="71">
        <v>3</v>
      </c>
      <c r="D6" s="108">
        <v>15</v>
      </c>
      <c r="E6" s="71">
        <f t="shared" si="0"/>
        <v>18</v>
      </c>
      <c r="F6" s="71" t="s">
        <v>88</v>
      </c>
      <c r="H6" s="78" t="s">
        <v>153</v>
      </c>
      <c r="I6" s="81">
        <v>13</v>
      </c>
      <c r="J6" s="80" t="s">
        <v>83</v>
      </c>
      <c r="L6" s="188" t="s">
        <v>104</v>
      </c>
      <c r="M6" s="189">
        <v>10</v>
      </c>
      <c r="N6" s="189" t="s">
        <v>126</v>
      </c>
      <c r="O6" s="189">
        <f>6+3</f>
        <v>9</v>
      </c>
      <c r="P6" s="183" t="s">
        <v>192</v>
      </c>
    </row>
    <row r="7" spans="1:16" x14ac:dyDescent="0.3">
      <c r="A7" s="72" t="s">
        <v>209</v>
      </c>
      <c r="B7" s="72">
        <v>2</v>
      </c>
      <c r="C7" s="71">
        <v>1</v>
      </c>
      <c r="D7" s="108">
        <v>17</v>
      </c>
      <c r="E7" s="71">
        <f t="shared" si="0"/>
        <v>18</v>
      </c>
      <c r="F7" s="71" t="s">
        <v>88</v>
      </c>
      <c r="H7" s="105" t="s">
        <v>24</v>
      </c>
      <c r="I7" s="82">
        <f>AVERAGE(I3:I6)</f>
        <v>13</v>
      </c>
      <c r="J7" s="83"/>
      <c r="L7" s="188" t="s">
        <v>105</v>
      </c>
      <c r="M7" s="189">
        <v>9</v>
      </c>
      <c r="N7" s="189" t="s">
        <v>118</v>
      </c>
      <c r="O7" s="189">
        <v>12</v>
      </c>
      <c r="P7" s="183" t="s">
        <v>191</v>
      </c>
    </row>
    <row r="8" spans="1:16" ht="16.2" thickBot="1" x14ac:dyDescent="0.35">
      <c r="A8" s="78" t="s">
        <v>79</v>
      </c>
      <c r="B8" s="81">
        <v>1</v>
      </c>
      <c r="C8" s="71">
        <v>9</v>
      </c>
      <c r="D8" s="108">
        <v>7</v>
      </c>
      <c r="E8" s="71">
        <f t="shared" si="0"/>
        <v>16</v>
      </c>
      <c r="F8" s="71" t="s">
        <v>86</v>
      </c>
      <c r="H8" s="106" t="s">
        <v>25</v>
      </c>
      <c r="I8" s="84">
        <f>SUM(I3:I6)</f>
        <v>52</v>
      </c>
      <c r="J8" s="80"/>
      <c r="L8" s="89" t="s">
        <v>100</v>
      </c>
      <c r="M8" s="72">
        <v>4</v>
      </c>
      <c r="N8" s="72" t="s">
        <v>127</v>
      </c>
      <c r="O8" s="72">
        <f>5+1</f>
        <v>6</v>
      </c>
      <c r="P8" s="90" t="s">
        <v>170</v>
      </c>
    </row>
    <row r="9" spans="1:16" x14ac:dyDescent="0.3">
      <c r="A9" s="72" t="s">
        <v>102</v>
      </c>
      <c r="B9" s="72">
        <v>2</v>
      </c>
      <c r="C9" s="71">
        <v>2</v>
      </c>
      <c r="D9" s="108">
        <v>14</v>
      </c>
      <c r="E9" s="71">
        <f t="shared" si="0"/>
        <v>16</v>
      </c>
      <c r="F9" s="71" t="s">
        <v>86</v>
      </c>
      <c r="H9" s="106" t="s">
        <v>26</v>
      </c>
      <c r="I9" s="84">
        <f>COUNT(I3:I6)</f>
        <v>4</v>
      </c>
      <c r="J9" s="80"/>
      <c r="L9" s="178" t="s">
        <v>24</v>
      </c>
      <c r="M9" s="179">
        <f>AVERAGE(M3:M8)</f>
        <v>9.8333333333333339</v>
      </c>
      <c r="N9" s="179"/>
      <c r="O9" s="179"/>
      <c r="P9" s="180"/>
    </row>
    <row r="10" spans="1:16" x14ac:dyDescent="0.3">
      <c r="A10" s="81" t="s">
        <v>81</v>
      </c>
      <c r="B10" s="81">
        <v>1</v>
      </c>
      <c r="C10" s="71">
        <v>1</v>
      </c>
      <c r="D10" s="108">
        <v>11</v>
      </c>
      <c r="E10" s="71">
        <f t="shared" si="0"/>
        <v>12</v>
      </c>
      <c r="F10" s="71" t="s">
        <v>82</v>
      </c>
      <c r="H10" s="106" t="s">
        <v>28</v>
      </c>
      <c r="I10" s="101">
        <f>I8/4</f>
        <v>13</v>
      </c>
      <c r="J10" s="80" t="s">
        <v>29</v>
      </c>
      <c r="L10" s="181" t="s">
        <v>25</v>
      </c>
      <c r="M10" s="182">
        <f>SUM(M3:M8)</f>
        <v>59</v>
      </c>
      <c r="N10" s="182"/>
      <c r="O10" s="182"/>
      <c r="P10" s="183"/>
    </row>
    <row r="11" spans="1:16" ht="16.2" thickBot="1" x14ac:dyDescent="0.35">
      <c r="A11" s="72" t="s">
        <v>107</v>
      </c>
      <c r="B11" s="72">
        <v>2</v>
      </c>
      <c r="C11" s="71">
        <v>1</v>
      </c>
      <c r="D11" s="108">
        <v>11</v>
      </c>
      <c r="E11" s="71">
        <f t="shared" si="0"/>
        <v>12</v>
      </c>
      <c r="F11" s="71" t="s">
        <v>82</v>
      </c>
      <c r="H11" s="107" t="s">
        <v>30</v>
      </c>
      <c r="I11" s="102">
        <f>I10*2</f>
        <v>26</v>
      </c>
      <c r="J11" s="85" t="s">
        <v>31</v>
      </c>
      <c r="L11" s="181" t="s">
        <v>26</v>
      </c>
      <c r="M11" s="182">
        <f>COUNT(M3:M8)</f>
        <v>6</v>
      </c>
      <c r="N11" s="182"/>
      <c r="O11" s="182"/>
      <c r="P11" s="183"/>
    </row>
    <row r="12" spans="1:16" ht="16.2" thickTop="1" x14ac:dyDescent="0.3">
      <c r="A12" s="72" t="s">
        <v>101</v>
      </c>
      <c r="B12" s="72">
        <v>2</v>
      </c>
      <c r="C12" s="71">
        <f>4+1</f>
        <v>5</v>
      </c>
      <c r="D12" s="108">
        <v>4</v>
      </c>
      <c r="E12" s="71">
        <f t="shared" si="0"/>
        <v>9</v>
      </c>
      <c r="F12" s="71" t="s">
        <v>86</v>
      </c>
      <c r="H12" s="122"/>
      <c r="I12" s="122"/>
      <c r="J12" s="122"/>
      <c r="L12" s="181" t="s">
        <v>28</v>
      </c>
      <c r="M12" s="184">
        <f>M10/4</f>
        <v>14.75</v>
      </c>
      <c r="N12" s="184"/>
      <c r="O12" s="184"/>
      <c r="P12" s="183" t="s">
        <v>29</v>
      </c>
    </row>
    <row r="13" spans="1:16" ht="16.2" thickBot="1" x14ac:dyDescent="0.35">
      <c r="C13"/>
      <c r="D13"/>
      <c r="E13"/>
      <c r="F13"/>
      <c r="L13" s="185" t="s">
        <v>30</v>
      </c>
      <c r="M13" s="186">
        <f>M12*2</f>
        <v>29.5</v>
      </c>
      <c r="N13" s="186"/>
      <c r="O13" s="186"/>
      <c r="P13" s="187" t="s">
        <v>31</v>
      </c>
    </row>
    <row r="14" spans="1:16" ht="16.2" thickTop="1" x14ac:dyDescent="0.3">
      <c r="B14"/>
      <c r="C14"/>
      <c r="D14" s="108">
        <f t="shared" ref="D14" ca="1" si="1">RANDBETWEEN(1,20)</f>
        <v>6</v>
      </c>
      <c r="E14"/>
      <c r="F14"/>
    </row>
    <row r="15" spans="1:16" x14ac:dyDescent="0.3">
      <c r="B15"/>
      <c r="C15"/>
      <c r="D15"/>
      <c r="E15"/>
      <c r="F15"/>
      <c r="L15" s="74" t="s">
        <v>32</v>
      </c>
      <c r="M15" s="103">
        <f>I10</f>
        <v>13</v>
      </c>
      <c r="N15" s="103"/>
      <c r="P15" t="s">
        <v>121</v>
      </c>
    </row>
    <row r="16" spans="1:16" x14ac:dyDescent="0.3">
      <c r="B16"/>
      <c r="C16"/>
      <c r="D16"/>
      <c r="E16"/>
      <c r="F16"/>
      <c r="L16" s="74" t="s">
        <v>33</v>
      </c>
      <c r="M16" s="103">
        <f>I11</f>
        <v>26</v>
      </c>
      <c r="N16" s="103"/>
      <c r="P16" t="s">
        <v>122</v>
      </c>
    </row>
    <row r="17" spans="2:16" x14ac:dyDescent="0.3">
      <c r="B17"/>
      <c r="C17"/>
      <c r="D17"/>
      <c r="E17"/>
      <c r="F17"/>
      <c r="L17" s="74" t="s">
        <v>34</v>
      </c>
      <c r="M17" s="103">
        <f>I8</f>
        <v>52</v>
      </c>
      <c r="N17" s="103"/>
    </row>
    <row r="18" spans="2:16" x14ac:dyDescent="0.3">
      <c r="B18"/>
      <c r="C18"/>
      <c r="D18"/>
      <c r="E18"/>
      <c r="F18"/>
      <c r="O18" s="103"/>
      <c r="P18" s="201" t="s">
        <v>154</v>
      </c>
    </row>
    <row r="19" spans="2:16" x14ac:dyDescent="0.3">
      <c r="B19"/>
      <c r="C19"/>
      <c r="D19"/>
      <c r="E19"/>
      <c r="F19"/>
      <c r="L19" s="15" t="s">
        <v>35</v>
      </c>
      <c r="M19" s="103">
        <f>M10</f>
        <v>59</v>
      </c>
      <c r="P19" s="201" t="s">
        <v>166</v>
      </c>
    </row>
    <row r="20" spans="2:16" x14ac:dyDescent="0.3">
      <c r="B20"/>
      <c r="C20"/>
      <c r="D20"/>
      <c r="E20"/>
      <c r="F20"/>
    </row>
    <row r="21" spans="2:16" x14ac:dyDescent="0.3">
      <c r="B21"/>
      <c r="C21"/>
      <c r="D21"/>
      <c r="E21"/>
      <c r="F21"/>
    </row>
    <row r="22" spans="2:16" x14ac:dyDescent="0.3">
      <c r="B22"/>
      <c r="C22"/>
      <c r="D22"/>
      <c r="E22"/>
      <c r="F22"/>
    </row>
    <row r="23" spans="2:16" x14ac:dyDescent="0.3">
      <c r="B23"/>
      <c r="C23"/>
      <c r="D23"/>
      <c r="E23"/>
      <c r="F23"/>
    </row>
    <row r="24" spans="2:16" x14ac:dyDescent="0.3">
      <c r="B24"/>
      <c r="C24"/>
      <c r="D24"/>
      <c r="E24"/>
      <c r="F24"/>
    </row>
    <row r="25" spans="2:16" x14ac:dyDescent="0.3">
      <c r="B25"/>
      <c r="C25"/>
      <c r="D25"/>
      <c r="E25"/>
      <c r="F25"/>
    </row>
    <row r="26" spans="2:16" x14ac:dyDescent="0.3">
      <c r="B26"/>
      <c r="C26"/>
      <c r="D26"/>
      <c r="E26"/>
      <c r="F26"/>
    </row>
    <row r="27" spans="2:16" x14ac:dyDescent="0.3">
      <c r="B27"/>
      <c r="C27"/>
      <c r="D27"/>
      <c r="E27"/>
      <c r="F27"/>
    </row>
    <row r="28" spans="2:16" x14ac:dyDescent="0.3">
      <c r="B28"/>
      <c r="C28"/>
      <c r="D28"/>
      <c r="E28"/>
      <c r="F28"/>
    </row>
  </sheetData>
  <sortState ref="A2:F12">
    <sortCondition descending="1" ref="E2:E12"/>
    <sortCondition descending="1" ref="C2:C12"/>
  </sortState>
  <conditionalFormatting sqref="M19">
    <cfRule type="cellIs" dxfId="166" priority="1430" operator="greaterThan">
      <formula>$M$17</formula>
    </cfRule>
    <cfRule type="cellIs" dxfId="165" priority="1431" operator="between">
      <formula>$M$16</formula>
      <formula>$M$17</formula>
    </cfRule>
    <cfRule type="cellIs" dxfId="164" priority="1432" operator="between">
      <formula>$M$15</formula>
      <formula>$M$16</formula>
    </cfRule>
    <cfRule type="cellIs" dxfId="163" priority="1433" operator="lessThan">
      <formula>$M$15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69921875" style="131" bestFit="1" customWidth="1"/>
    <col min="2" max="2" width="22" style="131" bestFit="1" customWidth="1"/>
    <col min="3" max="3" width="7.296875" style="131" bestFit="1" customWidth="1"/>
    <col min="4" max="4" width="3.59765625" style="131" bestFit="1" customWidth="1"/>
    <col min="5" max="5" width="8.5" style="131" bestFit="1" customWidth="1"/>
    <col min="6" max="6" width="9.796875" style="131" bestFit="1" customWidth="1"/>
    <col min="7" max="7" width="7.296875" style="163" bestFit="1" customWidth="1"/>
    <col min="8" max="8" width="7.296875" style="163" customWidth="1"/>
    <col min="9" max="16384" width="8.796875" style="131"/>
  </cols>
  <sheetData>
    <row r="1" spans="1:11" s="162" customFormat="1" ht="31.2" x14ac:dyDescent="0.3">
      <c r="A1" s="165" t="s">
        <v>99</v>
      </c>
      <c r="B1" s="165" t="s">
        <v>93</v>
      </c>
      <c r="C1" s="165" t="s">
        <v>92</v>
      </c>
      <c r="D1" s="165" t="s">
        <v>91</v>
      </c>
      <c r="E1" s="165" t="s">
        <v>90</v>
      </c>
      <c r="F1" s="165" t="s">
        <v>89</v>
      </c>
      <c r="G1" s="165" t="s">
        <v>94</v>
      </c>
      <c r="H1" s="165" t="s">
        <v>98</v>
      </c>
      <c r="J1" s="162" t="s">
        <v>97</v>
      </c>
      <c r="K1" s="169">
        <v>6</v>
      </c>
    </row>
    <row r="2" spans="1:11" ht="16.8" x14ac:dyDescent="0.3">
      <c r="A2" s="166" t="s">
        <v>78</v>
      </c>
      <c r="B2" s="175" t="s">
        <v>200</v>
      </c>
      <c r="C2" s="167">
        <v>-10</v>
      </c>
      <c r="D2" s="167">
        <v>13</v>
      </c>
      <c r="E2" s="167">
        <f>D2*10*60</f>
        <v>7800</v>
      </c>
      <c r="F2" s="167">
        <f t="shared" ref="F2:F3" si="0">E2+C2</f>
        <v>7790</v>
      </c>
      <c r="G2" s="164" t="s">
        <v>96</v>
      </c>
      <c r="H2" s="168" t="s">
        <v>95</v>
      </c>
    </row>
    <row r="3" spans="1:11" ht="16.8" x14ac:dyDescent="0.3">
      <c r="A3" s="166" t="s">
        <v>78</v>
      </c>
      <c r="B3" s="175" t="s">
        <v>201</v>
      </c>
      <c r="C3" s="167">
        <v>-10</v>
      </c>
      <c r="D3" s="167">
        <v>13</v>
      </c>
      <c r="E3" s="167">
        <f>D3*10</f>
        <v>130</v>
      </c>
      <c r="F3" s="167">
        <f t="shared" si="0"/>
        <v>120</v>
      </c>
      <c r="G3" s="164" t="s">
        <v>96</v>
      </c>
      <c r="H3" s="168" t="s">
        <v>95</v>
      </c>
    </row>
    <row r="4" spans="1:11" ht="16.8" x14ac:dyDescent="0.3">
      <c r="A4" s="166" t="s">
        <v>78</v>
      </c>
      <c r="B4" s="175" t="s">
        <v>202</v>
      </c>
      <c r="C4" s="167">
        <v>1</v>
      </c>
      <c r="D4" s="167">
        <v>13</v>
      </c>
      <c r="E4" s="167">
        <f>D4*10*10</f>
        <v>1300</v>
      </c>
      <c r="F4" s="167">
        <f t="shared" ref="F4:F5" si="1">E4+C4</f>
        <v>1301</v>
      </c>
      <c r="G4" s="164" t="s">
        <v>96</v>
      </c>
      <c r="H4" s="168" t="s">
        <v>95</v>
      </c>
    </row>
    <row r="5" spans="1:11" ht="16.8" x14ac:dyDescent="0.3">
      <c r="A5" s="166" t="s">
        <v>78</v>
      </c>
      <c r="B5" s="175" t="s">
        <v>206</v>
      </c>
      <c r="C5" s="167">
        <v>2</v>
      </c>
      <c r="D5" s="167">
        <v>13</v>
      </c>
      <c r="E5" s="167">
        <f t="shared" ref="E5:E6" si="2">D5*10</f>
        <v>130</v>
      </c>
      <c r="F5" s="167">
        <f t="shared" si="1"/>
        <v>132</v>
      </c>
      <c r="G5" s="164" t="s">
        <v>95</v>
      </c>
      <c r="H5" s="168" t="s">
        <v>95</v>
      </c>
    </row>
    <row r="6" spans="1:11" ht="16.8" x14ac:dyDescent="0.3">
      <c r="A6" s="192" t="s">
        <v>81</v>
      </c>
      <c r="B6" s="175" t="s">
        <v>204</v>
      </c>
      <c r="C6" s="167">
        <v>-10</v>
      </c>
      <c r="D6" s="167">
        <v>13</v>
      </c>
      <c r="E6" s="167">
        <f t="shared" si="2"/>
        <v>130</v>
      </c>
      <c r="F6" s="167">
        <f t="shared" ref="F6" si="3">E6+C6</f>
        <v>120</v>
      </c>
      <c r="G6" s="164" t="s">
        <v>96</v>
      </c>
      <c r="H6" s="168" t="s">
        <v>95</v>
      </c>
    </row>
    <row r="7" spans="1:11" ht="16.8" x14ac:dyDescent="0.3">
      <c r="A7" s="192" t="s">
        <v>81</v>
      </c>
      <c r="B7" s="175" t="s">
        <v>207</v>
      </c>
      <c r="C7" s="167">
        <v>-10</v>
      </c>
      <c r="D7" s="167">
        <v>13</v>
      </c>
      <c r="E7" s="167">
        <f>D7*10*10</f>
        <v>1300</v>
      </c>
      <c r="F7" s="167">
        <f t="shared" ref="F7:F8" si="4">E7+C7</f>
        <v>1290</v>
      </c>
      <c r="G7" s="164" t="s">
        <v>96</v>
      </c>
      <c r="H7" s="168" t="s">
        <v>95</v>
      </c>
    </row>
    <row r="8" spans="1:11" ht="16.8" x14ac:dyDescent="0.3">
      <c r="A8" s="192" t="s">
        <v>81</v>
      </c>
      <c r="B8" s="175" t="s">
        <v>208</v>
      </c>
      <c r="C8" s="167">
        <v>1</v>
      </c>
      <c r="D8" s="167">
        <v>13</v>
      </c>
      <c r="E8" s="167">
        <f t="shared" ref="E8" si="5">D8</f>
        <v>13</v>
      </c>
      <c r="F8" s="167">
        <f t="shared" si="4"/>
        <v>14</v>
      </c>
      <c r="G8" s="164" t="s">
        <v>96</v>
      </c>
      <c r="H8" s="168" t="s">
        <v>95</v>
      </c>
    </row>
    <row r="9" spans="1:11" ht="16.8" x14ac:dyDescent="0.3">
      <c r="A9" s="174" t="s">
        <v>79</v>
      </c>
      <c r="B9" s="175" t="s">
        <v>223</v>
      </c>
      <c r="C9" s="167"/>
      <c r="D9" s="167"/>
      <c r="E9" s="167">
        <f t="shared" ref="E9" si="6">D9</f>
        <v>0</v>
      </c>
      <c r="F9" s="167">
        <f t="shared" ref="F9:F10" si="7">E9+C9</f>
        <v>0</v>
      </c>
      <c r="G9" s="164" t="s">
        <v>95</v>
      </c>
      <c r="H9" s="168" t="s">
        <v>95</v>
      </c>
    </row>
    <row r="10" spans="1:11" ht="16.8" x14ac:dyDescent="0.3">
      <c r="A10" s="172" t="s">
        <v>80</v>
      </c>
      <c r="B10" s="175" t="s">
        <v>205</v>
      </c>
      <c r="C10" s="167">
        <v>1</v>
      </c>
      <c r="D10" s="167">
        <v>1</v>
      </c>
      <c r="E10" s="167">
        <f t="shared" ref="E10" si="8">D10*10</f>
        <v>10</v>
      </c>
      <c r="F10" s="167">
        <f t="shared" si="7"/>
        <v>11</v>
      </c>
      <c r="G10" s="164" t="s">
        <v>96</v>
      </c>
      <c r="H10" s="168" t="s">
        <v>95</v>
      </c>
    </row>
    <row r="12" spans="1:11" ht="31.2" x14ac:dyDescent="0.3">
      <c r="A12" s="165" t="s">
        <v>99</v>
      </c>
      <c r="B12" s="165" t="s">
        <v>93</v>
      </c>
      <c r="C12" s="165" t="s">
        <v>92</v>
      </c>
      <c r="D12" s="165" t="s">
        <v>91</v>
      </c>
      <c r="E12" s="165" t="s">
        <v>90</v>
      </c>
      <c r="F12" s="165" t="s">
        <v>89</v>
      </c>
      <c r="G12" s="165" t="s">
        <v>94</v>
      </c>
      <c r="H12" s="165" t="s">
        <v>98</v>
      </c>
    </row>
    <row r="13" spans="1:11" ht="16.8" x14ac:dyDescent="0.3">
      <c r="A13" s="199" t="s">
        <v>102</v>
      </c>
      <c r="B13" s="175"/>
      <c r="C13" s="167"/>
      <c r="D13" s="167"/>
      <c r="E13" s="167">
        <f t="shared" ref="E13:E19" si="9">D13</f>
        <v>0</v>
      </c>
      <c r="F13" s="167">
        <f t="shared" ref="F13:F19" si="10">E13+C13</f>
        <v>0</v>
      </c>
      <c r="G13" s="164" t="s">
        <v>95</v>
      </c>
      <c r="H13" s="168" t="s">
        <v>95</v>
      </c>
    </row>
    <row r="14" spans="1:11" ht="16.8" x14ac:dyDescent="0.3">
      <c r="A14" s="199" t="s">
        <v>101</v>
      </c>
      <c r="B14" s="175"/>
      <c r="C14" s="167"/>
      <c r="D14" s="167"/>
      <c r="E14" s="167">
        <f t="shared" si="9"/>
        <v>0</v>
      </c>
      <c r="F14" s="167">
        <f t="shared" si="10"/>
        <v>0</v>
      </c>
      <c r="G14" s="164" t="s">
        <v>95</v>
      </c>
      <c r="H14" s="168" t="s">
        <v>95</v>
      </c>
    </row>
    <row r="15" spans="1:11" ht="16.8" x14ac:dyDescent="0.3">
      <c r="A15" s="199" t="s">
        <v>103</v>
      </c>
      <c r="B15" s="175"/>
      <c r="C15" s="167"/>
      <c r="D15" s="167"/>
      <c r="E15" s="167">
        <f t="shared" si="9"/>
        <v>0</v>
      </c>
      <c r="F15" s="167">
        <f t="shared" si="10"/>
        <v>0</v>
      </c>
      <c r="G15" s="164" t="s">
        <v>95</v>
      </c>
      <c r="H15" s="168" t="s">
        <v>95</v>
      </c>
    </row>
    <row r="16" spans="1:11" ht="16.8" x14ac:dyDescent="0.3">
      <c r="A16" s="199" t="s">
        <v>104</v>
      </c>
      <c r="B16" s="175"/>
      <c r="C16" s="167"/>
      <c r="D16" s="167"/>
      <c r="E16" s="167">
        <f t="shared" si="9"/>
        <v>0</v>
      </c>
      <c r="F16" s="167">
        <f t="shared" si="10"/>
        <v>0</v>
      </c>
      <c r="G16" s="164" t="s">
        <v>95</v>
      </c>
      <c r="H16" s="168" t="s">
        <v>95</v>
      </c>
    </row>
    <row r="17" spans="1:8" ht="16.8" x14ac:dyDescent="0.3">
      <c r="A17" s="199" t="s">
        <v>105</v>
      </c>
      <c r="B17" s="175"/>
      <c r="C17" s="167"/>
      <c r="D17" s="167"/>
      <c r="E17" s="167">
        <f t="shared" si="9"/>
        <v>0</v>
      </c>
      <c r="F17" s="167">
        <f t="shared" si="10"/>
        <v>0</v>
      </c>
      <c r="G17" s="164" t="s">
        <v>95</v>
      </c>
      <c r="H17" s="168" t="s">
        <v>95</v>
      </c>
    </row>
    <row r="18" spans="1:8" ht="16.8" x14ac:dyDescent="0.3">
      <c r="A18" s="199" t="s">
        <v>107</v>
      </c>
      <c r="B18" s="175"/>
      <c r="C18" s="167"/>
      <c r="D18" s="167"/>
      <c r="E18" s="167">
        <f t="shared" si="9"/>
        <v>0</v>
      </c>
      <c r="F18" s="167">
        <f t="shared" si="10"/>
        <v>0</v>
      </c>
      <c r="G18" s="164" t="s">
        <v>95</v>
      </c>
      <c r="H18" s="168" t="s">
        <v>95</v>
      </c>
    </row>
    <row r="19" spans="1:8" ht="16.8" x14ac:dyDescent="0.3">
      <c r="A19" s="199" t="s">
        <v>129</v>
      </c>
      <c r="B19" s="175"/>
      <c r="C19" s="167"/>
      <c r="D19" s="167"/>
      <c r="E19" s="167">
        <f t="shared" si="9"/>
        <v>0</v>
      </c>
      <c r="F19" s="167">
        <f t="shared" si="10"/>
        <v>0</v>
      </c>
      <c r="G19" s="164" t="s">
        <v>95</v>
      </c>
      <c r="H19" s="168" t="s">
        <v>95</v>
      </c>
    </row>
  </sheetData>
  <sortState ref="A2:A35">
    <sortCondition ref="A2:A35"/>
  </sortState>
  <conditionalFormatting sqref="G2:H2 G10:H10 G3">
    <cfRule type="cellIs" dxfId="162" priority="171" stopIfTrue="1" operator="equal">
      <formula>"þ"</formula>
    </cfRule>
  </conditionalFormatting>
  <conditionalFormatting sqref="F2:F3 F10">
    <cfRule type="cellIs" dxfId="161" priority="169" operator="lessThan">
      <formula>$K$1</formula>
    </cfRule>
  </conditionalFormatting>
  <conditionalFormatting sqref="F9">
    <cfRule type="cellIs" dxfId="160" priority="134" operator="lessThan">
      <formula>$K$1</formula>
    </cfRule>
  </conditionalFormatting>
  <conditionalFormatting sqref="H9">
    <cfRule type="cellIs" dxfId="159" priority="133" stopIfTrue="1" operator="equal">
      <formula>"þ"</formula>
    </cfRule>
  </conditionalFormatting>
  <conditionalFormatting sqref="H9">
    <cfRule type="cellIs" dxfId="158" priority="132" stopIfTrue="1" operator="equal">
      <formula>"þ"</formula>
    </cfRule>
  </conditionalFormatting>
  <conditionalFormatting sqref="F9">
    <cfRule type="cellIs" dxfId="157" priority="131" operator="lessThan">
      <formula>$K$1</formula>
    </cfRule>
  </conditionalFormatting>
  <conditionalFormatting sqref="H9">
    <cfRule type="cellIs" dxfId="156" priority="130" stopIfTrue="1" operator="equal">
      <formula>"þ"</formula>
    </cfRule>
  </conditionalFormatting>
  <conditionalFormatting sqref="H9">
    <cfRule type="cellIs" dxfId="155" priority="129" stopIfTrue="1" operator="equal">
      <formula>"þ"</formula>
    </cfRule>
  </conditionalFormatting>
  <conditionalFormatting sqref="F9">
    <cfRule type="cellIs" dxfId="154" priority="128" operator="lessThan">
      <formula>$K$1</formula>
    </cfRule>
  </conditionalFormatting>
  <conditionalFormatting sqref="H9">
    <cfRule type="cellIs" dxfId="153" priority="127" stopIfTrue="1" operator="equal">
      <formula>"þ"</formula>
    </cfRule>
  </conditionalFormatting>
  <conditionalFormatting sqref="H9">
    <cfRule type="cellIs" dxfId="152" priority="126" stopIfTrue="1" operator="equal">
      <formula>"þ"</formula>
    </cfRule>
  </conditionalFormatting>
  <conditionalFormatting sqref="F9">
    <cfRule type="cellIs" dxfId="151" priority="125" operator="lessThan">
      <formula>$K$1</formula>
    </cfRule>
  </conditionalFormatting>
  <conditionalFormatting sqref="G9">
    <cfRule type="cellIs" dxfId="150" priority="124" stopIfTrue="1" operator="equal">
      <formula>"þ"</formula>
    </cfRule>
  </conditionalFormatting>
  <conditionalFormatting sqref="H6:H8">
    <cfRule type="cellIs" dxfId="149" priority="68" stopIfTrue="1" operator="equal">
      <formula>"þ"</formula>
    </cfRule>
  </conditionalFormatting>
  <conditionalFormatting sqref="F6:F8">
    <cfRule type="cellIs" dxfId="148" priority="67" operator="lessThan">
      <formula>$K$1</formula>
    </cfRule>
  </conditionalFormatting>
  <conditionalFormatting sqref="H13">
    <cfRule type="cellIs" dxfId="147" priority="62" stopIfTrue="1" operator="equal">
      <formula>"þ"</formula>
    </cfRule>
  </conditionalFormatting>
  <conditionalFormatting sqref="F13:F14">
    <cfRule type="cellIs" dxfId="146" priority="61" operator="lessThan">
      <formula>$K$1</formula>
    </cfRule>
  </conditionalFormatting>
  <conditionalFormatting sqref="F17">
    <cfRule type="cellIs" dxfId="145" priority="60" operator="lessThan">
      <formula>$K$1</formula>
    </cfRule>
  </conditionalFormatting>
  <conditionalFormatting sqref="H17">
    <cfRule type="cellIs" dxfId="144" priority="59" stopIfTrue="1" operator="equal">
      <formula>"þ"</formula>
    </cfRule>
  </conditionalFormatting>
  <conditionalFormatting sqref="H17">
    <cfRule type="cellIs" dxfId="143" priority="58" stopIfTrue="1" operator="equal">
      <formula>"þ"</formula>
    </cfRule>
  </conditionalFormatting>
  <conditionalFormatting sqref="F17">
    <cfRule type="cellIs" dxfId="142" priority="57" operator="lessThan">
      <formula>$K$1</formula>
    </cfRule>
  </conditionalFormatting>
  <conditionalFormatting sqref="H17">
    <cfRule type="cellIs" dxfId="141" priority="56" stopIfTrue="1" operator="equal">
      <formula>"þ"</formula>
    </cfRule>
  </conditionalFormatting>
  <conditionalFormatting sqref="H17">
    <cfRule type="cellIs" dxfId="140" priority="55" stopIfTrue="1" operator="equal">
      <formula>"þ"</formula>
    </cfRule>
  </conditionalFormatting>
  <conditionalFormatting sqref="F17">
    <cfRule type="cellIs" dxfId="139" priority="54" operator="lessThan">
      <formula>$K$1</formula>
    </cfRule>
  </conditionalFormatting>
  <conditionalFormatting sqref="H17">
    <cfRule type="cellIs" dxfId="138" priority="53" stopIfTrue="1" operator="equal">
      <formula>"þ"</formula>
    </cfRule>
  </conditionalFormatting>
  <conditionalFormatting sqref="H17">
    <cfRule type="cellIs" dxfId="137" priority="52" stopIfTrue="1" operator="equal">
      <formula>"þ"</formula>
    </cfRule>
  </conditionalFormatting>
  <conditionalFormatting sqref="F17">
    <cfRule type="cellIs" dxfId="136" priority="51" operator="lessThan">
      <formula>$K$1</formula>
    </cfRule>
  </conditionalFormatting>
  <conditionalFormatting sqref="F18">
    <cfRule type="cellIs" dxfId="135" priority="49" operator="lessThan">
      <formula>$K$1</formula>
    </cfRule>
  </conditionalFormatting>
  <conditionalFormatting sqref="H18">
    <cfRule type="cellIs" dxfId="134" priority="48" stopIfTrue="1" operator="equal">
      <formula>"þ"</formula>
    </cfRule>
  </conditionalFormatting>
  <conditionalFormatting sqref="H18">
    <cfRule type="cellIs" dxfId="133" priority="47" stopIfTrue="1" operator="equal">
      <formula>"þ"</formula>
    </cfRule>
  </conditionalFormatting>
  <conditionalFormatting sqref="F18">
    <cfRule type="cellIs" dxfId="132" priority="46" operator="lessThan">
      <formula>$K$1</formula>
    </cfRule>
  </conditionalFormatting>
  <conditionalFormatting sqref="H18">
    <cfRule type="cellIs" dxfId="131" priority="45" stopIfTrue="1" operator="equal">
      <formula>"þ"</formula>
    </cfRule>
  </conditionalFormatting>
  <conditionalFormatting sqref="H18">
    <cfRule type="cellIs" dxfId="130" priority="44" stopIfTrue="1" operator="equal">
      <formula>"þ"</formula>
    </cfRule>
  </conditionalFormatting>
  <conditionalFormatting sqref="F18">
    <cfRule type="cellIs" dxfId="129" priority="43" operator="lessThan">
      <formula>$K$1</formula>
    </cfRule>
  </conditionalFormatting>
  <conditionalFormatting sqref="H18">
    <cfRule type="cellIs" dxfId="128" priority="42" stopIfTrue="1" operator="equal">
      <formula>"þ"</formula>
    </cfRule>
  </conditionalFormatting>
  <conditionalFormatting sqref="H18">
    <cfRule type="cellIs" dxfId="127" priority="41" stopIfTrue="1" operator="equal">
      <formula>"þ"</formula>
    </cfRule>
  </conditionalFormatting>
  <conditionalFormatting sqref="F18">
    <cfRule type="cellIs" dxfId="126" priority="40" operator="lessThan">
      <formula>$K$1</formula>
    </cfRule>
  </conditionalFormatting>
  <conditionalFormatting sqref="H15:H16">
    <cfRule type="cellIs" dxfId="125" priority="27" stopIfTrue="1" operator="equal">
      <formula>"þ"</formula>
    </cfRule>
  </conditionalFormatting>
  <conditionalFormatting sqref="F15:F16">
    <cfRule type="cellIs" dxfId="124" priority="26" operator="lessThan">
      <formula>$K$1</formula>
    </cfRule>
  </conditionalFormatting>
  <conditionalFormatting sqref="H14">
    <cfRule type="cellIs" dxfId="123" priority="21" stopIfTrue="1" operator="equal">
      <formula>"þ"</formula>
    </cfRule>
  </conditionalFormatting>
  <conditionalFormatting sqref="F19">
    <cfRule type="cellIs" dxfId="122" priority="20" operator="lessThan">
      <formula>$K$1</formula>
    </cfRule>
  </conditionalFormatting>
  <conditionalFormatting sqref="H19">
    <cfRule type="cellIs" dxfId="121" priority="19" stopIfTrue="1" operator="equal">
      <formula>"þ"</formula>
    </cfRule>
  </conditionalFormatting>
  <conditionalFormatting sqref="H19">
    <cfRule type="cellIs" dxfId="120" priority="18" stopIfTrue="1" operator="equal">
      <formula>"þ"</formula>
    </cfRule>
  </conditionalFormatting>
  <conditionalFormatting sqref="F19">
    <cfRule type="cellIs" dxfId="119" priority="17" operator="lessThan">
      <formula>$K$1</formula>
    </cfRule>
  </conditionalFormatting>
  <conditionalFormatting sqref="H19">
    <cfRule type="cellIs" dxfId="118" priority="16" stopIfTrue="1" operator="equal">
      <formula>"þ"</formula>
    </cfRule>
  </conditionalFormatting>
  <conditionalFormatting sqref="H19">
    <cfRule type="cellIs" dxfId="117" priority="15" stopIfTrue="1" operator="equal">
      <formula>"þ"</formula>
    </cfRule>
  </conditionalFormatting>
  <conditionalFormatting sqref="F19">
    <cfRule type="cellIs" dxfId="116" priority="14" operator="lessThan">
      <formula>$K$1</formula>
    </cfRule>
  </conditionalFormatting>
  <conditionalFormatting sqref="H19">
    <cfRule type="cellIs" dxfId="115" priority="13" stopIfTrue="1" operator="equal">
      <formula>"þ"</formula>
    </cfRule>
  </conditionalFormatting>
  <conditionalFormatting sqref="H19">
    <cfRule type="cellIs" dxfId="114" priority="12" stopIfTrue="1" operator="equal">
      <formula>"þ"</formula>
    </cfRule>
  </conditionalFormatting>
  <conditionalFormatting sqref="F19">
    <cfRule type="cellIs" dxfId="113" priority="11" operator="lessThan">
      <formula>$K$1</formula>
    </cfRule>
  </conditionalFormatting>
  <conditionalFormatting sqref="G13:G19">
    <cfRule type="cellIs" dxfId="112" priority="6" stopIfTrue="1" operator="equal">
      <formula>"þ"</formula>
    </cfRule>
  </conditionalFormatting>
  <conditionalFormatting sqref="H3">
    <cfRule type="cellIs" dxfId="111" priority="7" stopIfTrue="1" operator="equal">
      <formula>"þ"</formula>
    </cfRule>
  </conditionalFormatting>
  <conditionalFormatting sqref="G4">
    <cfRule type="cellIs" dxfId="110" priority="5" stopIfTrue="1" operator="equal">
      <formula>"þ"</formula>
    </cfRule>
  </conditionalFormatting>
  <conditionalFormatting sqref="F4:F5">
    <cfRule type="cellIs" dxfId="109" priority="4" operator="lessThan">
      <formula>$K$1</formula>
    </cfRule>
  </conditionalFormatting>
  <conditionalFormatting sqref="H4:H5">
    <cfRule type="cellIs" dxfId="108" priority="3" stopIfTrue="1" operator="equal">
      <formula>"þ"</formula>
    </cfRule>
  </conditionalFormatting>
  <conditionalFormatting sqref="G5">
    <cfRule type="cellIs" dxfId="107" priority="2" stopIfTrue="1" operator="equal">
      <formula>"þ"</formula>
    </cfRule>
  </conditionalFormatting>
  <conditionalFormatting sqref="G6:G8">
    <cfRule type="cellIs" dxfId="106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5.6" x14ac:dyDescent="0.3"/>
  <cols>
    <col min="1" max="1" width="14.8984375" style="131" bestFit="1" customWidth="1"/>
    <col min="2" max="2" width="27.59765625" style="131" bestFit="1" customWidth="1"/>
    <col min="3" max="3" width="25.09765625" style="131" bestFit="1" customWidth="1"/>
    <col min="4" max="4" width="4.8984375" style="131" bestFit="1" customWidth="1"/>
    <col min="5" max="5" width="5.796875" style="131" bestFit="1" customWidth="1"/>
    <col min="6" max="6" width="3.8984375" style="131" bestFit="1" customWidth="1"/>
    <col min="7" max="7" width="7.09765625" style="131" bestFit="1" customWidth="1"/>
    <col min="8" max="8" width="3.8984375" style="131" bestFit="1" customWidth="1"/>
    <col min="9" max="9" width="5.3984375" style="131" bestFit="1" customWidth="1"/>
    <col min="10" max="10" width="36" style="128" bestFit="1" customWidth="1"/>
    <col min="11" max="16384" width="8.796875" style="128"/>
  </cols>
  <sheetData>
    <row r="1" spans="1:11" ht="16.2" thickBot="1" x14ac:dyDescent="0.35">
      <c r="A1" s="123" t="s">
        <v>0</v>
      </c>
      <c r="B1" s="124" t="s">
        <v>36</v>
      </c>
      <c r="C1" s="124" t="s">
        <v>37</v>
      </c>
      <c r="D1" s="125" t="s">
        <v>38</v>
      </c>
      <c r="E1" s="124" t="s">
        <v>39</v>
      </c>
      <c r="F1" s="124" t="s">
        <v>40</v>
      </c>
      <c r="G1" s="124" t="s">
        <v>41</v>
      </c>
      <c r="H1" s="126" t="s">
        <v>42</v>
      </c>
      <c r="I1" s="127" t="s">
        <v>27</v>
      </c>
      <c r="J1" s="127" t="s">
        <v>76</v>
      </c>
    </row>
    <row r="2" spans="1:11" x14ac:dyDescent="0.3">
      <c r="A2" s="72" t="s">
        <v>102</v>
      </c>
      <c r="B2" s="71" t="s">
        <v>134</v>
      </c>
      <c r="C2" s="71" t="s">
        <v>135</v>
      </c>
      <c r="D2" s="142">
        <f>2+3+6</f>
        <v>11</v>
      </c>
      <c r="E2" s="71">
        <v>0</v>
      </c>
      <c r="F2" s="71">
        <v>3</v>
      </c>
      <c r="G2" s="71">
        <v>0</v>
      </c>
      <c r="H2" s="108">
        <f t="shared" ref="H2:H23" ca="1" si="0">RANDBETWEEN(1,20)</f>
        <v>5</v>
      </c>
      <c r="I2" s="71">
        <f t="shared" ref="I2" ca="1" si="1">SUM(D2:H2)</f>
        <v>19</v>
      </c>
      <c r="J2" s="129" t="s">
        <v>149</v>
      </c>
      <c r="K2" s="128" t="s">
        <v>157</v>
      </c>
    </row>
    <row r="3" spans="1:11" x14ac:dyDescent="0.3">
      <c r="A3" s="72" t="s">
        <v>102</v>
      </c>
      <c r="B3" s="71" t="s">
        <v>219</v>
      </c>
      <c r="C3" s="71" t="s">
        <v>135</v>
      </c>
      <c r="D3" s="142">
        <f t="shared" ref="D3:D4" si="2">2+3+6</f>
        <v>11</v>
      </c>
      <c r="E3" s="71">
        <v>0</v>
      </c>
      <c r="F3" s="71">
        <v>3</v>
      </c>
      <c r="G3" s="71">
        <v>0</v>
      </c>
      <c r="H3" s="108">
        <f t="shared" ca="1" si="0"/>
        <v>19</v>
      </c>
      <c r="I3" s="71">
        <f t="shared" ref="I3:I4" ca="1" si="3">SUM(D3:H3)</f>
        <v>33</v>
      </c>
      <c r="J3" s="129" t="s">
        <v>149</v>
      </c>
      <c r="K3" s="128" t="s">
        <v>158</v>
      </c>
    </row>
    <row r="4" spans="1:11" x14ac:dyDescent="0.3">
      <c r="A4" s="72" t="s">
        <v>102</v>
      </c>
      <c r="B4" s="71" t="s">
        <v>220</v>
      </c>
      <c r="C4" s="71" t="s">
        <v>135</v>
      </c>
      <c r="D4" s="142">
        <f t="shared" si="2"/>
        <v>11</v>
      </c>
      <c r="E4" s="71">
        <v>0</v>
      </c>
      <c r="F4" s="71">
        <v>3</v>
      </c>
      <c r="G4" s="71">
        <v>0</v>
      </c>
      <c r="H4" s="108">
        <f t="shared" ca="1" si="0"/>
        <v>14</v>
      </c>
      <c r="I4" s="71">
        <f t="shared" ca="1" si="3"/>
        <v>28</v>
      </c>
      <c r="J4" s="129" t="s">
        <v>149</v>
      </c>
    </row>
    <row r="5" spans="1:11" x14ac:dyDescent="0.3">
      <c r="A5" s="72" t="s">
        <v>102</v>
      </c>
      <c r="B5" s="71" t="s">
        <v>168</v>
      </c>
      <c r="C5" s="71" t="s">
        <v>169</v>
      </c>
      <c r="D5" s="142">
        <f>2+3+6</f>
        <v>11</v>
      </c>
      <c r="E5" s="71">
        <v>2</v>
      </c>
      <c r="F5" s="71">
        <v>4</v>
      </c>
      <c r="G5" s="71">
        <v>1</v>
      </c>
      <c r="H5" s="108">
        <f t="shared" ca="1" si="0"/>
        <v>5</v>
      </c>
      <c r="I5" s="71">
        <f t="shared" ref="I5" ca="1" si="4">SUM(D5:H5)</f>
        <v>23</v>
      </c>
      <c r="J5" s="129" t="s">
        <v>149</v>
      </c>
    </row>
    <row r="6" spans="1:11" x14ac:dyDescent="0.3">
      <c r="A6" s="72" t="s">
        <v>102</v>
      </c>
      <c r="B6" s="71" t="s">
        <v>211</v>
      </c>
      <c r="C6" s="71" t="s">
        <v>169</v>
      </c>
      <c r="D6" s="142">
        <f>2+3+6-5</f>
        <v>6</v>
      </c>
      <c r="E6" s="71">
        <v>2</v>
      </c>
      <c r="F6" s="71">
        <v>4</v>
      </c>
      <c r="G6" s="71">
        <v>1</v>
      </c>
      <c r="H6" s="108">
        <f t="shared" ca="1" si="0"/>
        <v>11</v>
      </c>
      <c r="I6" s="71">
        <f t="shared" ref="I6" ca="1" si="5">SUM(D6:H6)</f>
        <v>24</v>
      </c>
      <c r="J6" s="129" t="s">
        <v>149</v>
      </c>
    </row>
    <row r="7" spans="1:11" x14ac:dyDescent="0.3">
      <c r="A7" s="72" t="s">
        <v>102</v>
      </c>
      <c r="B7" s="71" t="s">
        <v>212</v>
      </c>
      <c r="C7" s="71" t="s">
        <v>169</v>
      </c>
      <c r="D7" s="142">
        <f>2+3+6-10</f>
        <v>1</v>
      </c>
      <c r="E7" s="71">
        <v>2</v>
      </c>
      <c r="F7" s="71">
        <v>4</v>
      </c>
      <c r="G7" s="71">
        <v>1</v>
      </c>
      <c r="H7" s="108">
        <f t="shared" ca="1" si="0"/>
        <v>7</v>
      </c>
      <c r="I7" s="71">
        <f t="shared" ref="I7" ca="1" si="6">SUM(D7:H7)</f>
        <v>15</v>
      </c>
      <c r="J7" s="129" t="s">
        <v>149</v>
      </c>
    </row>
    <row r="8" spans="1:11" x14ac:dyDescent="0.3">
      <c r="A8" s="72" t="s">
        <v>101</v>
      </c>
      <c r="B8" s="71" t="s">
        <v>133</v>
      </c>
      <c r="C8" s="71" t="s">
        <v>147</v>
      </c>
      <c r="D8" s="142">
        <f>3+4</f>
        <v>7</v>
      </c>
      <c r="E8" s="71">
        <v>3</v>
      </c>
      <c r="F8" s="71">
        <v>5</v>
      </c>
      <c r="G8" s="71">
        <v>2</v>
      </c>
      <c r="H8" s="108">
        <f t="shared" ca="1" si="0"/>
        <v>12</v>
      </c>
      <c r="I8" s="71">
        <f t="shared" ref="I8:I19" ca="1" si="7">SUM(D8:H8)</f>
        <v>29</v>
      </c>
      <c r="J8" s="194" t="s">
        <v>130</v>
      </c>
    </row>
    <row r="9" spans="1:11" x14ac:dyDescent="0.3">
      <c r="A9" s="72" t="s">
        <v>101</v>
      </c>
      <c r="B9" s="71" t="s">
        <v>108</v>
      </c>
      <c r="C9" s="71" t="s">
        <v>120</v>
      </c>
      <c r="D9" s="142">
        <f t="shared" ref="D9:D11" si="8">3+4</f>
        <v>7</v>
      </c>
      <c r="E9" s="71">
        <v>4</v>
      </c>
      <c r="F9" s="71">
        <v>1</v>
      </c>
      <c r="G9" s="71">
        <v>0</v>
      </c>
      <c r="H9" s="108">
        <f t="shared" ca="1" si="0"/>
        <v>8</v>
      </c>
      <c r="I9" s="71">
        <f t="shared" ca="1" si="7"/>
        <v>20</v>
      </c>
      <c r="J9" s="194" t="s">
        <v>130</v>
      </c>
    </row>
    <row r="10" spans="1:11" x14ac:dyDescent="0.3">
      <c r="A10" s="72" t="s">
        <v>101</v>
      </c>
      <c r="B10" s="71" t="s">
        <v>160</v>
      </c>
      <c r="C10" s="71" t="s">
        <v>159</v>
      </c>
      <c r="D10" s="142">
        <f t="shared" si="8"/>
        <v>7</v>
      </c>
      <c r="E10" s="71">
        <v>4</v>
      </c>
      <c r="F10" s="71">
        <v>4</v>
      </c>
      <c r="G10" s="71">
        <v>0</v>
      </c>
      <c r="H10" s="108">
        <f t="shared" ca="1" si="0"/>
        <v>3</v>
      </c>
      <c r="I10" s="71">
        <f t="shared" ref="I10" ca="1" si="9">SUM(D10:H10)</f>
        <v>18</v>
      </c>
      <c r="J10" s="194" t="s">
        <v>130</v>
      </c>
    </row>
    <row r="11" spans="1:11" x14ac:dyDescent="0.3">
      <c r="A11" s="72" t="s">
        <v>101</v>
      </c>
      <c r="B11" s="71" t="s">
        <v>137</v>
      </c>
      <c r="C11" s="71" t="s">
        <v>138</v>
      </c>
      <c r="D11" s="142">
        <f t="shared" si="8"/>
        <v>7</v>
      </c>
      <c r="E11" s="71">
        <v>4</v>
      </c>
      <c r="F11" s="71">
        <v>3</v>
      </c>
      <c r="G11" s="71">
        <v>0</v>
      </c>
      <c r="H11" s="108">
        <f t="shared" ca="1" si="0"/>
        <v>17</v>
      </c>
      <c r="I11" s="71">
        <f t="shared" ca="1" si="7"/>
        <v>31</v>
      </c>
      <c r="J11" s="194" t="s">
        <v>130</v>
      </c>
    </row>
    <row r="12" spans="1:11" x14ac:dyDescent="0.3">
      <c r="A12" s="72" t="s">
        <v>103</v>
      </c>
      <c r="B12" s="71" t="s">
        <v>128</v>
      </c>
      <c r="C12" s="71" t="s">
        <v>136</v>
      </c>
      <c r="D12" s="142">
        <f t="shared" ref="D12:D14" si="10">2+11</f>
        <v>13</v>
      </c>
      <c r="E12" s="71">
        <v>4</v>
      </c>
      <c r="F12" s="71">
        <v>1</v>
      </c>
      <c r="G12" s="71">
        <v>1</v>
      </c>
      <c r="H12" s="108">
        <f t="shared" ca="1" si="0"/>
        <v>11</v>
      </c>
      <c r="I12" s="71">
        <f t="shared" ca="1" si="7"/>
        <v>30</v>
      </c>
      <c r="J12" s="129"/>
      <c r="K12" s="128" t="s">
        <v>189</v>
      </c>
    </row>
    <row r="13" spans="1:11" x14ac:dyDescent="0.3">
      <c r="A13" s="72" t="s">
        <v>103</v>
      </c>
      <c r="B13" s="71" t="s">
        <v>164</v>
      </c>
      <c r="C13" s="71" t="s">
        <v>165</v>
      </c>
      <c r="D13" s="142">
        <f t="shared" si="10"/>
        <v>13</v>
      </c>
      <c r="E13" s="71">
        <v>4</v>
      </c>
      <c r="F13" s="71">
        <v>2</v>
      </c>
      <c r="G13" s="71">
        <v>0</v>
      </c>
      <c r="H13" s="108">
        <f t="shared" ca="1" si="0"/>
        <v>15</v>
      </c>
      <c r="I13" s="71">
        <f t="shared" ca="1" si="7"/>
        <v>34</v>
      </c>
      <c r="J13" s="129"/>
      <c r="K13" s="128" t="s">
        <v>188</v>
      </c>
    </row>
    <row r="14" spans="1:11" x14ac:dyDescent="0.3">
      <c r="A14" s="72" t="s">
        <v>103</v>
      </c>
      <c r="B14" s="71" t="s">
        <v>162</v>
      </c>
      <c r="C14" s="71" t="s">
        <v>163</v>
      </c>
      <c r="D14" s="142">
        <f t="shared" si="10"/>
        <v>13</v>
      </c>
      <c r="E14" s="71">
        <v>4</v>
      </c>
      <c r="F14" s="71">
        <v>2</v>
      </c>
      <c r="G14" s="71">
        <v>0</v>
      </c>
      <c r="H14" s="108">
        <f t="shared" ca="1" si="0"/>
        <v>3</v>
      </c>
      <c r="I14" s="71">
        <f t="shared" ref="I14" ca="1" si="11">SUM(D14:H14)</f>
        <v>22</v>
      </c>
      <c r="J14" s="129"/>
    </row>
    <row r="15" spans="1:11" x14ac:dyDescent="0.3">
      <c r="A15" s="72" t="s">
        <v>104</v>
      </c>
      <c r="B15" s="71" t="s">
        <v>132</v>
      </c>
      <c r="C15" s="71" t="s">
        <v>140</v>
      </c>
      <c r="D15" s="142">
        <v>9</v>
      </c>
      <c r="E15" s="71">
        <v>4</v>
      </c>
      <c r="F15" s="71">
        <v>4</v>
      </c>
      <c r="G15" s="71">
        <v>1</v>
      </c>
      <c r="H15" s="108">
        <f t="shared" ca="1" si="0"/>
        <v>3</v>
      </c>
      <c r="I15" s="71">
        <f t="shared" ca="1" si="7"/>
        <v>21</v>
      </c>
      <c r="J15" s="129" t="s">
        <v>190</v>
      </c>
      <c r="K15" s="128" t="s">
        <v>167</v>
      </c>
    </row>
    <row r="16" spans="1:11" x14ac:dyDescent="0.3">
      <c r="A16" s="72" t="s">
        <v>104</v>
      </c>
      <c r="B16" s="71" t="s">
        <v>131</v>
      </c>
      <c r="C16" s="71" t="s">
        <v>139</v>
      </c>
      <c r="D16" s="142">
        <v>9</v>
      </c>
      <c r="E16" s="71">
        <v>2</v>
      </c>
      <c r="F16" s="71">
        <v>4</v>
      </c>
      <c r="G16" s="71">
        <v>0</v>
      </c>
      <c r="H16" s="108">
        <f t="shared" ca="1" si="0"/>
        <v>20</v>
      </c>
      <c r="I16" s="71">
        <f t="shared" ca="1" si="7"/>
        <v>35</v>
      </c>
      <c r="J16" s="129"/>
      <c r="K16" s="128" t="s">
        <v>167</v>
      </c>
    </row>
    <row r="17" spans="1:10" x14ac:dyDescent="0.3">
      <c r="A17" s="72" t="s">
        <v>105</v>
      </c>
      <c r="B17" s="71" t="s">
        <v>193</v>
      </c>
      <c r="C17" s="71" t="s">
        <v>197</v>
      </c>
      <c r="D17" s="142">
        <v>8</v>
      </c>
      <c r="E17" s="71">
        <v>4</v>
      </c>
      <c r="F17" s="71">
        <v>2</v>
      </c>
      <c r="G17" s="71">
        <v>0</v>
      </c>
      <c r="H17" s="108">
        <f t="shared" ca="1" si="0"/>
        <v>5</v>
      </c>
      <c r="I17" s="71">
        <f t="shared" ca="1" si="7"/>
        <v>19</v>
      </c>
      <c r="J17" s="129" t="s">
        <v>194</v>
      </c>
    </row>
    <row r="18" spans="1:10" x14ac:dyDescent="0.3">
      <c r="A18" s="72" t="s">
        <v>105</v>
      </c>
      <c r="B18" s="71" t="s">
        <v>195</v>
      </c>
      <c r="C18" s="71" t="s">
        <v>196</v>
      </c>
      <c r="D18" s="142">
        <v>8</v>
      </c>
      <c r="E18" s="71">
        <v>3</v>
      </c>
      <c r="F18" s="71">
        <v>3</v>
      </c>
      <c r="G18" s="71">
        <v>0</v>
      </c>
      <c r="H18" s="108">
        <f t="shared" ca="1" si="0"/>
        <v>20</v>
      </c>
      <c r="I18" s="71">
        <f t="shared" ca="1" si="7"/>
        <v>34</v>
      </c>
      <c r="J18" s="129"/>
    </row>
    <row r="19" spans="1:10" x14ac:dyDescent="0.3">
      <c r="A19" s="72" t="s">
        <v>107</v>
      </c>
      <c r="B19" s="71" t="s">
        <v>145</v>
      </c>
      <c r="C19" s="71" t="s">
        <v>198</v>
      </c>
      <c r="D19" s="142">
        <v>1</v>
      </c>
      <c r="E19" s="71">
        <v>1</v>
      </c>
      <c r="F19" s="71">
        <v>1</v>
      </c>
      <c r="G19" s="71">
        <v>2</v>
      </c>
      <c r="H19" s="108">
        <f t="shared" ca="1" si="0"/>
        <v>17</v>
      </c>
      <c r="I19" s="71">
        <f t="shared" ca="1" si="7"/>
        <v>22</v>
      </c>
      <c r="J19" s="129" t="s">
        <v>146</v>
      </c>
    </row>
    <row r="20" spans="1:10" x14ac:dyDescent="0.3">
      <c r="A20" s="72" t="s">
        <v>107</v>
      </c>
      <c r="B20" s="71" t="s">
        <v>148</v>
      </c>
      <c r="C20" s="71" t="s">
        <v>199</v>
      </c>
      <c r="D20" s="142">
        <v>1</v>
      </c>
      <c r="E20" s="71">
        <v>1</v>
      </c>
      <c r="F20" s="71">
        <v>1</v>
      </c>
      <c r="G20" s="71">
        <v>0</v>
      </c>
      <c r="H20" s="108">
        <f t="shared" ca="1" si="0"/>
        <v>20</v>
      </c>
      <c r="I20" s="71">
        <f t="shared" ref="I20:I22" ca="1" si="12">SUM(D20:H20)</f>
        <v>23</v>
      </c>
      <c r="J20" s="129"/>
    </row>
    <row r="21" spans="1:10" x14ac:dyDescent="0.3">
      <c r="A21" s="72" t="s">
        <v>144</v>
      </c>
      <c r="B21" s="71" t="s">
        <v>215</v>
      </c>
      <c r="C21" s="71" t="s">
        <v>216</v>
      </c>
      <c r="D21" s="142">
        <v>1</v>
      </c>
      <c r="E21" s="71">
        <v>0</v>
      </c>
      <c r="F21" s="71">
        <v>1</v>
      </c>
      <c r="G21" s="71">
        <v>0</v>
      </c>
      <c r="H21" s="108">
        <f t="shared" ca="1" si="0"/>
        <v>1</v>
      </c>
      <c r="I21" s="71">
        <f t="shared" ca="1" si="12"/>
        <v>3</v>
      </c>
      <c r="J21" s="129"/>
    </row>
    <row r="22" spans="1:10" x14ac:dyDescent="0.3">
      <c r="A22" s="72" t="s">
        <v>144</v>
      </c>
      <c r="B22" s="71" t="s">
        <v>213</v>
      </c>
      <c r="C22" s="71" t="s">
        <v>214</v>
      </c>
      <c r="D22" s="142">
        <v>1</v>
      </c>
      <c r="E22" s="71">
        <v>2</v>
      </c>
      <c r="F22" s="71">
        <v>3</v>
      </c>
      <c r="G22" s="71">
        <v>20</v>
      </c>
      <c r="H22" s="108">
        <f t="shared" ca="1" si="0"/>
        <v>7</v>
      </c>
      <c r="I22" s="71">
        <f t="shared" ca="1" si="12"/>
        <v>33</v>
      </c>
      <c r="J22" s="129"/>
    </row>
    <row r="23" spans="1:10" x14ac:dyDescent="0.3">
      <c r="A23" s="116" t="s">
        <v>144</v>
      </c>
      <c r="B23" s="73" t="s">
        <v>217</v>
      </c>
      <c r="C23" s="73" t="s">
        <v>218</v>
      </c>
      <c r="D23" s="143">
        <v>1</v>
      </c>
      <c r="E23" s="73">
        <v>2</v>
      </c>
      <c r="F23" s="73">
        <v>3</v>
      </c>
      <c r="G23" s="203">
        <v>0</v>
      </c>
      <c r="H23" s="110">
        <f t="shared" ca="1" si="0"/>
        <v>8</v>
      </c>
      <c r="I23" s="73">
        <f t="shared" ref="I23" ca="1" si="13">SUM(D23:H23)</f>
        <v>14</v>
      </c>
      <c r="J23" s="73"/>
    </row>
    <row r="24" spans="1:10" ht="16.2" thickBot="1" x14ac:dyDescent="0.35"/>
    <row r="25" spans="1:10" ht="16.2" thickBot="1" x14ac:dyDescent="0.35">
      <c r="A25" s="123" t="s">
        <v>0</v>
      </c>
      <c r="B25" s="124" t="s">
        <v>36</v>
      </c>
      <c r="C25" s="124" t="s">
        <v>37</v>
      </c>
      <c r="D25" s="125" t="s">
        <v>38</v>
      </c>
      <c r="E25" s="124" t="s">
        <v>39</v>
      </c>
      <c r="F25" s="124" t="s">
        <v>40</v>
      </c>
      <c r="G25" s="124" t="s">
        <v>41</v>
      </c>
      <c r="H25" s="126" t="s">
        <v>42</v>
      </c>
      <c r="I25" s="127" t="s">
        <v>27</v>
      </c>
      <c r="J25" s="127" t="s">
        <v>76</v>
      </c>
    </row>
    <row r="26" spans="1:10" x14ac:dyDescent="0.3">
      <c r="A26" s="161"/>
      <c r="B26" s="160"/>
      <c r="C26" s="129"/>
      <c r="D26" s="130"/>
      <c r="E26" s="129">
        <v>0</v>
      </c>
      <c r="F26" s="129">
        <v>0</v>
      </c>
      <c r="G26" s="129">
        <v>0</v>
      </c>
      <c r="H26" s="108">
        <f t="shared" ref="H26" ca="1" si="14">RANDBETWEEN(1,20)</f>
        <v>4</v>
      </c>
      <c r="I26" s="71">
        <f t="shared" ref="I26" ca="1" si="15">SUM(D26:H26)</f>
        <v>4</v>
      </c>
      <c r="J26" s="129"/>
    </row>
  </sheetData>
  <sortState ref="A7:I13">
    <sortCondition ref="A7:A13"/>
  </sortState>
  <conditionalFormatting sqref="H25 H5 H11:H13 H15:H18 H8:H9">
    <cfRule type="cellIs" dxfId="105" priority="2711" operator="equal">
      <formula>1</formula>
    </cfRule>
    <cfRule type="cellIs" dxfId="104" priority="2712" operator="equal">
      <formula>19</formula>
    </cfRule>
    <cfRule type="cellIs" dxfId="103" priority="2713" operator="equal">
      <formula>20</formula>
    </cfRule>
  </conditionalFormatting>
  <conditionalFormatting sqref="H25">
    <cfRule type="cellIs" dxfId="102" priority="2635" operator="equal">
      <formula>1</formula>
    </cfRule>
    <cfRule type="cellIs" dxfId="101" priority="2636" operator="equal">
      <formula>19</formula>
    </cfRule>
    <cfRule type="cellIs" dxfId="100" priority="2637" operator="equal">
      <formula>20</formula>
    </cfRule>
  </conditionalFormatting>
  <conditionalFormatting sqref="H25">
    <cfRule type="cellIs" dxfId="99" priority="2557" operator="equal">
      <formula>1</formula>
    </cfRule>
    <cfRule type="cellIs" dxfId="98" priority="2558" operator="equal">
      <formula>19</formula>
    </cfRule>
    <cfRule type="cellIs" dxfId="97" priority="2559" operator="equal">
      <formula>20</formula>
    </cfRule>
  </conditionalFormatting>
  <conditionalFormatting sqref="H25">
    <cfRule type="cellIs" dxfId="96" priority="2485" operator="equal">
      <formula>1</formula>
    </cfRule>
    <cfRule type="cellIs" dxfId="95" priority="2486" operator="equal">
      <formula>19</formula>
    </cfRule>
    <cfRule type="cellIs" dxfId="94" priority="2487" operator="equal">
      <formula>20</formula>
    </cfRule>
  </conditionalFormatting>
  <conditionalFormatting sqref="H25">
    <cfRule type="cellIs" dxfId="93" priority="2479" operator="equal">
      <formula>1</formula>
    </cfRule>
    <cfRule type="cellIs" dxfId="92" priority="2480" operator="equal">
      <formula>19</formula>
    </cfRule>
    <cfRule type="cellIs" dxfId="91" priority="2481" operator="equal">
      <formula>20</formula>
    </cfRule>
  </conditionalFormatting>
  <conditionalFormatting sqref="H25">
    <cfRule type="cellIs" dxfId="90" priority="2416" operator="equal">
      <formula>1</formula>
    </cfRule>
    <cfRule type="cellIs" dxfId="89" priority="2417" operator="equal">
      <formula>19</formula>
    </cfRule>
    <cfRule type="cellIs" dxfId="88" priority="2418" operator="equal">
      <formula>20</formula>
    </cfRule>
  </conditionalFormatting>
  <conditionalFormatting sqref="H25">
    <cfRule type="cellIs" dxfId="87" priority="2380" operator="equal">
      <formula>1</formula>
    </cfRule>
    <cfRule type="cellIs" dxfId="86" priority="2381" operator="equal">
      <formula>19</formula>
    </cfRule>
    <cfRule type="cellIs" dxfId="85" priority="2382" operator="equal">
      <formula>20</formula>
    </cfRule>
  </conditionalFormatting>
  <conditionalFormatting sqref="H25">
    <cfRule type="cellIs" dxfId="84" priority="2338" operator="equal">
      <formula>1</formula>
    </cfRule>
    <cfRule type="cellIs" dxfId="83" priority="2339" operator="equal">
      <formula>19</formula>
    </cfRule>
    <cfRule type="cellIs" dxfId="82" priority="2340" operator="equal">
      <formula>20</formula>
    </cfRule>
  </conditionalFormatting>
  <conditionalFormatting sqref="H23">
    <cfRule type="cellIs" dxfId="81" priority="334" operator="equal">
      <formula>1</formula>
    </cfRule>
    <cfRule type="cellIs" dxfId="80" priority="335" operator="equal">
      <formula>19</formula>
    </cfRule>
    <cfRule type="cellIs" dxfId="79" priority="336" operator="equal">
      <formula>20</formula>
    </cfRule>
  </conditionalFormatting>
  <conditionalFormatting sqref="H23">
    <cfRule type="cellIs" dxfId="78" priority="331" operator="equal">
      <formula>1</formula>
    </cfRule>
    <cfRule type="cellIs" dxfId="77" priority="332" operator="equal">
      <formula>19</formula>
    </cfRule>
    <cfRule type="cellIs" dxfId="76" priority="333" operator="equal">
      <formula>20</formula>
    </cfRule>
  </conditionalFormatting>
  <conditionalFormatting sqref="H19:H22">
    <cfRule type="cellIs" dxfId="75" priority="322" operator="equal">
      <formula>1</formula>
    </cfRule>
    <cfRule type="cellIs" dxfId="74" priority="323" operator="equal">
      <formula>19</formula>
    </cfRule>
    <cfRule type="cellIs" dxfId="73" priority="324" operator="equal">
      <formula>20</formula>
    </cfRule>
  </conditionalFormatting>
  <conditionalFormatting sqref="H19:H22">
    <cfRule type="cellIs" dxfId="72" priority="319" operator="equal">
      <formula>1</formula>
    </cfRule>
    <cfRule type="cellIs" dxfId="71" priority="320" operator="equal">
      <formula>19</formula>
    </cfRule>
    <cfRule type="cellIs" dxfId="70" priority="321" operator="equal">
      <formula>20</formula>
    </cfRule>
  </conditionalFormatting>
  <conditionalFormatting sqref="H26">
    <cfRule type="cellIs" dxfId="69" priority="106" operator="equal">
      <formula>1</formula>
    </cfRule>
    <cfRule type="cellIs" dxfId="68" priority="107" operator="equal">
      <formula>19</formula>
    </cfRule>
    <cfRule type="cellIs" dxfId="67" priority="108" operator="equal">
      <formula>20</formula>
    </cfRule>
  </conditionalFormatting>
  <conditionalFormatting sqref="H26">
    <cfRule type="cellIs" dxfId="66" priority="103" operator="equal">
      <formula>1</formula>
    </cfRule>
    <cfRule type="cellIs" dxfId="65" priority="104" operator="equal">
      <formula>19</formula>
    </cfRule>
    <cfRule type="cellIs" dxfId="64" priority="105" operator="equal">
      <formula>20</formula>
    </cfRule>
  </conditionalFormatting>
  <conditionalFormatting sqref="H5">
    <cfRule type="cellIs" dxfId="63" priority="58" operator="equal">
      <formula>1</formula>
    </cfRule>
    <cfRule type="cellIs" dxfId="62" priority="59" operator="equal">
      <formula>19</formula>
    </cfRule>
    <cfRule type="cellIs" dxfId="61" priority="60" operator="equal">
      <formula>20</formula>
    </cfRule>
  </conditionalFormatting>
  <conditionalFormatting sqref="H5">
    <cfRule type="cellIs" dxfId="60" priority="55" operator="equal">
      <formula>1</formula>
    </cfRule>
    <cfRule type="cellIs" dxfId="59" priority="56" operator="equal">
      <formula>19</formula>
    </cfRule>
    <cfRule type="cellIs" dxfId="58" priority="57" operator="equal">
      <formula>20</formula>
    </cfRule>
  </conditionalFormatting>
  <conditionalFormatting sqref="H8">
    <cfRule type="cellIs" dxfId="57" priority="52" operator="equal">
      <formula>1</formula>
    </cfRule>
    <cfRule type="cellIs" dxfId="56" priority="53" operator="equal">
      <formula>19</formula>
    </cfRule>
    <cfRule type="cellIs" dxfId="55" priority="54" operator="equal">
      <formula>20</formula>
    </cfRule>
  </conditionalFormatting>
  <conditionalFormatting sqref="H8">
    <cfRule type="cellIs" dxfId="54" priority="49" operator="equal">
      <formula>1</formula>
    </cfRule>
    <cfRule type="cellIs" dxfId="53" priority="50" operator="equal">
      <formula>19</formula>
    </cfRule>
    <cfRule type="cellIs" dxfId="52" priority="51" operator="equal">
      <formula>20</formula>
    </cfRule>
  </conditionalFormatting>
  <conditionalFormatting sqref="H2:H4">
    <cfRule type="cellIs" dxfId="51" priority="46" operator="equal">
      <formula>1</formula>
    </cfRule>
    <cfRule type="cellIs" dxfId="50" priority="47" operator="equal">
      <formula>19</formula>
    </cfRule>
    <cfRule type="cellIs" dxfId="49" priority="48" operator="equal">
      <formula>20</formula>
    </cfRule>
  </conditionalFormatting>
  <conditionalFormatting sqref="H2:H4">
    <cfRule type="cellIs" dxfId="48" priority="43" operator="equal">
      <formula>1</formula>
    </cfRule>
    <cfRule type="cellIs" dxfId="47" priority="44" operator="equal">
      <formula>19</formula>
    </cfRule>
    <cfRule type="cellIs" dxfId="46" priority="45" operator="equal">
      <formula>20</formula>
    </cfRule>
  </conditionalFormatting>
  <conditionalFormatting sqref="H8">
    <cfRule type="cellIs" dxfId="45" priority="40" operator="equal">
      <formula>1</formula>
    </cfRule>
    <cfRule type="cellIs" dxfId="44" priority="41" operator="equal">
      <formula>19</formula>
    </cfRule>
    <cfRule type="cellIs" dxfId="43" priority="42" operator="equal">
      <formula>20</formula>
    </cfRule>
  </conditionalFormatting>
  <conditionalFormatting sqref="H8">
    <cfRule type="cellIs" dxfId="42" priority="37" operator="equal">
      <formula>1</formula>
    </cfRule>
    <cfRule type="cellIs" dxfId="41" priority="38" operator="equal">
      <formula>19</formula>
    </cfRule>
    <cfRule type="cellIs" dxfId="40" priority="39" operator="equal">
      <formula>20</formula>
    </cfRule>
  </conditionalFormatting>
  <conditionalFormatting sqref="H9">
    <cfRule type="cellIs" dxfId="39" priority="34" operator="equal">
      <formula>1</formula>
    </cfRule>
    <cfRule type="cellIs" dxfId="38" priority="35" operator="equal">
      <formula>19</formula>
    </cfRule>
    <cfRule type="cellIs" dxfId="37" priority="36" operator="equal">
      <formula>20</formula>
    </cfRule>
  </conditionalFormatting>
  <conditionalFormatting sqref="H9">
    <cfRule type="cellIs" dxfId="36" priority="31" operator="equal">
      <formula>1</formula>
    </cfRule>
    <cfRule type="cellIs" dxfId="35" priority="32" operator="equal">
      <formula>19</formula>
    </cfRule>
    <cfRule type="cellIs" dxfId="34" priority="33" operator="equal">
      <formula>20</formula>
    </cfRule>
  </conditionalFormatting>
  <conditionalFormatting sqref="H10">
    <cfRule type="cellIs" dxfId="33" priority="28" operator="equal">
      <formula>1</formula>
    </cfRule>
    <cfRule type="cellIs" dxfId="32" priority="29" operator="equal">
      <formula>19</formula>
    </cfRule>
    <cfRule type="cellIs" dxfId="31" priority="30" operator="equal">
      <formula>20</formula>
    </cfRule>
  </conditionalFormatting>
  <conditionalFormatting sqref="H10">
    <cfRule type="cellIs" dxfId="30" priority="25" operator="equal">
      <formula>1</formula>
    </cfRule>
    <cfRule type="cellIs" dxfId="29" priority="26" operator="equal">
      <formula>19</formula>
    </cfRule>
    <cfRule type="cellIs" dxfId="28" priority="27" operator="equal">
      <formula>20</formula>
    </cfRule>
  </conditionalFormatting>
  <conditionalFormatting sqref="H10">
    <cfRule type="cellIs" dxfId="27" priority="22" operator="equal">
      <formula>1</formula>
    </cfRule>
    <cfRule type="cellIs" dxfId="26" priority="23" operator="equal">
      <formula>19</formula>
    </cfRule>
    <cfRule type="cellIs" dxfId="25" priority="24" operator="equal">
      <formula>20</formula>
    </cfRule>
  </conditionalFormatting>
  <conditionalFormatting sqref="H14">
    <cfRule type="cellIs" dxfId="24" priority="19" operator="equal">
      <formula>1</formula>
    </cfRule>
    <cfRule type="cellIs" dxfId="23" priority="20" operator="equal">
      <formula>19</formula>
    </cfRule>
    <cfRule type="cellIs" dxfId="22" priority="21" operator="equal">
      <formula>20</formula>
    </cfRule>
  </conditionalFormatting>
  <conditionalFormatting sqref="H6">
    <cfRule type="cellIs" dxfId="21" priority="16" operator="equal">
      <formula>1</formula>
    </cfRule>
    <cfRule type="cellIs" dxfId="20" priority="17" operator="equal">
      <formula>19</formula>
    </cfRule>
    <cfRule type="cellIs" dxfId="19" priority="18" operator="equal">
      <formula>20</formula>
    </cfRule>
  </conditionalFormatting>
  <conditionalFormatting sqref="H6">
    <cfRule type="cellIs" dxfId="18" priority="13" operator="equal">
      <formula>1</formula>
    </cfRule>
    <cfRule type="cellIs" dxfId="17" priority="14" operator="equal">
      <formula>19</formula>
    </cfRule>
    <cfRule type="cellIs" dxfId="16" priority="15" operator="equal">
      <formula>20</formula>
    </cfRule>
  </conditionalFormatting>
  <conditionalFormatting sqref="H6">
    <cfRule type="cellIs" dxfId="15" priority="10" operator="equal">
      <formula>1</formula>
    </cfRule>
    <cfRule type="cellIs" dxfId="14" priority="11" operator="equal">
      <formula>19</formula>
    </cfRule>
    <cfRule type="cellIs" dxfId="13" priority="12" operator="equal">
      <formula>20</formula>
    </cfRule>
  </conditionalFormatting>
  <conditionalFormatting sqref="H7">
    <cfRule type="cellIs" dxfId="12" priority="7" operator="equal">
      <formula>1</formula>
    </cfRule>
    <cfRule type="cellIs" dxfId="11" priority="8" operator="equal">
      <formula>19</formula>
    </cfRule>
    <cfRule type="cellIs" dxfId="10" priority="9" operator="equal">
      <formula>20</formula>
    </cfRule>
  </conditionalFormatting>
  <conditionalFormatting sqref="H7">
    <cfRule type="cellIs" dxfId="9" priority="4" operator="equal">
      <formula>1</formula>
    </cfRule>
    <cfRule type="cellIs" dxfId="8" priority="5" operator="equal">
      <formula>19</formula>
    </cfRule>
    <cfRule type="cellIs" dxfId="7" priority="6" operator="equal">
      <formula>20</formula>
    </cfRule>
  </conditionalFormatting>
  <conditionalFormatting sqref="H7">
    <cfRule type="cellIs" dxfId="6" priority="1" operator="equal">
      <formula>1</formula>
    </cfRule>
    <cfRule type="cellIs" dxfId="5" priority="2" operator="equal">
      <formula>19</formula>
    </cfRule>
    <cfRule type="cellIs" dxfId="4" priority="3" operator="equal">
      <formula>20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showGridLines="0" workbookViewId="0"/>
  </sheetViews>
  <sheetFormatPr defaultColWidth="3.8984375" defaultRowHeight="15.6" x14ac:dyDescent="0.3"/>
  <cols>
    <col min="1" max="1" width="12.19921875" style="20" bestFit="1" customWidth="1"/>
    <col min="2" max="2" width="8.09765625" style="20" bestFit="1" customWidth="1"/>
    <col min="3" max="3" width="6.19921875" style="20" bestFit="1" customWidth="1"/>
    <col min="4" max="4" width="4.296875" style="20" bestFit="1" customWidth="1"/>
    <col min="5" max="5" width="5" style="20" bestFit="1" customWidth="1"/>
    <col min="6" max="6" width="1.69921875" style="20" customWidth="1"/>
    <col min="7" max="7" width="21.69921875" style="20" bestFit="1" customWidth="1"/>
    <col min="8" max="8" width="1.69921875" style="20" customWidth="1"/>
    <col min="9" max="9" width="18.69921875" style="20" bestFit="1" customWidth="1"/>
    <col min="10" max="16384" width="3.8984375" style="20"/>
  </cols>
  <sheetData>
    <row r="1" spans="1:10" s="22" customFormat="1" x14ac:dyDescent="0.3">
      <c r="A1" s="112" t="s">
        <v>0</v>
      </c>
      <c r="B1" s="112" t="s">
        <v>73</v>
      </c>
      <c r="C1" s="112" t="s">
        <v>43</v>
      </c>
      <c r="D1" s="111" t="s">
        <v>3</v>
      </c>
      <c r="E1" s="112" t="s">
        <v>44</v>
      </c>
      <c r="F1" s="195"/>
      <c r="G1" s="112" t="s">
        <v>112</v>
      </c>
      <c r="H1" s="195"/>
      <c r="I1" s="112" t="s">
        <v>113</v>
      </c>
    </row>
    <row r="2" spans="1:10" x14ac:dyDescent="0.3">
      <c r="A2" s="119" t="s">
        <v>102</v>
      </c>
      <c r="B2" s="120" t="s">
        <v>45</v>
      </c>
      <c r="C2" s="117">
        <f>2+3+1+5+2</f>
        <v>13</v>
      </c>
      <c r="D2" s="109">
        <f t="shared" ref="D2:D19" ca="1" si="0">RANDBETWEEN(1,20)</f>
        <v>17</v>
      </c>
      <c r="E2" s="70">
        <f t="shared" ref="E2:E16" ca="1" si="1">D2+C2</f>
        <v>30</v>
      </c>
      <c r="F2" s="196"/>
    </row>
    <row r="3" spans="1:10" x14ac:dyDescent="0.3">
      <c r="A3" s="72" t="s">
        <v>102</v>
      </c>
      <c r="B3" s="120" t="s">
        <v>46</v>
      </c>
      <c r="C3" s="117">
        <f>1+0+4+5+2</f>
        <v>12</v>
      </c>
      <c r="D3" s="108">
        <f t="shared" ca="1" si="0"/>
        <v>8</v>
      </c>
      <c r="E3" s="71">
        <f t="shared" ca="1" si="1"/>
        <v>20</v>
      </c>
      <c r="F3" s="196"/>
    </row>
    <row r="4" spans="1:10" x14ac:dyDescent="0.3">
      <c r="A4" s="116" t="s">
        <v>102</v>
      </c>
      <c r="B4" s="121" t="s">
        <v>47</v>
      </c>
      <c r="C4" s="118">
        <f>-2+0+1+2+4</f>
        <v>5</v>
      </c>
      <c r="D4" s="110">
        <f t="shared" ca="1" si="0"/>
        <v>4</v>
      </c>
      <c r="E4" s="73">
        <f t="shared" ca="1" si="1"/>
        <v>9</v>
      </c>
      <c r="F4" s="196"/>
      <c r="J4" s="198" t="s">
        <v>85</v>
      </c>
    </row>
    <row r="5" spans="1:10" x14ac:dyDescent="0.3">
      <c r="A5" s="119" t="s">
        <v>101</v>
      </c>
      <c r="B5" s="120" t="s">
        <v>45</v>
      </c>
      <c r="C5" s="117">
        <f>1+2+1+3</f>
        <v>7</v>
      </c>
      <c r="D5" s="109">
        <f t="shared" ca="1" si="0"/>
        <v>10</v>
      </c>
      <c r="E5" s="70">
        <f t="shared" ca="1" si="1"/>
        <v>17</v>
      </c>
      <c r="F5" s="196"/>
      <c r="G5" s="197" t="s">
        <v>114</v>
      </c>
      <c r="H5" s="197"/>
      <c r="I5" s="20" t="s">
        <v>110</v>
      </c>
    </row>
    <row r="6" spans="1:10" x14ac:dyDescent="0.3">
      <c r="A6" s="72" t="s">
        <v>101</v>
      </c>
      <c r="B6" s="120" t="s">
        <v>46</v>
      </c>
      <c r="C6" s="117">
        <f>4+5+4</f>
        <v>13</v>
      </c>
      <c r="D6" s="108">
        <f t="shared" ca="1" si="0"/>
        <v>11</v>
      </c>
      <c r="E6" s="71">
        <f t="shared" ca="1" si="1"/>
        <v>24</v>
      </c>
      <c r="F6" s="196"/>
      <c r="G6" s="197" t="s">
        <v>114</v>
      </c>
      <c r="H6" s="197"/>
      <c r="I6" s="20" t="s">
        <v>111</v>
      </c>
    </row>
    <row r="7" spans="1:10" x14ac:dyDescent="0.3">
      <c r="A7" s="116" t="s">
        <v>101</v>
      </c>
      <c r="B7" s="121" t="s">
        <v>47</v>
      </c>
      <c r="C7" s="118">
        <f>1+2+3</f>
        <v>6</v>
      </c>
      <c r="D7" s="110">
        <f t="shared" ca="1" si="0"/>
        <v>2</v>
      </c>
      <c r="E7" s="73">
        <f t="shared" ca="1" si="1"/>
        <v>8</v>
      </c>
      <c r="F7" s="196"/>
      <c r="G7" s="197" t="s">
        <v>114</v>
      </c>
      <c r="H7" s="197"/>
      <c r="I7" s="20" t="s">
        <v>115</v>
      </c>
    </row>
    <row r="8" spans="1:10" x14ac:dyDescent="0.3">
      <c r="A8" s="119" t="s">
        <v>103</v>
      </c>
      <c r="B8" s="120" t="s">
        <v>45</v>
      </c>
      <c r="C8" s="117">
        <f>3+7+1</f>
        <v>11</v>
      </c>
      <c r="D8" s="109">
        <f t="shared" ca="1" si="0"/>
        <v>17</v>
      </c>
      <c r="E8" s="70">
        <f t="shared" ca="1" si="1"/>
        <v>28</v>
      </c>
      <c r="F8" s="196"/>
    </row>
    <row r="9" spans="1:10" x14ac:dyDescent="0.3">
      <c r="A9" s="72" t="s">
        <v>103</v>
      </c>
      <c r="B9" s="120" t="s">
        <v>46</v>
      </c>
      <c r="C9" s="117">
        <f>3+3+4</f>
        <v>10</v>
      </c>
      <c r="D9" s="108">
        <f t="shared" ca="1" si="0"/>
        <v>17</v>
      </c>
      <c r="E9" s="71">
        <f t="shared" ca="1" si="1"/>
        <v>27</v>
      </c>
      <c r="F9" s="196"/>
    </row>
    <row r="10" spans="1:10" x14ac:dyDescent="0.3">
      <c r="A10" s="116" t="s">
        <v>103</v>
      </c>
      <c r="B10" s="121" t="s">
        <v>47</v>
      </c>
      <c r="C10" s="118">
        <f>5+3+2</f>
        <v>10</v>
      </c>
      <c r="D10" s="110">
        <f t="shared" ca="1" si="0"/>
        <v>17</v>
      </c>
      <c r="E10" s="73">
        <f t="shared" ca="1" si="1"/>
        <v>27</v>
      </c>
      <c r="F10" s="196"/>
    </row>
    <row r="11" spans="1:10" x14ac:dyDescent="0.3">
      <c r="A11" s="119" t="s">
        <v>104</v>
      </c>
      <c r="B11" s="120" t="s">
        <v>45</v>
      </c>
      <c r="C11" s="117">
        <f>6+3</f>
        <v>9</v>
      </c>
      <c r="D11" s="109">
        <f t="shared" ca="1" si="0"/>
        <v>20</v>
      </c>
      <c r="E11" s="70">
        <f t="shared" ca="1" si="1"/>
        <v>29</v>
      </c>
      <c r="F11" s="196"/>
    </row>
    <row r="12" spans="1:10" x14ac:dyDescent="0.3">
      <c r="A12" s="72" t="s">
        <v>104</v>
      </c>
      <c r="B12" s="120" t="s">
        <v>46</v>
      </c>
      <c r="C12" s="117">
        <f>2+2</f>
        <v>4</v>
      </c>
      <c r="D12" s="108">
        <f t="shared" ca="1" si="0"/>
        <v>11</v>
      </c>
      <c r="E12" s="71">
        <f t="shared" ca="1" si="1"/>
        <v>15</v>
      </c>
      <c r="F12" s="196"/>
    </row>
    <row r="13" spans="1:10" x14ac:dyDescent="0.3">
      <c r="A13" s="116" t="s">
        <v>104</v>
      </c>
      <c r="B13" s="121" t="s">
        <v>47</v>
      </c>
      <c r="C13" s="118">
        <f>3+1</f>
        <v>4</v>
      </c>
      <c r="D13" s="110">
        <f t="shared" ca="1" si="0"/>
        <v>16</v>
      </c>
      <c r="E13" s="73">
        <f t="shared" ca="1" si="1"/>
        <v>20</v>
      </c>
      <c r="F13" s="196"/>
    </row>
    <row r="14" spans="1:10" x14ac:dyDescent="0.3">
      <c r="A14" s="119" t="s">
        <v>105</v>
      </c>
      <c r="B14" s="120" t="s">
        <v>45</v>
      </c>
      <c r="C14" s="117">
        <f>6+3</f>
        <v>9</v>
      </c>
      <c r="D14" s="109">
        <f t="shared" ca="1" si="0"/>
        <v>11</v>
      </c>
      <c r="E14" s="70">
        <f t="shared" ca="1" si="1"/>
        <v>20</v>
      </c>
      <c r="F14" s="196"/>
    </row>
    <row r="15" spans="1:10" x14ac:dyDescent="0.3">
      <c r="A15" s="72" t="s">
        <v>105</v>
      </c>
      <c r="B15" s="120" t="s">
        <v>46</v>
      </c>
      <c r="C15" s="117">
        <f>6+3</f>
        <v>9</v>
      </c>
      <c r="D15" s="108">
        <f t="shared" ca="1" si="0"/>
        <v>9</v>
      </c>
      <c r="E15" s="71">
        <f t="shared" ca="1" si="1"/>
        <v>18</v>
      </c>
      <c r="F15" s="196"/>
    </row>
    <row r="16" spans="1:10" x14ac:dyDescent="0.3">
      <c r="A16" s="116" t="s">
        <v>105</v>
      </c>
      <c r="B16" s="121" t="s">
        <v>47</v>
      </c>
      <c r="C16" s="118">
        <f>2+3</f>
        <v>5</v>
      </c>
      <c r="D16" s="110">
        <f t="shared" ca="1" si="0"/>
        <v>14</v>
      </c>
      <c r="E16" s="73">
        <f t="shared" ca="1" si="1"/>
        <v>19</v>
      </c>
      <c r="F16" s="196"/>
    </row>
    <row r="17" spans="1:6" x14ac:dyDescent="0.3">
      <c r="A17" s="119" t="s">
        <v>142</v>
      </c>
      <c r="B17" s="120" t="s">
        <v>45</v>
      </c>
      <c r="C17" s="117">
        <v>4</v>
      </c>
      <c r="D17" s="109">
        <f t="shared" ca="1" si="0"/>
        <v>12</v>
      </c>
      <c r="E17" s="70">
        <f t="shared" ref="E17:E19" ca="1" si="2">D17+C17</f>
        <v>16</v>
      </c>
      <c r="F17" s="196"/>
    </row>
    <row r="18" spans="1:6" x14ac:dyDescent="0.3">
      <c r="A18" s="72" t="s">
        <v>142</v>
      </c>
      <c r="B18" s="120" t="s">
        <v>46</v>
      </c>
      <c r="C18" s="117">
        <v>1</v>
      </c>
      <c r="D18" s="108">
        <f t="shared" ca="1" si="0"/>
        <v>1</v>
      </c>
      <c r="E18" s="71">
        <f t="shared" ca="1" si="2"/>
        <v>2</v>
      </c>
      <c r="F18" s="196"/>
    </row>
    <row r="19" spans="1:6" x14ac:dyDescent="0.3">
      <c r="A19" s="116" t="s">
        <v>142</v>
      </c>
      <c r="B19" s="121" t="s">
        <v>47</v>
      </c>
      <c r="C19" s="118">
        <v>-2</v>
      </c>
      <c r="D19" s="110">
        <f t="shared" ca="1" si="0"/>
        <v>5</v>
      </c>
      <c r="E19" s="73">
        <f t="shared" ca="1" si="2"/>
        <v>3</v>
      </c>
      <c r="F19" s="196"/>
    </row>
    <row r="20" spans="1:6" x14ac:dyDescent="0.3">
      <c r="A20" s="119" t="s">
        <v>141</v>
      </c>
      <c r="B20" s="120" t="s">
        <v>45</v>
      </c>
      <c r="C20" s="117">
        <f>2+0</f>
        <v>2</v>
      </c>
      <c r="D20" s="109">
        <f t="shared" ref="D20:D22" ca="1" si="3">RANDBETWEEN(1,20)</f>
        <v>7</v>
      </c>
      <c r="E20" s="70">
        <f t="shared" ref="E20:E22" ca="1" si="4">D20+C20</f>
        <v>9</v>
      </c>
      <c r="F20" s="196"/>
    </row>
    <row r="21" spans="1:6" x14ac:dyDescent="0.3">
      <c r="A21" s="72" t="s">
        <v>141</v>
      </c>
      <c r="B21" s="120" t="s">
        <v>46</v>
      </c>
      <c r="C21" s="117">
        <f>1+1</f>
        <v>2</v>
      </c>
      <c r="D21" s="108">
        <f t="shared" ca="1" si="3"/>
        <v>12</v>
      </c>
      <c r="E21" s="71">
        <f t="shared" ca="1" si="4"/>
        <v>14</v>
      </c>
      <c r="F21" s="196"/>
    </row>
    <row r="22" spans="1:6" x14ac:dyDescent="0.3">
      <c r="A22" s="116" t="s">
        <v>141</v>
      </c>
      <c r="B22" s="121" t="s">
        <v>47</v>
      </c>
      <c r="C22" s="118">
        <f>0+3</f>
        <v>3</v>
      </c>
      <c r="D22" s="110">
        <f t="shared" ca="1" si="3"/>
        <v>19</v>
      </c>
      <c r="E22" s="73">
        <f t="shared" ca="1" si="4"/>
        <v>22</v>
      </c>
      <c r="F22" s="196"/>
    </row>
    <row r="23" spans="1:6" x14ac:dyDescent="0.3">
      <c r="A23" s="191"/>
      <c r="B23" s="191"/>
      <c r="C23" s="191"/>
      <c r="D23" s="191"/>
      <c r="E23" s="191"/>
      <c r="F23" s="196"/>
    </row>
    <row r="24" spans="1:6" x14ac:dyDescent="0.3">
      <c r="A24" s="189"/>
      <c r="B24" s="120"/>
      <c r="C24" s="170"/>
      <c r="D24" s="108">
        <f t="shared" ref="D24:D25" ca="1" si="5">RANDBETWEEN(1,20)</f>
        <v>6</v>
      </c>
      <c r="E24" s="71">
        <f ca="1">D24+C24</f>
        <v>6</v>
      </c>
      <c r="F24" s="196"/>
    </row>
    <row r="25" spans="1:6" x14ac:dyDescent="0.3">
      <c r="A25" s="190"/>
      <c r="B25" s="121"/>
      <c r="C25" s="171"/>
      <c r="D25" s="110">
        <f t="shared" ca="1" si="5"/>
        <v>9</v>
      </c>
      <c r="E25" s="73">
        <f ca="1">D25+C25</f>
        <v>9</v>
      </c>
      <c r="F25" s="196"/>
    </row>
    <row r="26" spans="1:6" x14ac:dyDescent="0.3">
      <c r="A26" s="189"/>
      <c r="B26" s="120"/>
      <c r="C26" s="170"/>
      <c r="D26" s="108">
        <f ca="1">RANDBETWEEN(1,20)</f>
        <v>4</v>
      </c>
      <c r="E26" s="71">
        <f ca="1">D26+C26</f>
        <v>4</v>
      </c>
      <c r="F26" s="196"/>
    </row>
    <row r="27" spans="1:6" x14ac:dyDescent="0.3">
      <c r="A27" s="190"/>
      <c r="B27" s="121"/>
      <c r="C27" s="171"/>
      <c r="D27" s="110">
        <f ca="1">RANDBETWEEN(1,20)</f>
        <v>6</v>
      </c>
      <c r="E27" s="73">
        <f ca="1">D27+C27</f>
        <v>6</v>
      </c>
      <c r="F27" s="196"/>
    </row>
    <row r="28" spans="1:6" x14ac:dyDescent="0.3">
      <c r="A28" s="190"/>
      <c r="B28" s="121"/>
      <c r="C28" s="118"/>
      <c r="D28" s="110">
        <f t="shared" ref="D28" ca="1" si="6">RANDBETWEEN(1,20)</f>
        <v>9</v>
      </c>
      <c r="E28" s="73">
        <f t="shared" ref="E28" ca="1" si="7">D28+C28</f>
        <v>9</v>
      </c>
      <c r="F28" s="196"/>
    </row>
    <row r="29" spans="1:6" x14ac:dyDescent="0.3">
      <c r="A29" s="190"/>
      <c r="B29" s="121"/>
      <c r="C29" s="171"/>
      <c r="D29" s="110">
        <f ca="1">RANDBETWEEN(1,20)</f>
        <v>18</v>
      </c>
      <c r="E29" s="73">
        <f ca="1">D29+C29</f>
        <v>18</v>
      </c>
      <c r="F29" s="196"/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7.59765625" style="22" bestFit="1" customWidth="1"/>
    <col min="2" max="2" width="5" style="22" bestFit="1" customWidth="1"/>
    <col min="3" max="3" width="5.8984375" style="22" bestFit="1" customWidth="1"/>
    <col min="4" max="4" width="3.69921875" style="22" bestFit="1" customWidth="1"/>
    <col min="5" max="5" width="6.09765625" style="22" bestFit="1" customWidth="1"/>
    <col min="6" max="6" width="8.5" style="20" customWidth="1"/>
    <col min="7" max="7" width="2.3984375" style="20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5" style="20" bestFit="1" customWidth="1"/>
    <col min="16" max="16" width="5.5" style="20" bestFit="1" customWidth="1"/>
    <col min="17" max="17" width="6.09765625" style="20" bestFit="1" customWidth="1"/>
    <col min="18" max="18" width="4.59765625" style="20" bestFit="1" customWidth="1"/>
    <col min="19" max="19" width="5.796875" style="20" bestFit="1" customWidth="1"/>
    <col min="20" max="20" width="6.09765625" style="20" bestFit="1" customWidth="1"/>
    <col min="21" max="21" width="9" style="20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6.69921875" style="20" hidden="1" customWidth="1"/>
    <col min="27" max="27" width="7.59765625" style="20" bestFit="1" customWidth="1"/>
    <col min="28" max="28" width="1.796875" style="20" customWidth="1"/>
    <col min="29" max="29" width="9.09765625" style="20" bestFit="1" customWidth="1"/>
    <col min="30" max="16384" width="9" style="20"/>
  </cols>
  <sheetData>
    <row r="1" spans="1:29" s="17" customFormat="1" ht="32.4" thickTop="1" thickBot="1" x14ac:dyDescent="0.35">
      <c r="A1" s="55" t="s">
        <v>0</v>
      </c>
      <c r="B1" s="134" t="s">
        <v>49</v>
      </c>
      <c r="C1" s="135" t="s">
        <v>48</v>
      </c>
      <c r="D1" s="136" t="s">
        <v>50</v>
      </c>
      <c r="E1" s="113" t="s">
        <v>75</v>
      </c>
      <c r="F1" s="95" t="s">
        <v>51</v>
      </c>
      <c r="G1" s="96"/>
      <c r="H1" s="52" t="s">
        <v>52</v>
      </c>
      <c r="I1" s="16" t="s">
        <v>53</v>
      </c>
      <c r="J1" s="18" t="s">
        <v>54</v>
      </c>
      <c r="K1" s="23" t="s">
        <v>55</v>
      </c>
      <c r="L1" s="26" t="s">
        <v>56</v>
      </c>
      <c r="M1" s="29" t="s">
        <v>57</v>
      </c>
      <c r="N1" s="35" t="s">
        <v>58</v>
      </c>
      <c r="O1" s="38" t="s">
        <v>59</v>
      </c>
      <c r="P1" s="41" t="s">
        <v>60</v>
      </c>
      <c r="Q1" s="44" t="s">
        <v>61</v>
      </c>
      <c r="R1" s="46" t="s">
        <v>62</v>
      </c>
      <c r="S1" s="49" t="s">
        <v>63</v>
      </c>
      <c r="T1" s="32" t="s">
        <v>64</v>
      </c>
      <c r="U1" s="56" t="s">
        <v>65</v>
      </c>
      <c r="V1" s="59" t="s">
        <v>66</v>
      </c>
      <c r="W1" s="65" t="s">
        <v>67</v>
      </c>
      <c r="X1" s="68" t="s">
        <v>68</v>
      </c>
      <c r="Y1" s="63" t="s">
        <v>69</v>
      </c>
      <c r="Z1" s="59" t="s">
        <v>70</v>
      </c>
      <c r="AA1" s="62" t="s">
        <v>71</v>
      </c>
      <c r="AC1" s="132" t="s">
        <v>77</v>
      </c>
    </row>
    <row r="2" spans="1:29" ht="16.2" thickTop="1" x14ac:dyDescent="0.3">
      <c r="A2" s="144" t="s">
        <v>78</v>
      </c>
      <c r="B2" s="137">
        <f>1+10+5+1</f>
        <v>17</v>
      </c>
      <c r="C2" s="138">
        <f>D2-5</f>
        <v>18</v>
      </c>
      <c r="D2" s="139">
        <f>B2+6</f>
        <v>23</v>
      </c>
      <c r="E2" s="114">
        <v>0</v>
      </c>
      <c r="F2" s="97" t="s">
        <v>72</v>
      </c>
      <c r="G2" s="98">
        <v>0</v>
      </c>
      <c r="H2" s="53">
        <v>13</v>
      </c>
      <c r="I2" s="19">
        <v>25</v>
      </c>
      <c r="J2" s="156" t="s">
        <v>203</v>
      </c>
      <c r="K2" s="24"/>
      <c r="L2" s="27"/>
      <c r="M2" s="30">
        <v>32</v>
      </c>
      <c r="N2" s="36"/>
      <c r="O2" s="39"/>
      <c r="P2" s="42"/>
      <c r="Q2" s="149" t="s">
        <v>87</v>
      </c>
      <c r="R2" s="47"/>
      <c r="S2" s="50"/>
      <c r="T2" s="33">
        <v>16</v>
      </c>
      <c r="U2" s="57">
        <v>5</v>
      </c>
      <c r="V2" s="60">
        <f t="shared" ref="V2:V5" si="0">SUM(H2:U2)</f>
        <v>91</v>
      </c>
      <c r="W2" s="66"/>
      <c r="X2" s="69">
        <v>51</v>
      </c>
      <c r="Y2" s="64">
        <v>87</v>
      </c>
      <c r="Z2" s="60">
        <f t="shared" ref="Z2:Z5" si="1">Y2+X2-(V2+W2)</f>
        <v>47</v>
      </c>
      <c r="AA2" s="104">
        <f t="shared" ref="AA2:AA5" si="2">SMALL(Y2:Z2,1)</f>
        <v>47</v>
      </c>
      <c r="AC2" s="133"/>
    </row>
    <row r="3" spans="1:29" x14ac:dyDescent="0.3">
      <c r="A3" s="145" t="s">
        <v>79</v>
      </c>
      <c r="B3" s="137">
        <f>15</f>
        <v>15</v>
      </c>
      <c r="C3" s="141">
        <f>21</f>
        <v>21</v>
      </c>
      <c r="D3" s="139">
        <f>26</f>
        <v>26</v>
      </c>
      <c r="E3" s="115">
        <v>0</v>
      </c>
      <c r="F3" s="99" t="s">
        <v>210</v>
      </c>
      <c r="G3" s="100">
        <v>3</v>
      </c>
      <c r="H3" s="54"/>
      <c r="I3" s="21">
        <v>21</v>
      </c>
      <c r="J3" s="156" t="s">
        <v>203</v>
      </c>
      <c r="K3" s="25"/>
      <c r="L3" s="28"/>
      <c r="M3" s="31">
        <v>32</v>
      </c>
      <c r="N3" s="37"/>
      <c r="O3" s="40"/>
      <c r="P3" s="43"/>
      <c r="Q3" s="149" t="s">
        <v>87</v>
      </c>
      <c r="R3" s="48"/>
      <c r="S3" s="51"/>
      <c r="T3" s="34">
        <v>14</v>
      </c>
      <c r="U3" s="58">
        <v>5</v>
      </c>
      <c r="V3" s="60">
        <f t="shared" si="0"/>
        <v>72</v>
      </c>
      <c r="W3" s="67"/>
      <c r="X3" s="69">
        <v>13</v>
      </c>
      <c r="Y3" s="64">
        <v>78</v>
      </c>
      <c r="Z3" s="61">
        <f t="shared" si="1"/>
        <v>19</v>
      </c>
      <c r="AA3" s="104">
        <f t="shared" si="2"/>
        <v>19</v>
      </c>
      <c r="AC3" s="133"/>
    </row>
    <row r="4" spans="1:29" x14ac:dyDescent="0.3">
      <c r="A4" s="145" t="s">
        <v>80</v>
      </c>
      <c r="B4" s="137">
        <f>13+5</f>
        <v>18</v>
      </c>
      <c r="C4" s="138">
        <f>23+2</f>
        <v>25</v>
      </c>
      <c r="D4" s="139">
        <f>27+2</f>
        <v>29</v>
      </c>
      <c r="E4" s="115">
        <v>0</v>
      </c>
      <c r="F4" s="99" t="s">
        <v>210</v>
      </c>
      <c r="G4" s="100">
        <v>3</v>
      </c>
      <c r="H4" s="54">
        <v>67</v>
      </c>
      <c r="I4" s="21">
        <v>26</v>
      </c>
      <c r="J4" s="156" t="s">
        <v>203</v>
      </c>
      <c r="K4" s="25"/>
      <c r="L4" s="28"/>
      <c r="M4" s="31">
        <v>9</v>
      </c>
      <c r="N4" s="37"/>
      <c r="O4" s="40"/>
      <c r="P4" s="148" t="s">
        <v>87</v>
      </c>
      <c r="Q4" s="45"/>
      <c r="R4" s="48"/>
      <c r="S4" s="51"/>
      <c r="T4" s="34">
        <v>15</v>
      </c>
      <c r="U4" s="58">
        <v>5</v>
      </c>
      <c r="V4" s="60">
        <f t="shared" si="0"/>
        <v>122</v>
      </c>
      <c r="W4" s="67"/>
      <c r="X4" s="69">
        <v>30</v>
      </c>
      <c r="Y4" s="64">
        <v>114</v>
      </c>
      <c r="Z4" s="61">
        <f t="shared" si="1"/>
        <v>22</v>
      </c>
      <c r="AA4" s="173">
        <f t="shared" si="2"/>
        <v>22</v>
      </c>
      <c r="AC4" s="133"/>
    </row>
    <row r="5" spans="1:29" x14ac:dyDescent="0.3">
      <c r="A5" s="146" t="s">
        <v>81</v>
      </c>
      <c r="B5" s="137">
        <f>12</f>
        <v>12</v>
      </c>
      <c r="C5" s="138">
        <f>20</f>
        <v>20</v>
      </c>
      <c r="D5" s="139">
        <f>21</f>
        <v>21</v>
      </c>
      <c r="E5" s="115">
        <v>0</v>
      </c>
      <c r="F5" s="99" t="s">
        <v>72</v>
      </c>
      <c r="G5" s="100">
        <v>0</v>
      </c>
      <c r="H5" s="54"/>
      <c r="I5" s="21">
        <v>13</v>
      </c>
      <c r="J5" s="156" t="s">
        <v>203</v>
      </c>
      <c r="K5" s="25"/>
      <c r="L5" s="28"/>
      <c r="M5" s="31">
        <v>10</v>
      </c>
      <c r="N5" s="37"/>
      <c r="O5" s="40"/>
      <c r="P5" s="43"/>
      <c r="Q5" s="45"/>
      <c r="R5" s="48"/>
      <c r="S5" s="51"/>
      <c r="T5" s="34">
        <v>13</v>
      </c>
      <c r="U5" s="58">
        <v>5</v>
      </c>
      <c r="V5" s="60">
        <f t="shared" si="0"/>
        <v>41</v>
      </c>
      <c r="W5" s="67"/>
      <c r="X5" s="69"/>
      <c r="Y5" s="64">
        <v>98</v>
      </c>
      <c r="Z5" s="61">
        <f t="shared" si="1"/>
        <v>57</v>
      </c>
      <c r="AA5" s="104">
        <f t="shared" si="2"/>
        <v>57</v>
      </c>
      <c r="AC5" s="133"/>
    </row>
    <row r="6" spans="1:29" x14ac:dyDescent="0.3">
      <c r="A6" s="147" t="s">
        <v>102</v>
      </c>
      <c r="B6" s="140">
        <f>10+Initiative!C6</f>
        <v>13</v>
      </c>
      <c r="C6" s="141">
        <f>D6-Initiative!C6</f>
        <v>22</v>
      </c>
      <c r="D6" s="139">
        <f>B6+Initiative!O3</f>
        <v>25</v>
      </c>
      <c r="E6" s="115">
        <v>25</v>
      </c>
      <c r="F6" s="99" t="s">
        <v>72</v>
      </c>
      <c r="G6" s="100">
        <v>0</v>
      </c>
      <c r="H6" s="154"/>
      <c r="I6" s="155"/>
      <c r="J6" s="156"/>
      <c r="K6" s="204" t="s">
        <v>221</v>
      </c>
      <c r="L6" s="158"/>
      <c r="M6" s="31"/>
      <c r="N6" s="159"/>
      <c r="O6" s="193" t="s">
        <v>87</v>
      </c>
      <c r="P6" s="150"/>
      <c r="Q6" s="149" t="s">
        <v>87</v>
      </c>
      <c r="R6" s="48"/>
      <c r="S6" s="152"/>
      <c r="T6" s="153"/>
      <c r="U6" s="58"/>
      <c r="V6" s="60">
        <f t="shared" ref="V6:V11" si="3">SUM(H6:U6)</f>
        <v>0</v>
      </c>
      <c r="W6" s="67"/>
      <c r="X6" s="69"/>
      <c r="Y6" s="64">
        <f>ROUNDDOWN((10*2*0.75)+(6*5*0.75)+(8*6*0.75)+(13*2),0)</f>
        <v>99</v>
      </c>
      <c r="Z6" s="61">
        <f t="shared" ref="Z6" si="4">Y6+X6-(V6+W6)</f>
        <v>99</v>
      </c>
      <c r="AA6" s="104">
        <f t="shared" ref="AA6" si="5">SMALL(Y6:Z6,1)</f>
        <v>99</v>
      </c>
      <c r="AC6" s="133"/>
    </row>
    <row r="7" spans="1:29" x14ac:dyDescent="0.3">
      <c r="A7" s="202" t="s">
        <v>101</v>
      </c>
      <c r="B7" s="140">
        <f>1+10+Initiative!C7</f>
        <v>12</v>
      </c>
      <c r="C7" s="141">
        <f>D7-Initiative!C7</f>
        <v>26</v>
      </c>
      <c r="D7" s="139">
        <f>1+B7+Initiative!O4</f>
        <v>27</v>
      </c>
      <c r="E7" s="115">
        <v>20</v>
      </c>
      <c r="F7" s="99" t="s">
        <v>72</v>
      </c>
      <c r="G7" s="100">
        <v>0</v>
      </c>
      <c r="H7" s="154">
        <v>30</v>
      </c>
      <c r="I7" s="155">
        <v>16</v>
      </c>
      <c r="J7" s="156"/>
      <c r="K7" s="204">
        <v>10</v>
      </c>
      <c r="L7" s="158"/>
      <c r="M7" s="31">
        <v>18</v>
      </c>
      <c r="N7" s="159"/>
      <c r="O7" s="193" t="s">
        <v>87</v>
      </c>
      <c r="P7" s="150"/>
      <c r="Q7" s="149" t="s">
        <v>87</v>
      </c>
      <c r="R7" s="48"/>
      <c r="S7" s="152"/>
      <c r="T7" s="153">
        <v>50</v>
      </c>
      <c r="U7" s="58"/>
      <c r="V7" s="60">
        <f t="shared" si="3"/>
        <v>124</v>
      </c>
      <c r="W7" s="67"/>
      <c r="X7" s="69"/>
      <c r="Y7" s="64">
        <f>ROUNDDOWN((6*5*0.75)+(8*6*0.75)+(12*3),0)</f>
        <v>94</v>
      </c>
      <c r="Z7" s="61">
        <f t="shared" ref="Z7:Z11" si="6">Y7+X7-(V7+W7)</f>
        <v>-30</v>
      </c>
      <c r="AA7" s="104">
        <f t="shared" ref="AA7:AA11" si="7">SMALL(Y7:Z7,1)</f>
        <v>-30</v>
      </c>
      <c r="AC7" s="133"/>
    </row>
    <row r="8" spans="1:29" x14ac:dyDescent="0.3">
      <c r="A8" s="147" t="s">
        <v>103</v>
      </c>
      <c r="B8" s="140">
        <f>10+Initiative!C8</f>
        <v>19</v>
      </c>
      <c r="C8" s="138">
        <f>D8-Initiative!C8</f>
        <v>17</v>
      </c>
      <c r="D8" s="139">
        <f>B8+Initiative!O5</f>
        <v>26</v>
      </c>
      <c r="E8" s="115">
        <v>15</v>
      </c>
      <c r="F8" s="99" t="s">
        <v>72</v>
      </c>
      <c r="G8" s="100">
        <v>0</v>
      </c>
      <c r="H8" s="154">
        <v>6</v>
      </c>
      <c r="I8" s="155"/>
      <c r="J8" s="156"/>
      <c r="K8" s="204" t="s">
        <v>221</v>
      </c>
      <c r="L8" s="158"/>
      <c r="M8" s="31"/>
      <c r="N8" s="159"/>
      <c r="O8" s="193" t="s">
        <v>87</v>
      </c>
      <c r="P8" s="150"/>
      <c r="Q8" s="45"/>
      <c r="R8" s="48"/>
      <c r="S8" s="152"/>
      <c r="T8" s="153"/>
      <c r="U8" s="58"/>
      <c r="V8" s="60">
        <f t="shared" si="3"/>
        <v>6</v>
      </c>
      <c r="W8" s="67"/>
      <c r="X8" s="69"/>
      <c r="Y8" s="64">
        <f>11+ROUNDDOWN((11*10*0.75)+(11*1),0)</f>
        <v>104</v>
      </c>
      <c r="Z8" s="61">
        <f t="shared" si="6"/>
        <v>98</v>
      </c>
      <c r="AA8" s="104">
        <f t="shared" si="7"/>
        <v>98</v>
      </c>
      <c r="AC8" s="133"/>
    </row>
    <row r="9" spans="1:29" x14ac:dyDescent="0.3">
      <c r="A9" s="147" t="s">
        <v>104</v>
      </c>
      <c r="B9" s="140">
        <f>10+Initiative!C9</f>
        <v>12</v>
      </c>
      <c r="C9" s="138">
        <f>D9-Initiative!C9</f>
        <v>19</v>
      </c>
      <c r="D9" s="139">
        <f>B9+Initiative!O6</f>
        <v>21</v>
      </c>
      <c r="E9" s="115">
        <v>10</v>
      </c>
      <c r="F9" s="99" t="s">
        <v>72</v>
      </c>
      <c r="G9" s="100">
        <v>0</v>
      </c>
      <c r="H9" s="154">
        <v>20</v>
      </c>
      <c r="I9" s="155">
        <v>5</v>
      </c>
      <c r="J9" s="156"/>
      <c r="K9" s="157">
        <v>15</v>
      </c>
      <c r="L9" s="158"/>
      <c r="M9" s="31"/>
      <c r="N9" s="159"/>
      <c r="O9" s="193" t="s">
        <v>87</v>
      </c>
      <c r="P9" s="150"/>
      <c r="Q9" s="149" t="s">
        <v>87</v>
      </c>
      <c r="R9" s="48"/>
      <c r="S9" s="152"/>
      <c r="T9" s="153"/>
      <c r="U9" s="58"/>
      <c r="V9" s="60">
        <f t="shared" si="3"/>
        <v>40</v>
      </c>
      <c r="W9" s="67"/>
      <c r="X9" s="69"/>
      <c r="Y9" s="64">
        <f>ROUNDDOWN((9*10*0.75)+(9*3),0)</f>
        <v>94</v>
      </c>
      <c r="Z9" s="61">
        <f t="shared" si="6"/>
        <v>54</v>
      </c>
      <c r="AA9" s="104">
        <f t="shared" si="7"/>
        <v>54</v>
      </c>
      <c r="AC9" s="133"/>
    </row>
    <row r="10" spans="1:29" x14ac:dyDescent="0.3">
      <c r="A10" s="202" t="s">
        <v>105</v>
      </c>
      <c r="B10" s="140">
        <f>10+Initiative!C10</f>
        <v>11</v>
      </c>
      <c r="C10" s="138">
        <f>D10-Initiative!C10</f>
        <v>22</v>
      </c>
      <c r="D10" s="139">
        <f>B10+Initiative!O7</f>
        <v>23</v>
      </c>
      <c r="E10" s="115">
        <v>5</v>
      </c>
      <c r="F10" s="99" t="s">
        <v>72</v>
      </c>
      <c r="G10" s="100">
        <v>0</v>
      </c>
      <c r="H10" s="154"/>
      <c r="I10" s="155">
        <v>105</v>
      </c>
      <c r="J10" s="156">
        <v>18</v>
      </c>
      <c r="K10" s="157">
        <v>7</v>
      </c>
      <c r="L10" s="158"/>
      <c r="M10" s="31"/>
      <c r="N10" s="159"/>
      <c r="O10" s="193" t="s">
        <v>87</v>
      </c>
      <c r="P10" s="150"/>
      <c r="Q10" s="149" t="s">
        <v>87</v>
      </c>
      <c r="R10" s="48"/>
      <c r="S10" s="152"/>
      <c r="T10" s="153"/>
      <c r="U10" s="58"/>
      <c r="V10" s="60">
        <f t="shared" si="3"/>
        <v>130</v>
      </c>
      <c r="W10" s="67"/>
      <c r="X10" s="69"/>
      <c r="Y10" s="64">
        <f>ROUNDDOWN((8*8*0.75)+(8*3),0)</f>
        <v>72</v>
      </c>
      <c r="Z10" s="61">
        <f t="shared" si="6"/>
        <v>-58</v>
      </c>
      <c r="AA10" s="104">
        <f t="shared" si="7"/>
        <v>-58</v>
      </c>
      <c r="AC10" s="133"/>
    </row>
    <row r="11" spans="1:29" x14ac:dyDescent="0.3">
      <c r="A11" s="202" t="s">
        <v>171</v>
      </c>
      <c r="B11" s="140">
        <f>10+Initiative!$C$11</f>
        <v>11</v>
      </c>
      <c r="C11" s="138">
        <f>D11-Initiative!$C$11</f>
        <v>16</v>
      </c>
      <c r="D11" s="139">
        <f>B11+Initiative!$O$8</f>
        <v>17</v>
      </c>
      <c r="E11" s="115">
        <v>0</v>
      </c>
      <c r="F11" s="99" t="s">
        <v>72</v>
      </c>
      <c r="G11" s="100">
        <v>0</v>
      </c>
      <c r="H11" s="154"/>
      <c r="I11" s="155"/>
      <c r="J11" s="156">
        <v>35</v>
      </c>
      <c r="K11" s="157"/>
      <c r="L11" s="158"/>
      <c r="M11" s="31"/>
      <c r="N11" s="159"/>
      <c r="O11" s="193" t="s">
        <v>87</v>
      </c>
      <c r="P11" s="150"/>
      <c r="Q11" s="149" t="s">
        <v>87</v>
      </c>
      <c r="R11" s="151"/>
      <c r="S11" s="152"/>
      <c r="T11" s="153"/>
      <c r="U11" s="176"/>
      <c r="V11" s="60">
        <f t="shared" si="3"/>
        <v>35</v>
      </c>
      <c r="W11" s="67"/>
      <c r="X11" s="69"/>
      <c r="Y11" s="64">
        <v>9</v>
      </c>
      <c r="Z11" s="61">
        <f t="shared" si="6"/>
        <v>-26</v>
      </c>
      <c r="AA11" s="104">
        <f t="shared" si="7"/>
        <v>-26</v>
      </c>
      <c r="AC11" s="133"/>
    </row>
    <row r="12" spans="1:29" x14ac:dyDescent="0.3">
      <c r="A12" s="202" t="s">
        <v>172</v>
      </c>
      <c r="B12" s="140">
        <f>10+Initiative!$C$11</f>
        <v>11</v>
      </c>
      <c r="C12" s="138">
        <f>D12-Initiative!$C$11</f>
        <v>16</v>
      </c>
      <c r="D12" s="139">
        <f>B12+Initiative!$O$8</f>
        <v>17</v>
      </c>
      <c r="E12" s="115">
        <v>0</v>
      </c>
      <c r="F12" s="99" t="s">
        <v>72</v>
      </c>
      <c r="G12" s="100">
        <v>0</v>
      </c>
      <c r="H12" s="154"/>
      <c r="I12" s="155"/>
      <c r="J12" s="156">
        <v>35</v>
      </c>
      <c r="K12" s="157"/>
      <c r="L12" s="158"/>
      <c r="M12" s="31"/>
      <c r="N12" s="159"/>
      <c r="O12" s="193" t="s">
        <v>87</v>
      </c>
      <c r="P12" s="150"/>
      <c r="Q12" s="149" t="s">
        <v>87</v>
      </c>
      <c r="R12" s="151"/>
      <c r="S12" s="152"/>
      <c r="T12" s="153"/>
      <c r="U12" s="176"/>
      <c r="V12" s="60">
        <f t="shared" ref="V12:V19" si="8">SUM(H12:U12)</f>
        <v>35</v>
      </c>
      <c r="W12" s="67"/>
      <c r="X12" s="69"/>
      <c r="Y12" s="64">
        <v>8</v>
      </c>
      <c r="Z12" s="61">
        <f t="shared" ref="Z12:Z19" si="9">Y12+X12-(V12+W12)</f>
        <v>-27</v>
      </c>
      <c r="AA12" s="104">
        <f t="shared" ref="AA12:AA19" si="10">SMALL(Y12:Z12,1)</f>
        <v>-27</v>
      </c>
      <c r="AC12" s="133"/>
    </row>
    <row r="13" spans="1:29" x14ac:dyDescent="0.3">
      <c r="A13" s="202" t="s">
        <v>173</v>
      </c>
      <c r="B13" s="140">
        <f>10+Initiative!$C$11</f>
        <v>11</v>
      </c>
      <c r="C13" s="138">
        <f>D13-Initiative!$C$11</f>
        <v>16</v>
      </c>
      <c r="D13" s="139">
        <f>B13+Initiative!$O$8</f>
        <v>17</v>
      </c>
      <c r="E13" s="115">
        <v>0</v>
      </c>
      <c r="F13" s="99" t="s">
        <v>72</v>
      </c>
      <c r="G13" s="100">
        <v>0</v>
      </c>
      <c r="H13" s="154"/>
      <c r="I13" s="155"/>
      <c r="J13" s="156">
        <v>46</v>
      </c>
      <c r="K13" s="157"/>
      <c r="L13" s="158"/>
      <c r="M13" s="31"/>
      <c r="N13" s="159"/>
      <c r="O13" s="193" t="s">
        <v>87</v>
      </c>
      <c r="P13" s="150"/>
      <c r="Q13" s="149" t="s">
        <v>87</v>
      </c>
      <c r="R13" s="151"/>
      <c r="S13" s="152"/>
      <c r="T13" s="153"/>
      <c r="U13" s="176"/>
      <c r="V13" s="60">
        <f t="shared" si="8"/>
        <v>46</v>
      </c>
      <c r="W13" s="67"/>
      <c r="X13" s="69"/>
      <c r="Y13" s="64">
        <v>7</v>
      </c>
      <c r="Z13" s="61">
        <f t="shared" si="9"/>
        <v>-39</v>
      </c>
      <c r="AA13" s="104">
        <f t="shared" si="10"/>
        <v>-39</v>
      </c>
      <c r="AC13" s="133"/>
    </row>
    <row r="14" spans="1:29" x14ac:dyDescent="0.3">
      <c r="A14" s="202" t="s">
        <v>174</v>
      </c>
      <c r="B14" s="140">
        <f>10+Initiative!$C$11</f>
        <v>11</v>
      </c>
      <c r="C14" s="138">
        <f>D14-Initiative!$C$11</f>
        <v>16</v>
      </c>
      <c r="D14" s="139">
        <f>B14+Initiative!$O$8</f>
        <v>17</v>
      </c>
      <c r="E14" s="115">
        <v>0</v>
      </c>
      <c r="F14" s="99" t="s">
        <v>72</v>
      </c>
      <c r="G14" s="100">
        <v>0</v>
      </c>
      <c r="H14" s="154"/>
      <c r="I14" s="155"/>
      <c r="J14" s="156">
        <v>46</v>
      </c>
      <c r="K14" s="157"/>
      <c r="L14" s="158"/>
      <c r="M14" s="31"/>
      <c r="N14" s="159"/>
      <c r="O14" s="193" t="s">
        <v>87</v>
      </c>
      <c r="P14" s="150"/>
      <c r="Q14" s="149" t="s">
        <v>87</v>
      </c>
      <c r="R14" s="151"/>
      <c r="S14" s="152"/>
      <c r="T14" s="153"/>
      <c r="U14" s="176"/>
      <c r="V14" s="60">
        <f t="shared" si="8"/>
        <v>46</v>
      </c>
      <c r="W14" s="67"/>
      <c r="X14" s="69"/>
      <c r="Y14" s="64">
        <v>6</v>
      </c>
      <c r="Z14" s="61">
        <f t="shared" si="9"/>
        <v>-40</v>
      </c>
      <c r="AA14" s="104">
        <f t="shared" si="10"/>
        <v>-40</v>
      </c>
      <c r="AC14" s="133"/>
    </row>
    <row r="15" spans="1:29" x14ac:dyDescent="0.3">
      <c r="A15" s="202" t="s">
        <v>175</v>
      </c>
      <c r="B15" s="140">
        <f>10+Initiative!$C$11</f>
        <v>11</v>
      </c>
      <c r="C15" s="138">
        <f>D15-Initiative!$C$11</f>
        <v>16</v>
      </c>
      <c r="D15" s="139">
        <f>B15+Initiative!$O$8</f>
        <v>17</v>
      </c>
      <c r="E15" s="115">
        <v>0</v>
      </c>
      <c r="F15" s="99" t="s">
        <v>72</v>
      </c>
      <c r="G15" s="100">
        <v>0</v>
      </c>
      <c r="H15" s="154"/>
      <c r="I15" s="155"/>
      <c r="J15" s="156">
        <v>9</v>
      </c>
      <c r="K15" s="157"/>
      <c r="L15" s="158"/>
      <c r="M15" s="31"/>
      <c r="N15" s="159"/>
      <c r="O15" s="193" t="s">
        <v>87</v>
      </c>
      <c r="P15" s="150"/>
      <c r="Q15" s="149" t="s">
        <v>87</v>
      </c>
      <c r="R15" s="151"/>
      <c r="S15" s="152"/>
      <c r="T15" s="153"/>
      <c r="U15" s="176"/>
      <c r="V15" s="60">
        <f t="shared" si="8"/>
        <v>9</v>
      </c>
      <c r="W15" s="67">
        <v>7</v>
      </c>
      <c r="X15" s="69"/>
      <c r="Y15" s="64">
        <v>6</v>
      </c>
      <c r="Z15" s="61">
        <f t="shared" si="9"/>
        <v>-10</v>
      </c>
      <c r="AA15" s="104">
        <f t="shared" si="10"/>
        <v>-10</v>
      </c>
      <c r="AC15" s="133"/>
    </row>
    <row r="16" spans="1:29" x14ac:dyDescent="0.3">
      <c r="A16" s="202" t="s">
        <v>176</v>
      </c>
      <c r="B16" s="140">
        <f>10+Initiative!$C$11</f>
        <v>11</v>
      </c>
      <c r="C16" s="138">
        <f>D16-Initiative!$C$11</f>
        <v>16</v>
      </c>
      <c r="D16" s="139">
        <f>B16+Initiative!$O$8</f>
        <v>17</v>
      </c>
      <c r="E16" s="115">
        <v>0</v>
      </c>
      <c r="F16" s="99" t="s">
        <v>72</v>
      </c>
      <c r="G16" s="100">
        <v>0</v>
      </c>
      <c r="H16" s="154"/>
      <c r="I16" s="155">
        <v>11</v>
      </c>
      <c r="J16" s="156"/>
      <c r="K16" s="157"/>
      <c r="L16" s="158"/>
      <c r="M16" s="31"/>
      <c r="N16" s="159"/>
      <c r="O16" s="193" t="s">
        <v>87</v>
      </c>
      <c r="P16" s="150"/>
      <c r="Q16" s="149" t="s">
        <v>87</v>
      </c>
      <c r="R16" s="151"/>
      <c r="S16" s="152"/>
      <c r="T16" s="153"/>
      <c r="U16" s="176"/>
      <c r="V16" s="60">
        <f t="shared" si="8"/>
        <v>11</v>
      </c>
      <c r="W16" s="67">
        <v>5</v>
      </c>
      <c r="X16" s="69"/>
      <c r="Y16" s="64">
        <v>6</v>
      </c>
      <c r="Z16" s="61">
        <f t="shared" si="9"/>
        <v>-10</v>
      </c>
      <c r="AA16" s="104">
        <f t="shared" si="10"/>
        <v>-10</v>
      </c>
      <c r="AC16" s="133"/>
    </row>
    <row r="17" spans="1:29" x14ac:dyDescent="0.3">
      <c r="A17" s="202" t="s">
        <v>177</v>
      </c>
      <c r="B17" s="140">
        <f>10+Initiative!$C$11</f>
        <v>11</v>
      </c>
      <c r="C17" s="138">
        <f>D17-Initiative!$C$11</f>
        <v>16</v>
      </c>
      <c r="D17" s="139">
        <f>B17+Initiative!$O$8</f>
        <v>17</v>
      </c>
      <c r="E17" s="115">
        <v>0</v>
      </c>
      <c r="F17" s="99" t="s">
        <v>72</v>
      </c>
      <c r="G17" s="100">
        <v>0</v>
      </c>
      <c r="H17" s="154"/>
      <c r="I17" s="155">
        <v>6</v>
      </c>
      <c r="J17" s="156"/>
      <c r="K17" s="157"/>
      <c r="L17" s="158"/>
      <c r="M17" s="31"/>
      <c r="N17" s="159"/>
      <c r="O17" s="193" t="s">
        <v>87</v>
      </c>
      <c r="P17" s="150"/>
      <c r="Q17" s="149" t="s">
        <v>87</v>
      </c>
      <c r="R17" s="151"/>
      <c r="S17" s="152"/>
      <c r="T17" s="153"/>
      <c r="U17" s="176"/>
      <c r="V17" s="60">
        <f t="shared" si="8"/>
        <v>6</v>
      </c>
      <c r="W17" s="67">
        <v>10</v>
      </c>
      <c r="X17" s="69"/>
      <c r="Y17" s="64">
        <v>6</v>
      </c>
      <c r="Z17" s="61">
        <f t="shared" si="9"/>
        <v>-10</v>
      </c>
      <c r="AA17" s="104">
        <f t="shared" si="10"/>
        <v>-10</v>
      </c>
      <c r="AC17" s="133"/>
    </row>
    <row r="18" spans="1:29" x14ac:dyDescent="0.3">
      <c r="A18" s="202" t="s">
        <v>178</v>
      </c>
      <c r="B18" s="140">
        <f>10+Initiative!$C$11</f>
        <v>11</v>
      </c>
      <c r="C18" s="138">
        <f>D18-Initiative!$C$11</f>
        <v>16</v>
      </c>
      <c r="D18" s="139">
        <f>B18+Initiative!$O$8</f>
        <v>17</v>
      </c>
      <c r="E18" s="115">
        <v>0</v>
      </c>
      <c r="F18" s="99" t="s">
        <v>72</v>
      </c>
      <c r="G18" s="100">
        <v>0</v>
      </c>
      <c r="H18" s="154"/>
      <c r="I18" s="155">
        <v>13</v>
      </c>
      <c r="J18" s="156"/>
      <c r="K18" s="157"/>
      <c r="L18" s="158"/>
      <c r="M18" s="31"/>
      <c r="N18" s="159"/>
      <c r="O18" s="193" t="s">
        <v>87</v>
      </c>
      <c r="P18" s="150"/>
      <c r="Q18" s="149" t="s">
        <v>87</v>
      </c>
      <c r="R18" s="151"/>
      <c r="S18" s="152"/>
      <c r="T18" s="153"/>
      <c r="U18" s="176"/>
      <c r="V18" s="60">
        <f t="shared" si="8"/>
        <v>13</v>
      </c>
      <c r="W18" s="67">
        <v>2</v>
      </c>
      <c r="X18" s="69"/>
      <c r="Y18" s="64">
        <v>5</v>
      </c>
      <c r="Z18" s="61">
        <f t="shared" si="9"/>
        <v>-10</v>
      </c>
      <c r="AA18" s="104">
        <f t="shared" si="10"/>
        <v>-10</v>
      </c>
      <c r="AC18" s="133"/>
    </row>
    <row r="19" spans="1:29" x14ac:dyDescent="0.3">
      <c r="A19" s="202" t="s">
        <v>179</v>
      </c>
      <c r="B19" s="140">
        <f>10+Initiative!$C$11</f>
        <v>11</v>
      </c>
      <c r="C19" s="138">
        <f>D19-Initiative!$C$11</f>
        <v>16</v>
      </c>
      <c r="D19" s="139">
        <f>B19+Initiative!$O$8</f>
        <v>17</v>
      </c>
      <c r="E19" s="115">
        <v>0</v>
      </c>
      <c r="F19" s="99" t="s">
        <v>72</v>
      </c>
      <c r="G19" s="100">
        <v>0</v>
      </c>
      <c r="H19" s="154"/>
      <c r="I19" s="155">
        <v>13</v>
      </c>
      <c r="J19" s="156"/>
      <c r="K19" s="157"/>
      <c r="L19" s="158"/>
      <c r="M19" s="31"/>
      <c r="N19" s="159"/>
      <c r="O19" s="193" t="s">
        <v>87</v>
      </c>
      <c r="P19" s="150"/>
      <c r="Q19" s="149" t="s">
        <v>87</v>
      </c>
      <c r="R19" s="151"/>
      <c r="S19" s="152"/>
      <c r="T19" s="153"/>
      <c r="U19" s="176"/>
      <c r="V19" s="60">
        <f t="shared" si="8"/>
        <v>13</v>
      </c>
      <c r="W19" s="67">
        <v>1</v>
      </c>
      <c r="X19" s="69"/>
      <c r="Y19" s="64">
        <v>4</v>
      </c>
      <c r="Z19" s="61">
        <f t="shared" si="9"/>
        <v>-10</v>
      </c>
      <c r="AA19" s="104">
        <f t="shared" si="10"/>
        <v>-10</v>
      </c>
      <c r="AC19" s="133"/>
    </row>
    <row r="20" spans="1:29" x14ac:dyDescent="0.3">
      <c r="A20" s="202" t="s">
        <v>180</v>
      </c>
      <c r="B20" s="140">
        <f>10+Initiative!$C$11</f>
        <v>11</v>
      </c>
      <c r="C20" s="138">
        <f>D20-Initiative!$C$11</f>
        <v>16</v>
      </c>
      <c r="D20" s="139">
        <f>B20+Initiative!$O$8</f>
        <v>17</v>
      </c>
      <c r="E20" s="115">
        <v>0</v>
      </c>
      <c r="F20" s="99" t="s">
        <v>72</v>
      </c>
      <c r="G20" s="100">
        <v>0</v>
      </c>
      <c r="H20" s="154"/>
      <c r="I20" s="155"/>
      <c r="J20" s="156">
        <v>16</v>
      </c>
      <c r="K20" s="157"/>
      <c r="L20" s="158"/>
      <c r="M20" s="31"/>
      <c r="N20" s="159"/>
      <c r="O20" s="193" t="s">
        <v>87</v>
      </c>
      <c r="P20" s="150"/>
      <c r="Q20" s="149" t="s">
        <v>87</v>
      </c>
      <c r="R20" s="151"/>
      <c r="S20" s="152"/>
      <c r="T20" s="153"/>
      <c r="U20" s="176"/>
      <c r="V20" s="177">
        <f t="shared" ref="V20" si="11">SUM(H20:U20)</f>
        <v>16</v>
      </c>
      <c r="W20" s="67"/>
      <c r="X20" s="69"/>
      <c r="Y20" s="64">
        <v>6</v>
      </c>
      <c r="Z20" s="61">
        <f t="shared" ref="Z20" si="12">Y20+X20-(V20+W20)</f>
        <v>-10</v>
      </c>
      <c r="AA20" s="104">
        <f t="shared" ref="AA20" si="13">SMALL(Y20:Z20,1)</f>
        <v>-10</v>
      </c>
      <c r="AC20" s="133"/>
    </row>
    <row r="21" spans="1:29" x14ac:dyDescent="0.3">
      <c r="A21" s="202" t="s">
        <v>181</v>
      </c>
      <c r="B21" s="140">
        <f>10+Initiative!$C$11</f>
        <v>11</v>
      </c>
      <c r="C21" s="138">
        <f>D21-Initiative!$C$11</f>
        <v>16</v>
      </c>
      <c r="D21" s="139">
        <f>B21+Initiative!$O$8</f>
        <v>17</v>
      </c>
      <c r="E21" s="115">
        <v>0</v>
      </c>
      <c r="F21" s="99" t="s">
        <v>72</v>
      </c>
      <c r="G21" s="100">
        <v>0</v>
      </c>
      <c r="H21" s="154"/>
      <c r="I21" s="155"/>
      <c r="J21" s="156">
        <v>34</v>
      </c>
      <c r="K21" s="157"/>
      <c r="L21" s="158"/>
      <c r="M21" s="31"/>
      <c r="N21" s="159"/>
      <c r="O21" s="193" t="s">
        <v>87</v>
      </c>
      <c r="P21" s="150"/>
      <c r="Q21" s="149" t="s">
        <v>87</v>
      </c>
      <c r="R21" s="151"/>
      <c r="S21" s="152"/>
      <c r="T21" s="153"/>
      <c r="U21" s="176"/>
      <c r="V21" s="177">
        <f t="shared" ref="V21:V27" si="14">SUM(H21:U21)</f>
        <v>34</v>
      </c>
      <c r="W21" s="67"/>
      <c r="X21" s="69"/>
      <c r="Y21" s="64">
        <v>5</v>
      </c>
      <c r="Z21" s="61">
        <f t="shared" ref="Z21:Z27" si="15">Y21+X21-(V21+W21)</f>
        <v>-29</v>
      </c>
      <c r="AA21" s="104">
        <f t="shared" ref="AA21:AA27" si="16">SMALL(Y21:Z21,1)</f>
        <v>-29</v>
      </c>
      <c r="AC21" s="133"/>
    </row>
    <row r="22" spans="1:29" x14ac:dyDescent="0.3">
      <c r="A22" s="202" t="s">
        <v>182</v>
      </c>
      <c r="B22" s="140">
        <f>10+Initiative!$C$11</f>
        <v>11</v>
      </c>
      <c r="C22" s="138">
        <f>D22-Initiative!$C$11</f>
        <v>16</v>
      </c>
      <c r="D22" s="139">
        <f>B22+Initiative!$O$8</f>
        <v>17</v>
      </c>
      <c r="E22" s="115">
        <v>0</v>
      </c>
      <c r="F22" s="99" t="s">
        <v>72</v>
      </c>
      <c r="G22" s="100">
        <v>0</v>
      </c>
      <c r="H22" s="154"/>
      <c r="I22" s="155"/>
      <c r="J22" s="156">
        <v>29</v>
      </c>
      <c r="K22" s="157"/>
      <c r="L22" s="158"/>
      <c r="M22" s="31"/>
      <c r="N22" s="159"/>
      <c r="O22" s="193" t="s">
        <v>87</v>
      </c>
      <c r="P22" s="150"/>
      <c r="Q22" s="149" t="s">
        <v>87</v>
      </c>
      <c r="R22" s="151"/>
      <c r="S22" s="152"/>
      <c r="T22" s="153"/>
      <c r="U22" s="176"/>
      <c r="V22" s="177">
        <f t="shared" si="14"/>
        <v>29</v>
      </c>
      <c r="W22" s="67"/>
      <c r="X22" s="69"/>
      <c r="Y22" s="64">
        <v>4</v>
      </c>
      <c r="Z22" s="61">
        <f t="shared" si="15"/>
        <v>-25</v>
      </c>
      <c r="AA22" s="104">
        <f t="shared" si="16"/>
        <v>-25</v>
      </c>
      <c r="AC22" s="133"/>
    </row>
    <row r="23" spans="1:29" x14ac:dyDescent="0.3">
      <c r="A23" s="202" t="s">
        <v>183</v>
      </c>
      <c r="B23" s="140">
        <f>10+Initiative!$C$11</f>
        <v>11</v>
      </c>
      <c r="C23" s="138">
        <f>D23-Initiative!$C$11</f>
        <v>16</v>
      </c>
      <c r="D23" s="139">
        <f>B23+Initiative!$O$8</f>
        <v>17</v>
      </c>
      <c r="E23" s="115">
        <v>0</v>
      </c>
      <c r="F23" s="99" t="s">
        <v>72</v>
      </c>
      <c r="G23" s="100">
        <v>0</v>
      </c>
      <c r="H23" s="154"/>
      <c r="I23" s="155"/>
      <c r="J23" s="156"/>
      <c r="K23" s="157"/>
      <c r="L23" s="158"/>
      <c r="M23" s="31"/>
      <c r="N23" s="159"/>
      <c r="O23" s="193" t="s">
        <v>87</v>
      </c>
      <c r="P23" s="150"/>
      <c r="Q23" s="149" t="s">
        <v>87</v>
      </c>
      <c r="R23" s="151"/>
      <c r="S23" s="152"/>
      <c r="T23" s="153">
        <v>22</v>
      </c>
      <c r="U23" s="176"/>
      <c r="V23" s="177">
        <f t="shared" si="14"/>
        <v>22</v>
      </c>
      <c r="W23" s="67"/>
      <c r="X23" s="69"/>
      <c r="Y23" s="64">
        <v>4</v>
      </c>
      <c r="Z23" s="61">
        <f t="shared" si="15"/>
        <v>-18</v>
      </c>
      <c r="AA23" s="104">
        <f t="shared" si="16"/>
        <v>-18</v>
      </c>
      <c r="AC23" s="133"/>
    </row>
    <row r="24" spans="1:29" x14ac:dyDescent="0.3">
      <c r="A24" s="202" t="s">
        <v>184</v>
      </c>
      <c r="B24" s="140">
        <f>10+Initiative!$C$11</f>
        <v>11</v>
      </c>
      <c r="C24" s="138">
        <f>D24-Initiative!$C$11</f>
        <v>16</v>
      </c>
      <c r="D24" s="139">
        <f>B24+Initiative!$O$8</f>
        <v>17</v>
      </c>
      <c r="E24" s="115">
        <v>0</v>
      </c>
      <c r="F24" s="99" t="s">
        <v>72</v>
      </c>
      <c r="G24" s="100">
        <v>0</v>
      </c>
      <c r="H24" s="154"/>
      <c r="I24" s="155"/>
      <c r="J24" s="156"/>
      <c r="K24" s="157"/>
      <c r="L24" s="158"/>
      <c r="M24" s="31"/>
      <c r="N24" s="159"/>
      <c r="O24" s="193" t="s">
        <v>87</v>
      </c>
      <c r="P24" s="150"/>
      <c r="Q24" s="149" t="s">
        <v>87</v>
      </c>
      <c r="R24" s="151"/>
      <c r="S24" s="152"/>
      <c r="T24" s="153">
        <v>24</v>
      </c>
      <c r="U24" s="176"/>
      <c r="V24" s="177">
        <f t="shared" si="14"/>
        <v>24</v>
      </c>
      <c r="W24" s="67"/>
      <c r="X24" s="69"/>
      <c r="Y24" s="64">
        <v>4</v>
      </c>
      <c r="Z24" s="61">
        <f t="shared" si="15"/>
        <v>-20</v>
      </c>
      <c r="AA24" s="104">
        <f t="shared" si="16"/>
        <v>-20</v>
      </c>
      <c r="AC24" s="133"/>
    </row>
    <row r="25" spans="1:29" x14ac:dyDescent="0.3">
      <c r="A25" s="202" t="s">
        <v>185</v>
      </c>
      <c r="B25" s="140">
        <f>10+Initiative!$C$11</f>
        <v>11</v>
      </c>
      <c r="C25" s="138">
        <f>D25-Initiative!$C$11</f>
        <v>16</v>
      </c>
      <c r="D25" s="139">
        <f>B25+Initiative!$O$8</f>
        <v>17</v>
      </c>
      <c r="E25" s="115">
        <v>0</v>
      </c>
      <c r="F25" s="99" t="s">
        <v>72</v>
      </c>
      <c r="G25" s="100">
        <v>0</v>
      </c>
      <c r="H25" s="154">
        <v>11</v>
      </c>
      <c r="I25" s="155"/>
      <c r="J25" s="156"/>
      <c r="K25" s="157"/>
      <c r="L25" s="158"/>
      <c r="M25" s="31"/>
      <c r="N25" s="159"/>
      <c r="O25" s="193" t="s">
        <v>87</v>
      </c>
      <c r="P25" s="150"/>
      <c r="Q25" s="149" t="s">
        <v>87</v>
      </c>
      <c r="R25" s="151"/>
      <c r="S25" s="152"/>
      <c r="T25" s="153"/>
      <c r="U25" s="176"/>
      <c r="V25" s="177">
        <f t="shared" si="14"/>
        <v>11</v>
      </c>
      <c r="W25" s="67">
        <v>2</v>
      </c>
      <c r="X25" s="69"/>
      <c r="Y25" s="64">
        <v>3</v>
      </c>
      <c r="Z25" s="61">
        <f t="shared" si="15"/>
        <v>-10</v>
      </c>
      <c r="AA25" s="104">
        <f t="shared" si="16"/>
        <v>-10</v>
      </c>
      <c r="AC25" s="133"/>
    </row>
    <row r="26" spans="1:29" x14ac:dyDescent="0.3">
      <c r="A26" s="202" t="s">
        <v>186</v>
      </c>
      <c r="B26" s="140">
        <f>10+Initiative!$C$11</f>
        <v>11</v>
      </c>
      <c r="C26" s="138">
        <f>D26-Initiative!$C$11</f>
        <v>16</v>
      </c>
      <c r="D26" s="139">
        <f>B26+Initiative!$O$8</f>
        <v>17</v>
      </c>
      <c r="E26" s="115">
        <v>0</v>
      </c>
      <c r="F26" s="99" t="s">
        <v>72</v>
      </c>
      <c r="G26" s="100">
        <v>0</v>
      </c>
      <c r="H26" s="154">
        <v>11</v>
      </c>
      <c r="I26" s="155"/>
      <c r="J26" s="156"/>
      <c r="K26" s="157"/>
      <c r="L26" s="158"/>
      <c r="M26" s="31"/>
      <c r="N26" s="159"/>
      <c r="O26" s="193" t="s">
        <v>87</v>
      </c>
      <c r="P26" s="150"/>
      <c r="Q26" s="149" t="s">
        <v>87</v>
      </c>
      <c r="R26" s="151"/>
      <c r="S26" s="152"/>
      <c r="T26" s="153"/>
      <c r="U26" s="176"/>
      <c r="V26" s="177">
        <f t="shared" si="14"/>
        <v>11</v>
      </c>
      <c r="W26" s="67">
        <v>1</v>
      </c>
      <c r="X26" s="69"/>
      <c r="Y26" s="64">
        <v>2</v>
      </c>
      <c r="Z26" s="61">
        <f t="shared" si="15"/>
        <v>-10</v>
      </c>
      <c r="AA26" s="104">
        <f t="shared" si="16"/>
        <v>-10</v>
      </c>
      <c r="AC26" s="133"/>
    </row>
    <row r="27" spans="1:29" x14ac:dyDescent="0.3">
      <c r="A27" s="202" t="s">
        <v>187</v>
      </c>
      <c r="B27" s="140">
        <f>10+Initiative!$C$11</f>
        <v>11</v>
      </c>
      <c r="C27" s="138">
        <f>D27-Initiative!$C$11</f>
        <v>16</v>
      </c>
      <c r="D27" s="139">
        <f>B27+Initiative!$O$8</f>
        <v>17</v>
      </c>
      <c r="E27" s="115">
        <v>0</v>
      </c>
      <c r="F27" s="99" t="s">
        <v>72</v>
      </c>
      <c r="G27" s="100">
        <v>0</v>
      </c>
      <c r="H27" s="154">
        <v>11</v>
      </c>
      <c r="I27" s="155"/>
      <c r="J27" s="156"/>
      <c r="K27" s="157"/>
      <c r="L27" s="158"/>
      <c r="M27" s="31"/>
      <c r="N27" s="159"/>
      <c r="O27" s="193" t="s">
        <v>87</v>
      </c>
      <c r="P27" s="150"/>
      <c r="Q27" s="149" t="s">
        <v>87</v>
      </c>
      <c r="R27" s="151"/>
      <c r="S27" s="152"/>
      <c r="T27" s="153"/>
      <c r="U27" s="176"/>
      <c r="V27" s="177">
        <f t="shared" si="14"/>
        <v>11</v>
      </c>
      <c r="W27" s="67"/>
      <c r="X27" s="69"/>
      <c r="Y27" s="64">
        <v>1</v>
      </c>
      <c r="Z27" s="61">
        <f t="shared" si="15"/>
        <v>-10</v>
      </c>
      <c r="AA27" s="104">
        <f t="shared" si="16"/>
        <v>-10</v>
      </c>
      <c r="AC27" s="133"/>
    </row>
  </sheetData>
  <sortState ref="A12:A19">
    <sortCondition ref="A12:A19"/>
  </sortState>
  <conditionalFormatting sqref="AA2:AA5">
    <cfRule type="cellIs" dxfId="3" priority="26" stopIfTrue="1" operator="lessThan">
      <formula>0.5</formula>
    </cfRule>
  </conditionalFormatting>
  <conditionalFormatting sqref="AA6:AA19">
    <cfRule type="cellIs" dxfId="2" priority="3" stopIfTrue="1" operator="lessThan">
      <formula>0.5</formula>
    </cfRule>
  </conditionalFormatting>
  <conditionalFormatting sqref="AA11:AA19">
    <cfRule type="cellIs" dxfId="1" priority="2" stopIfTrue="1" operator="lessThan">
      <formula>0.5</formula>
    </cfRule>
  </conditionalFormatting>
  <conditionalFormatting sqref="AA20:AA27">
    <cfRule type="cellIs" dxfId="0" priority="1" stopIfTrue="1" operator="lessThan">
      <formula>0.5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4" t="s">
        <v>11</v>
      </c>
    </row>
    <row r="2" spans="1:16" x14ac:dyDescent="0.3">
      <c r="B2" s="6" t="s">
        <v>12</v>
      </c>
      <c r="C2" s="7">
        <f ca="1">RANDBETWEEN(1,3)</f>
        <v>2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4</v>
      </c>
      <c r="G2" s="7">
        <f ca="1">RANDBETWEEN(1,3)+RANDBETWEEN(1,3)+RANDBETWEEN(1,3)+RANDBETWEEN(1,3)+RANDBETWEEN(1,3)</f>
        <v>11</v>
      </c>
      <c r="H2" s="8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3">
      <c r="B3" s="9" t="s">
        <v>13</v>
      </c>
      <c r="C3" s="10">
        <f ca="1">RANDBETWEEN(1,4)</f>
        <v>3</v>
      </c>
      <c r="D3" s="10">
        <f ca="1">RANDBETWEEN(1,4)+RANDBETWEEN(1,4)</f>
        <v>6</v>
      </c>
      <c r="E3" s="10">
        <f ca="1">RANDBETWEEN(1,4)+RANDBETWEEN(1,4)+RANDBETWEEN(1,4)</f>
        <v>6</v>
      </c>
      <c r="F3" s="10">
        <f ca="1">RANDBETWEEN(1,4)+RANDBETWEEN(1,4)+RANDBETWEEN(1,4)+RANDBETWEEN(1,4)</f>
        <v>8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16</v>
      </c>
      <c r="L3" s="1"/>
      <c r="M3" s="1"/>
      <c r="N3" s="1"/>
      <c r="O3" s="1"/>
      <c r="P3" s="1"/>
    </row>
    <row r="4" spans="1:16" x14ac:dyDescent="0.3">
      <c r="B4" s="9" t="s">
        <v>14</v>
      </c>
      <c r="C4" s="10">
        <f ca="1">RANDBETWEEN(1,6)</f>
        <v>1</v>
      </c>
      <c r="D4" s="10">
        <f ca="1">RANDBETWEEN(1,6)+RANDBETWEEN(1,6)</f>
        <v>12</v>
      </c>
      <c r="E4" s="10">
        <f ca="1">RANDBETWEEN(1,6)+RANDBETWEEN(1,6)+RANDBETWEEN(1,6)</f>
        <v>7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19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15</v>
      </c>
      <c r="C5" s="10">
        <f ca="1">RANDBETWEEN(1,8)</f>
        <v>6</v>
      </c>
      <c r="D5" s="10">
        <f ca="1">RANDBETWEEN(1,8)+RANDBETWEEN(1,8)</f>
        <v>14</v>
      </c>
      <c r="E5" s="10">
        <f ca="1">RANDBETWEEN(1,8)+RANDBETWEEN(1,8)+RANDBETWEEN(1,8)</f>
        <v>14</v>
      </c>
      <c r="F5" s="10">
        <f ca="1">RANDBETWEEN(1,8)+RANDBETWEEN(1,8)+RANDBETWEEN(1,8)+RANDBETWEEN(1,8)</f>
        <v>25</v>
      </c>
      <c r="G5" s="10">
        <f ca="1">RANDBETWEEN(1,8)+RANDBETWEEN(1,8)+RANDBETWEEN(1,8)+RANDBETWEEN(1,8)+RANDBETWEEN(1,8)</f>
        <v>22</v>
      </c>
      <c r="H5" s="11">
        <f ca="1">RANDBETWEEN(1,8)+RANDBETWEEN(1,8)+RANDBETWEEN(1,8)+RANDBETWEEN(1,8)+RANDBETWEEN(1,8)+RANDBETWEEN(1,8)</f>
        <v>33</v>
      </c>
      <c r="L5" s="1"/>
      <c r="M5" s="1"/>
      <c r="N5" s="1"/>
      <c r="O5" s="1"/>
      <c r="P5" s="1"/>
    </row>
    <row r="6" spans="1:16" x14ac:dyDescent="0.3">
      <c r="B6" s="9" t="s">
        <v>16</v>
      </c>
      <c r="C6" s="10">
        <f ca="1">RANDBETWEEN(1,10)</f>
        <v>4</v>
      </c>
      <c r="D6" s="10">
        <f ca="1">RANDBETWEEN(1,10)+RANDBETWEEN(1,10)</f>
        <v>19</v>
      </c>
      <c r="E6" s="10">
        <f ca="1">RANDBETWEEN(1,10)+RANDBETWEEN(1,10)+RANDBETWEEN(1,10)</f>
        <v>19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32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17</v>
      </c>
      <c r="C7" s="10">
        <f ca="1">RANDBETWEEN(1,12)</f>
        <v>2</v>
      </c>
      <c r="D7" s="10">
        <f ca="1">RANDBETWEEN(1,12)+RANDBETWEEN(1,12)</f>
        <v>20</v>
      </c>
      <c r="E7" s="10">
        <f ca="1">RANDBETWEEN(1,12)+RANDBETWEEN(1,12)+RANDBETWEEN(1,12)</f>
        <v>23</v>
      </c>
      <c r="F7" s="10">
        <f ca="1">RANDBETWEEN(1,12)+RANDBETWEEN(1,12)+RANDBETWEEN(1,12)+RANDBETWEEN(1,12)</f>
        <v>26</v>
      </c>
      <c r="G7" s="10">
        <f ca="1">RANDBETWEEN(1,12)+RANDBETWEEN(1,12)+RANDBETWEEN(1,12)+RANDBETWEEN(1,12)+RANDBETWEEN(1,12)</f>
        <v>34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3">
      <c r="B8" s="9" t="s">
        <v>18</v>
      </c>
      <c r="C8" s="10">
        <f ca="1">RANDBETWEEN(1,20)</f>
        <v>19</v>
      </c>
      <c r="D8" s="10">
        <f ca="1">RANDBETWEEN(1,20)+RANDBETWEEN(1,20)</f>
        <v>32</v>
      </c>
      <c r="E8" s="10">
        <f ca="1">RANDBETWEEN(1,20)+RANDBETWEEN(1,20)+RANDBETWEEN(1,20)</f>
        <v>29</v>
      </c>
      <c r="F8" s="10">
        <f ca="1">RANDBETWEEN(1,20)+RANDBETWEEN(1,20)+RANDBETWEEN(1,20)+RANDBETWEEN(1,20)</f>
        <v>33</v>
      </c>
      <c r="G8" s="10">
        <f ca="1">RANDBETWEEN(1,20)+RANDBETWEEN(1,20)+RANDBETWEEN(1,20)+RANDBETWEEN(1,20)+RANDBETWEEN(1,20)</f>
        <v>68</v>
      </c>
      <c r="H8" s="11">
        <f ca="1">RANDBETWEEN(1,20)+RANDBETWEEN(1,20)+RANDBETWEEN(1,20)+RANDBETWEEN(1,20)+RANDBETWEEN(1,20)+RANDBETWEEN(1,20)</f>
        <v>77</v>
      </c>
      <c r="L8" s="1"/>
      <c r="M8" s="1"/>
      <c r="N8" s="1"/>
      <c r="O8" s="1"/>
      <c r="P8" s="1"/>
    </row>
    <row r="9" spans="1:16" ht="16.2" thickBot="1" x14ac:dyDescent="0.35">
      <c r="B9" s="12" t="s">
        <v>19</v>
      </c>
      <c r="C9" s="13">
        <f ca="1">RANDBETWEEN(1,100)</f>
        <v>16</v>
      </c>
      <c r="D9" s="13">
        <f ca="1">RANDBETWEEN(1,100)+RANDBETWEEN(1,100)</f>
        <v>121</v>
      </c>
      <c r="E9" s="13">
        <f ca="1">RANDBETWEEN(1,100)+RANDBETWEEN(1,100)+RANDBETWEEN(1,100)</f>
        <v>99</v>
      </c>
      <c r="F9" s="13">
        <f ca="1">RANDBETWEEN(1,100)+RANDBETWEEN(1,100)+RANDBETWEEN(1,100)+RANDBETWEEN(1,100)</f>
        <v>163</v>
      </c>
      <c r="G9" s="13">
        <f ca="1">RANDBETWEEN(1,100)+RANDBETWEEN(1,100)+RANDBETWEEN(1,100)+RANDBETWEEN(1,100)+RANDBETWEEN(1,100)</f>
        <v>167</v>
      </c>
      <c r="H9" s="14">
        <f ca="1">RANDBETWEEN(1,100)+RANDBETWEEN(1,100)+RANDBETWEEN(1,100)+RANDBETWEEN(1,100)+RANDBETWEEN(1,100)+RANDBETWEEN(1,100)</f>
        <v>349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7" x14ac:dyDescent="0.3">
      <c r="A17" s="1"/>
      <c r="C17" s="1"/>
      <c r="D17" s="1"/>
      <c r="E17" s="1"/>
      <c r="F17" s="1"/>
    </row>
    <row r="18" spans="1:17" x14ac:dyDescent="0.3">
      <c r="A18" s="1"/>
      <c r="C18" s="1"/>
      <c r="D18" s="1"/>
      <c r="E18" s="1"/>
      <c r="F18" s="1"/>
    </row>
    <row r="19" spans="1:17" x14ac:dyDescent="0.3">
      <c r="A19" s="1"/>
      <c r="C19" s="1"/>
      <c r="D19" s="1"/>
      <c r="E19" s="1"/>
      <c r="F19" s="1"/>
      <c r="Q19" s="200" t="s">
        <v>151</v>
      </c>
    </row>
    <row r="20" spans="1:17" x14ac:dyDescent="0.3">
      <c r="A20" s="1"/>
      <c r="C20" s="1"/>
      <c r="D20" s="1"/>
      <c r="E20" s="1"/>
      <c r="F20" s="1"/>
      <c r="Q20" s="200" t="s">
        <v>150</v>
      </c>
    </row>
    <row r="21" spans="1:17" x14ac:dyDescent="0.3">
      <c r="A21" s="1"/>
      <c r="C21" s="1"/>
      <c r="D21" s="1"/>
      <c r="E21" s="1"/>
      <c r="F21" s="1"/>
      <c r="Q21" s="200" t="s">
        <v>222</v>
      </c>
    </row>
    <row r="22" spans="1:17" x14ac:dyDescent="0.3">
      <c r="A22" s="1"/>
      <c r="C22" s="1"/>
      <c r="D22" s="1"/>
      <c r="E22" s="1"/>
      <c r="F22" s="1"/>
    </row>
    <row r="23" spans="1:17" x14ac:dyDescent="0.3">
      <c r="A23" s="1"/>
      <c r="C23" s="1"/>
      <c r="D23" s="1"/>
      <c r="E23" s="1"/>
      <c r="F23" s="1"/>
    </row>
    <row r="24" spans="1:17" x14ac:dyDescent="0.3">
      <c r="A24" s="1"/>
      <c r="C24" s="1"/>
      <c r="D24" s="1"/>
      <c r="E24" s="1"/>
      <c r="F24" s="1"/>
    </row>
    <row r="25" spans="1:17" x14ac:dyDescent="0.3">
      <c r="A25" s="1"/>
      <c r="C25" s="1"/>
      <c r="D25" s="1"/>
      <c r="E25" s="1"/>
      <c r="F25" s="1"/>
    </row>
    <row r="26" spans="1:17" x14ac:dyDescent="0.3">
      <c r="A26" s="1"/>
      <c r="C26" s="1"/>
      <c r="D26" s="1"/>
      <c r="E26" s="1"/>
      <c r="F26" s="1"/>
    </row>
    <row r="27" spans="1:17" x14ac:dyDescent="0.3">
      <c r="A27" s="1"/>
      <c r="C27" s="1"/>
      <c r="D27" s="1"/>
      <c r="E27" s="1"/>
      <c r="F27" s="1"/>
    </row>
    <row r="28" spans="1:17" x14ac:dyDescent="0.3">
      <c r="A28" s="1"/>
      <c r="C28" s="1"/>
      <c r="D28" s="1"/>
      <c r="E28" s="1"/>
      <c r="F28" s="1"/>
    </row>
    <row r="29" spans="1:17" x14ac:dyDescent="0.3">
      <c r="A29" s="1"/>
      <c r="C29" s="1"/>
      <c r="D29" s="1"/>
      <c r="E29" s="1"/>
      <c r="F29" s="1"/>
    </row>
    <row r="30" spans="1:17" x14ac:dyDescent="0.3">
      <c r="A30" s="1"/>
      <c r="C30" s="1"/>
      <c r="D30" s="1"/>
      <c r="E30" s="1"/>
      <c r="F30" s="1"/>
    </row>
    <row r="31" spans="1:17" x14ac:dyDescent="0.3">
      <c r="C31" s="1"/>
      <c r="D31" s="1"/>
      <c r="E31" s="1"/>
      <c r="F31" s="1"/>
      <c r="G31" s="1"/>
    </row>
    <row r="32" spans="1:1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2018-07-13T00:59:39Z</dcterms:modified>
</cp:coreProperties>
</file>