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516" yWindow="4728" windowWidth="6504" windowHeight="4752" tabRatio="638"/>
  </bookViews>
  <sheets>
    <sheet name="Personal File" sheetId="4" r:id="rId1"/>
    <sheet name="Skills" sheetId="15" r:id="rId2"/>
    <sheet name="Sune" sheetId="21" r:id="rId3"/>
    <sheet name="Spells" sheetId="20" r:id="rId4"/>
    <sheet name="Feats" sheetId="23" r:id="rId5"/>
    <sheet name="Martial" sheetId="6" r:id="rId6"/>
    <sheet name="Equipment" sheetId="19" r:id="rId7"/>
    <sheet name="Mount" sheetId="22" r:id="rId8"/>
  </sheets>
  <externalReferences>
    <externalReference r:id="rId9"/>
  </externalReferences>
  <definedNames>
    <definedName name="NoShade">'[1]Spell Sheet'!$FH$1</definedName>
    <definedName name="OLE_LINK1" localSheetId="4">Feats!$C$3</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7">Mount!$A$1:$H$12</definedName>
    <definedName name="_xlnm.Print_Area" localSheetId="0">'Personal File'!$A$1:$H$13</definedName>
    <definedName name="_xlnm.Print_Area" localSheetId="1">Skills!$A$1:$K$29</definedName>
    <definedName name="_xlnm.Print_Area" localSheetId="3">Spells!#REF!</definedName>
    <definedName name="_xlnm.Print_Area" localSheetId="2">Sune!$A$1:$I$14</definedName>
  </definedNames>
  <calcPr calcId="145621"/>
</workbook>
</file>

<file path=xl/calcChain.xml><?xml version="1.0" encoding="utf-8"?>
<calcChain xmlns="http://schemas.openxmlformats.org/spreadsheetml/2006/main">
  <c r="G9" i="20" l="1"/>
  <c r="E6" i="4" l="1"/>
  <c r="B9" i="4"/>
  <c r="B8" i="4"/>
  <c r="G12" i="20" l="1"/>
  <c r="B6" i="4" l="1"/>
  <c r="E10" i="4" l="1"/>
  <c r="B13" i="4" l="1"/>
  <c r="H10" i="15" l="1"/>
  <c r="H13" i="15"/>
  <c r="H11" i="15"/>
  <c r="H9" i="15"/>
  <c r="H8" i="15"/>
  <c r="E55" i="15"/>
  <c r="M38" i="6" l="1"/>
  <c r="I22" i="6" l="1"/>
  <c r="I21" i="6"/>
  <c r="I20" i="6"/>
  <c r="I14" i="6"/>
  <c r="I10" i="6"/>
  <c r="I13" i="6"/>
  <c r="I9" i="6"/>
  <c r="I4" i="6"/>
  <c r="B12" i="4" l="1"/>
  <c r="F41" i="15" l="1"/>
  <c r="F35" i="15"/>
  <c r="F28" i="15"/>
  <c r="F23" i="15"/>
  <c r="F21" i="15"/>
  <c r="F16" i="15"/>
  <c r="F7" i="15"/>
  <c r="B26" i="6"/>
  <c r="H20" i="15" l="1"/>
  <c r="B10" i="4"/>
  <c r="I6" i="6" l="1"/>
  <c r="G32" i="6" l="1"/>
  <c r="I19" i="6" l="1"/>
  <c r="M36" i="6" l="1"/>
  <c r="F9" i="15" l="1"/>
  <c r="I3" i="6" l="1"/>
  <c r="I5" i="6"/>
  <c r="G6" i="19" l="1"/>
  <c r="I7" i="20" l="1"/>
  <c r="G8" i="19" l="1"/>
  <c r="E54" i="15" l="1"/>
  <c r="G16" i="20" l="1"/>
  <c r="G14" i="20"/>
  <c r="I8" i="6" l="1"/>
  <c r="I7" i="6"/>
  <c r="I12" i="6" l="1"/>
  <c r="I11" i="6"/>
  <c r="B44" i="15" l="1"/>
  <c r="H25" i="15"/>
  <c r="G7" i="20" l="1"/>
  <c r="H7" i="20"/>
  <c r="J7" i="20"/>
  <c r="K7" i="20"/>
  <c r="I15" i="6" l="1"/>
  <c r="M18" i="6" l="1"/>
  <c r="G23" i="19" l="1"/>
  <c r="G25" i="19" s="1"/>
  <c r="G18" i="6"/>
  <c r="E9" i="4" s="1"/>
  <c r="C9" i="22"/>
  <c r="C8" i="22"/>
  <c r="C7" i="22"/>
  <c r="C6" i="22"/>
  <c r="C5" i="22"/>
  <c r="C4" i="22"/>
  <c r="E56" i="15" l="1"/>
  <c r="H31" i="15"/>
  <c r="H30" i="15"/>
  <c r="H29" i="15"/>
  <c r="H28" i="15"/>
  <c r="H27" i="15"/>
  <c r="H26" i="15"/>
  <c r="H24" i="15"/>
  <c r="H23" i="15"/>
  <c r="H22" i="15"/>
  <c r="H21" i="15"/>
  <c r="H19" i="15"/>
  <c r="H18" i="15"/>
  <c r="H17" i="15"/>
  <c r="H16" i="15"/>
  <c r="H15" i="15"/>
  <c r="H14" i="15"/>
  <c r="H12" i="15"/>
  <c r="H40" i="15"/>
  <c r="I23" i="6" l="1"/>
  <c r="I18" i="6"/>
  <c r="H43" i="15" l="1"/>
  <c r="H42" i="15"/>
  <c r="H41" i="15"/>
  <c r="H39" i="15"/>
  <c r="H38" i="15"/>
  <c r="H37" i="15"/>
  <c r="H36" i="15"/>
  <c r="H35" i="15"/>
  <c r="H34" i="15"/>
  <c r="H33" i="15"/>
  <c r="H32" i="15"/>
  <c r="H5" i="15"/>
  <c r="H4" i="15"/>
  <c r="H3" i="15"/>
  <c r="H7" i="15"/>
  <c r="H6" i="15"/>
  <c r="C13" i="4" l="1"/>
  <c r="C12" i="4"/>
  <c r="C11" i="4"/>
  <c r="C10" i="4"/>
  <c r="C9" i="4"/>
  <c r="E11" i="4" s="1"/>
  <c r="C8" i="4"/>
  <c r="B7" i="4" l="1"/>
  <c r="H19" i="6"/>
  <c r="C3" i="23"/>
  <c r="C6" i="23"/>
  <c r="F5" i="15"/>
  <c r="C8" i="20"/>
  <c r="C4" i="20"/>
  <c r="C7" i="20"/>
  <c r="C3" i="20"/>
  <c r="C6" i="20"/>
  <c r="C9" i="20"/>
  <c r="C5" i="20"/>
  <c r="C19" i="20"/>
  <c r="C17" i="20"/>
  <c r="C13" i="20"/>
  <c r="C16" i="20"/>
  <c r="C15" i="20"/>
  <c r="C18" i="20"/>
  <c r="C14" i="20"/>
  <c r="F3" i="15"/>
  <c r="F4" i="15"/>
  <c r="G13" i="20"/>
  <c r="G15" i="20"/>
  <c r="G17" i="20"/>
  <c r="C5" i="6"/>
  <c r="C4" i="6"/>
  <c r="C3" i="6"/>
  <c r="C6" i="6"/>
  <c r="C14" i="6"/>
  <c r="C10" i="6"/>
  <c r="C9" i="6"/>
  <c r="C13" i="6"/>
  <c r="C8" i="6"/>
  <c r="C7" i="6"/>
  <c r="H6" i="6"/>
  <c r="J6" i="6" s="1"/>
  <c r="E13" i="4"/>
  <c r="E12" i="4" s="1"/>
  <c r="H18" i="6"/>
  <c r="J18" i="6" s="1"/>
  <c r="H23" i="6"/>
  <c r="J23" i="6" s="1"/>
  <c r="C12" i="6"/>
  <c r="H15" i="6"/>
  <c r="J15" i="6" s="1"/>
  <c r="H7" i="6"/>
  <c r="H3" i="6"/>
  <c r="H11" i="6"/>
  <c r="C11" i="6"/>
  <c r="E53" i="15"/>
  <c r="D25" i="15"/>
  <c r="E45" i="15"/>
  <c r="D6" i="15"/>
  <c r="G6" i="15" s="1"/>
  <c r="E51" i="15"/>
  <c r="E47" i="15"/>
  <c r="E50" i="15"/>
  <c r="E46" i="15"/>
  <c r="E52" i="15"/>
  <c r="D26" i="15"/>
  <c r="E49" i="15"/>
  <c r="E48" i="15"/>
  <c r="D4" i="15"/>
  <c r="D5" i="15"/>
  <c r="D3" i="15"/>
  <c r="D24" i="15"/>
  <c r="D37" i="15"/>
  <c r="D39" i="15"/>
  <c r="D36" i="15"/>
  <c r="B22" i="19"/>
  <c r="D31" i="15"/>
  <c r="D41" i="15"/>
  <c r="D38" i="15"/>
  <c r="D40" i="15"/>
  <c r="D33" i="15"/>
  <c r="D19" i="15"/>
  <c r="D42" i="15"/>
  <c r="D29" i="15"/>
  <c r="D35" i="15"/>
  <c r="D14" i="15"/>
  <c r="D12" i="15"/>
  <c r="D43" i="15"/>
  <c r="D34" i="15"/>
  <c r="D32" i="15"/>
  <c r="D30" i="15"/>
  <c r="D28" i="15"/>
  <c r="D27" i="15"/>
  <c r="D23" i="15"/>
  <c r="D22" i="15"/>
  <c r="D21" i="15"/>
  <c r="D20" i="15"/>
  <c r="D18" i="15"/>
  <c r="D17" i="15"/>
  <c r="D16" i="15"/>
  <c r="D15" i="15"/>
  <c r="D13" i="15"/>
  <c r="D11" i="15"/>
  <c r="D10" i="15"/>
  <c r="D9" i="15"/>
  <c r="D8" i="15"/>
  <c r="D7" i="15"/>
  <c r="J19" i="6" l="1"/>
  <c r="H20" i="6"/>
  <c r="J11" i="6"/>
  <c r="H12" i="6"/>
  <c r="J3" i="6"/>
  <c r="H4" i="6"/>
  <c r="J7" i="6"/>
  <c r="H8" i="6"/>
  <c r="G25" i="15"/>
  <c r="I25" i="15" s="1"/>
  <c r="E25" i="15"/>
  <c r="E6" i="15"/>
  <c r="G26" i="15"/>
  <c r="I26" i="15" s="1"/>
  <c r="E26" i="15"/>
  <c r="E44" i="15"/>
  <c r="I6" i="15"/>
  <c r="E22" i="15"/>
  <c r="G22" i="15"/>
  <c r="E8" i="15"/>
  <c r="G8" i="15"/>
  <c r="E18" i="15"/>
  <c r="G18" i="15"/>
  <c r="E23" i="15"/>
  <c r="G23" i="15"/>
  <c r="E32" i="15"/>
  <c r="G32" i="15"/>
  <c r="E14" i="15"/>
  <c r="G14" i="15"/>
  <c r="E19" i="15"/>
  <c r="G19" i="15"/>
  <c r="E41" i="15"/>
  <c r="G41" i="15"/>
  <c r="E39" i="15"/>
  <c r="G39" i="15"/>
  <c r="E24" i="15"/>
  <c r="G24" i="15"/>
  <c r="E11" i="15"/>
  <c r="G11" i="15"/>
  <c r="E12" i="15"/>
  <c r="G12" i="15"/>
  <c r="E9" i="15"/>
  <c r="G9" i="15"/>
  <c r="E20" i="15"/>
  <c r="G20" i="15"/>
  <c r="E34" i="15"/>
  <c r="G34" i="15"/>
  <c r="E33" i="15"/>
  <c r="G33" i="15"/>
  <c r="E31" i="15"/>
  <c r="G31" i="15"/>
  <c r="E4" i="15"/>
  <c r="G4" i="15"/>
  <c r="E7" i="15"/>
  <c r="G7" i="15"/>
  <c r="E30" i="15"/>
  <c r="G30" i="15"/>
  <c r="E13" i="15"/>
  <c r="G13" i="15"/>
  <c r="E15" i="15"/>
  <c r="G15" i="15"/>
  <c r="E27" i="15"/>
  <c r="G27" i="15"/>
  <c r="E35" i="15"/>
  <c r="G35" i="15"/>
  <c r="E10" i="15"/>
  <c r="G10" i="15"/>
  <c r="E16" i="15"/>
  <c r="G16" i="15"/>
  <c r="E21" i="15"/>
  <c r="G21" i="15"/>
  <c r="E28" i="15"/>
  <c r="G28" i="15"/>
  <c r="E43" i="15"/>
  <c r="G43" i="15"/>
  <c r="E29" i="15"/>
  <c r="G29" i="15"/>
  <c r="E40" i="15"/>
  <c r="G40" i="15"/>
  <c r="E37" i="15"/>
  <c r="G37" i="15"/>
  <c r="E17" i="15"/>
  <c r="G17" i="15"/>
  <c r="E42" i="15"/>
  <c r="G42" i="15"/>
  <c r="E38" i="15"/>
  <c r="G38" i="15"/>
  <c r="E36" i="15"/>
  <c r="G36" i="15"/>
  <c r="E3" i="15"/>
  <c r="G3" i="15"/>
  <c r="E5" i="15"/>
  <c r="G5" i="15"/>
  <c r="H21" i="6" l="1"/>
  <c r="J20" i="6"/>
  <c r="H13" i="6"/>
  <c r="J12" i="6"/>
  <c r="H9" i="6"/>
  <c r="J8" i="6"/>
  <c r="H5" i="6"/>
  <c r="J5" i="6" s="1"/>
  <c r="J4" i="6"/>
  <c r="I3" i="15"/>
  <c r="I28" i="15"/>
  <c r="I16" i="15"/>
  <c r="I15" i="15"/>
  <c r="I30" i="15"/>
  <c r="I38" i="15"/>
  <c r="I17" i="15"/>
  <c r="I40" i="15"/>
  <c r="I43" i="15"/>
  <c r="I21" i="15"/>
  <c r="I10" i="15"/>
  <c r="I27" i="15"/>
  <c r="I13" i="15"/>
  <c r="I7" i="15"/>
  <c r="I31" i="15"/>
  <c r="I34" i="15"/>
  <c r="I9" i="15"/>
  <c r="I11" i="15"/>
  <c r="I39" i="15"/>
  <c r="I19" i="15"/>
  <c r="I32" i="15"/>
  <c r="I36" i="15"/>
  <c r="I37" i="15"/>
  <c r="I29" i="15"/>
  <c r="I35" i="15"/>
  <c r="I4" i="15"/>
  <c r="I33" i="15"/>
  <c r="I20" i="15"/>
  <c r="I12" i="15"/>
  <c r="I24" i="15"/>
  <c r="I41" i="15"/>
  <c r="I14" i="15"/>
  <c r="I23" i="15"/>
  <c r="I5" i="15"/>
  <c r="I42" i="15"/>
  <c r="I8" i="15"/>
  <c r="I18" i="15"/>
  <c r="I22" i="15"/>
  <c r="H22" i="6" l="1"/>
  <c r="J22" i="6" s="1"/>
  <c r="J21" i="6"/>
  <c r="J9" i="6"/>
  <c r="H10" i="6"/>
  <c r="J10" i="6" s="1"/>
  <c r="J13" i="6"/>
  <c r="H14" i="6"/>
  <c r="J14" i="6" s="1"/>
</calcChain>
</file>

<file path=xl/comments1.xml><?xml version="1.0" encoding="utf-8"?>
<comments xmlns="http://schemas.openxmlformats.org/spreadsheetml/2006/main">
  <authors>
    <author>Alexis Álvarez</author>
  </authors>
  <commentList>
    <comment ref="C6" authorId="0">
      <text>
        <r>
          <rPr>
            <i/>
            <sz val="12"/>
            <color indexed="81"/>
            <rFont val="Times New Roman"/>
            <family val="1"/>
          </rPr>
          <t>bless +1
shaken -2
inspired greatness +2
enlarge person -1</t>
        </r>
      </text>
    </comment>
    <comment ref="E7" authorId="0">
      <text>
        <r>
          <rPr>
            <sz val="12"/>
            <color indexed="81"/>
            <rFont val="Times New Roman"/>
            <family val="1"/>
          </rPr>
          <t>Next level at 78,000 XPs</t>
        </r>
      </text>
    </comment>
    <comment ref="B8" authorId="0">
      <text>
        <r>
          <rPr>
            <i/>
            <sz val="12"/>
            <color indexed="81"/>
            <rFont val="Times New Roman"/>
            <family val="1"/>
          </rPr>
          <t>bull’s strength +4
righteous fury +4
enlarge person +2</t>
        </r>
      </text>
    </comment>
    <comment ref="E8" authorId="0">
      <text>
        <r>
          <rPr>
            <sz val="12"/>
            <color indexed="81"/>
            <rFont val="Times New Roman"/>
            <family val="1"/>
          </rPr>
          <t>See PHB 162</t>
        </r>
      </text>
    </comment>
    <comment ref="B9" authorId="0">
      <text>
        <r>
          <rPr>
            <sz val="12"/>
            <color indexed="81"/>
            <rFont val="Times New Roman"/>
            <family val="1"/>
          </rPr>
          <t xml:space="preserve">Gloves of Dexterity +2
</t>
        </r>
        <r>
          <rPr>
            <i/>
            <sz val="12"/>
            <color indexed="81"/>
            <rFont val="Times New Roman"/>
            <family val="1"/>
          </rPr>
          <t>enlarge person -2</t>
        </r>
      </text>
    </comment>
    <comment ref="E10" authorId="0">
      <text>
        <r>
          <rPr>
            <sz val="12"/>
            <color indexed="81"/>
            <rFont val="Times New Roman"/>
            <family val="1"/>
          </rPr>
          <t>[(5 * 10 Paladin) * 75%] +
[(6 * 10 Pious Templar) * 75%] +
(11 * 2 Con) + 11 Improved Toughness</t>
        </r>
      </text>
    </comment>
    <comment ref="E11" authorId="0">
      <text>
        <r>
          <rPr>
            <sz val="12"/>
            <color indexed="81"/>
            <rFont val="Times New Roman"/>
            <family val="1"/>
          </rPr>
          <t>Protection from Evil +2</t>
        </r>
      </text>
    </comment>
    <comment ref="B12" authorId="0">
      <text>
        <r>
          <rPr>
            <sz val="12"/>
            <color indexed="81"/>
            <rFont val="Times New Roman"/>
            <family val="1"/>
          </rPr>
          <t>Amulet of Wisdom +2</t>
        </r>
      </text>
    </comment>
    <comment ref="E12" authorId="0">
      <text>
        <r>
          <rPr>
            <sz val="12"/>
            <color indexed="81"/>
            <rFont val="Times New Roman"/>
            <family val="1"/>
          </rPr>
          <t>Protection from Evil +2</t>
        </r>
      </text>
    </comment>
    <comment ref="B13" authorId="0">
      <text>
        <r>
          <rPr>
            <sz val="12"/>
            <color indexed="81"/>
            <rFont val="Times New Roman"/>
            <family val="1"/>
          </rPr>
          <t>Cloak of Charisma +2</t>
        </r>
      </text>
    </comment>
    <comment ref="E13" authorId="0">
      <text>
        <r>
          <rPr>
            <sz val="12"/>
            <color indexed="81"/>
            <rFont val="Times New Roman"/>
            <family val="1"/>
          </rPr>
          <t>Protection from Evil +2</t>
        </r>
      </text>
    </comment>
  </commentList>
</comments>
</file>

<file path=xl/comments2.xml><?xml version="1.0" encoding="utf-8"?>
<comments xmlns="http://schemas.openxmlformats.org/spreadsheetml/2006/main">
  <authors>
    <author>Alexis Álvarez</author>
  </authors>
  <commentList>
    <comment ref="F3" authorId="0">
      <text>
        <r>
          <rPr>
            <i/>
            <sz val="12"/>
            <color indexed="81"/>
            <rFont val="Times New Roman"/>
            <family val="1"/>
          </rPr>
          <t>inspired greatness +1
vest of resistance +2</t>
        </r>
      </text>
    </comment>
    <comment ref="F4" authorId="0">
      <text>
        <r>
          <rPr>
            <i/>
            <sz val="12"/>
            <color indexed="81"/>
            <rFont val="Times New Roman"/>
            <family val="1"/>
          </rPr>
          <t>vest of resistance +2
nightshield +3
haste +1</t>
        </r>
      </text>
    </comment>
    <comment ref="F5" authorId="0">
      <text>
        <r>
          <rPr>
            <i/>
            <sz val="12"/>
            <color indexed="81"/>
            <rFont val="Times New Roman"/>
            <family val="1"/>
          </rPr>
          <t>vest of resistance +2</t>
        </r>
      </text>
    </comment>
    <comment ref="F7" authorId="0">
      <text>
        <r>
          <rPr>
            <sz val="12"/>
            <color indexed="81"/>
            <rFont val="Times New Roman"/>
            <family val="1"/>
          </rPr>
          <t>Full Plate +3</t>
        </r>
      </text>
    </comment>
    <comment ref="F9" authorId="0">
      <text>
        <r>
          <rPr>
            <sz val="12"/>
            <color indexed="81"/>
            <rFont val="Times New Roman"/>
            <family val="1"/>
          </rPr>
          <t>Full Plate +3</t>
        </r>
      </text>
    </comment>
    <comment ref="F16" authorId="0">
      <text>
        <r>
          <rPr>
            <sz val="12"/>
            <color indexed="81"/>
            <rFont val="Times New Roman"/>
            <family val="1"/>
          </rPr>
          <t>Full Plate +3</t>
        </r>
      </text>
    </comment>
    <comment ref="F21" authorId="0">
      <text>
        <r>
          <rPr>
            <sz val="12"/>
            <color indexed="81"/>
            <rFont val="Times New Roman"/>
            <family val="1"/>
          </rPr>
          <t>Full Plate +3</t>
        </r>
      </text>
    </comment>
    <comment ref="F23" authorId="0">
      <text>
        <r>
          <rPr>
            <sz val="12"/>
            <color indexed="81"/>
            <rFont val="Times New Roman"/>
            <family val="1"/>
          </rPr>
          <t>Full Plate +3</t>
        </r>
      </text>
    </comment>
    <comment ref="F28" authorId="0">
      <text>
        <r>
          <rPr>
            <sz val="12"/>
            <color indexed="81"/>
            <rFont val="Times New Roman"/>
            <family val="1"/>
          </rPr>
          <t>Full Plate +3</t>
        </r>
      </text>
    </comment>
    <comment ref="F35" authorId="0">
      <text>
        <r>
          <rPr>
            <sz val="12"/>
            <color indexed="81"/>
            <rFont val="Times New Roman"/>
            <family val="1"/>
          </rPr>
          <t>Full Plate +3</t>
        </r>
      </text>
    </comment>
    <comment ref="F41" authorId="0">
      <text>
        <r>
          <rPr>
            <sz val="12"/>
            <color indexed="81"/>
            <rFont val="Times New Roman"/>
            <family val="1"/>
          </rPr>
          <t>Full Plate +3</t>
        </r>
      </text>
    </comment>
  </commentList>
</comments>
</file>

<file path=xl/comments3.xml><?xml version="1.0" encoding="utf-8"?>
<comments xmlns="http://schemas.openxmlformats.org/spreadsheetml/2006/main">
  <authors>
    <author>Alexis Álvarez</author>
  </authors>
  <commentList>
    <comment ref="D5" authorId="0">
      <text>
        <r>
          <rPr>
            <sz val="12"/>
            <color indexed="81"/>
            <rFont val="Times New Roman"/>
            <family val="1"/>
          </rPr>
          <t>Pure Water</t>
        </r>
      </text>
    </comment>
    <comment ref="D11" authorId="0">
      <text>
        <r>
          <rPr>
            <sz val="12"/>
            <color indexed="81"/>
            <rFont val="Times New Roman"/>
            <family val="1"/>
          </rPr>
          <t>Earth from grave</t>
        </r>
      </text>
    </comment>
    <comment ref="D19" authorId="0">
      <text>
        <r>
          <rPr>
            <sz val="12"/>
            <color indexed="81"/>
            <rFont val="Times New Roman"/>
            <family val="1"/>
          </rPr>
          <t>Imbued weapon</t>
        </r>
      </text>
    </comment>
    <comment ref="D22" authorId="0">
      <text>
        <r>
          <rPr>
            <sz val="12"/>
            <color indexed="81"/>
            <rFont val="Times New Roman"/>
            <family val="1"/>
          </rPr>
          <t>Prism, lens, or monocle</t>
        </r>
      </text>
    </comment>
    <comment ref="D24" authorId="0">
      <text>
        <r>
          <rPr>
            <sz val="12"/>
            <color indexed="81"/>
            <rFont val="Times New Roman"/>
            <family val="1"/>
          </rPr>
          <t>Miniature cloak</t>
        </r>
      </text>
    </comment>
    <comment ref="H25" authorId="0">
      <text>
        <r>
          <rPr>
            <sz val="12"/>
            <color indexed="81"/>
            <rFont val="Times New Roman"/>
            <family val="1"/>
          </rPr>
          <t>See Righteous Fury in Miniatures Handbook</t>
        </r>
      </text>
    </comment>
    <comment ref="D33" authorId="0">
      <text>
        <r>
          <rPr>
            <sz val="12"/>
            <color indexed="81"/>
            <rFont val="Times New Roman"/>
            <family val="1"/>
          </rPr>
          <t>ruby dust &amp; blood</t>
        </r>
      </text>
    </comment>
    <comment ref="D35" authorId="0">
      <text>
        <r>
          <rPr>
            <sz val="12"/>
            <color indexed="81"/>
            <rFont val="Times New Roman"/>
            <family val="1"/>
          </rPr>
          <t>Bull-shit or bull-hair</t>
        </r>
      </text>
    </comment>
    <comment ref="D43" authorId="0">
      <text>
        <r>
          <rPr>
            <sz val="12"/>
            <color indexed="81"/>
            <rFont val="Times New Roman"/>
            <family val="1"/>
          </rPr>
          <t>Eagle feathers or droppings</t>
        </r>
      </text>
    </comment>
    <comment ref="D47" authorId="0">
      <text>
        <r>
          <rPr>
            <sz val="12"/>
            <color indexed="81"/>
            <rFont val="Times New Roman"/>
            <family val="1"/>
          </rPr>
          <t>Feathers or pinch of owl droppings</t>
        </r>
      </text>
    </comment>
    <comment ref="D51" authorId="0">
      <text>
        <r>
          <rPr>
            <sz val="12"/>
            <color indexed="81"/>
            <rFont val="Times New Roman"/>
            <family val="1"/>
          </rPr>
          <t>25 gp of sticks and bones</t>
        </r>
      </text>
    </comment>
    <comment ref="D64" authorId="0">
      <text>
        <r>
          <rPr>
            <sz val="12"/>
            <color indexed="81"/>
            <rFont val="Times New Roman"/>
            <family val="1"/>
          </rPr>
          <t>dragon’s claw or a giant’s fingernail.</t>
        </r>
      </text>
    </comment>
    <comment ref="D68" authorId="0">
      <text>
        <r>
          <rPr>
            <sz val="12"/>
            <color indexed="81"/>
            <rFont val="Times New Roman"/>
            <family val="1"/>
          </rPr>
          <t>Metal object with which to outline circle</t>
        </r>
      </text>
    </comment>
    <comment ref="D69" authorId="0">
      <text>
        <r>
          <rPr>
            <sz val="12"/>
            <color indexed="81"/>
            <rFont val="Times New Roman"/>
            <family val="1"/>
          </rPr>
          <t>Metal object with which to outline circle</t>
        </r>
      </text>
    </comment>
    <comment ref="D70" authorId="0">
      <text>
        <r>
          <rPr>
            <sz val="12"/>
            <color indexed="81"/>
            <rFont val="Times New Roman"/>
            <family val="1"/>
          </rPr>
          <t>Powdered lime and carbon</t>
        </r>
      </text>
    </comment>
  </commentList>
</comments>
</file>

<file path=xl/comments4.xml><?xml version="1.0" encoding="utf-8"?>
<comments xmlns="http://schemas.openxmlformats.org/spreadsheetml/2006/main">
  <authors>
    <author>Alexis Álvarez</author>
  </authors>
  <commentList>
    <comment ref="G15" authorId="0">
      <text>
        <r>
          <rPr>
            <sz val="12"/>
            <color indexed="81"/>
            <rFont val="Times New Roman"/>
            <family val="1"/>
          </rPr>
          <t>Know: Religion synergy +2</t>
        </r>
      </text>
    </comment>
  </commentList>
</comments>
</file>

<file path=xl/comments5.xml><?xml version="1.0" encoding="utf-8"?>
<comments xmlns="http://schemas.openxmlformats.org/spreadsheetml/2006/main">
  <authors>
    <author>Alexis Álvarez</author>
  </authors>
  <commentList>
    <comment ref="A2" authorId="0">
      <text>
        <r>
          <rPr>
            <sz val="12"/>
            <color indexed="81"/>
            <rFont val="Times New Roman"/>
            <family val="1"/>
          </rPr>
          <t xml:space="preserve">You can make exceptionally powerful melee attacks.
Prerequisite:  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C2" authorId="0">
      <text>
        <r>
          <rPr>
            <sz val="12"/>
            <color indexed="81"/>
            <rFont val="Times New Roman"/>
            <family val="1"/>
          </rPr>
          <t>The power of a paladin’s aura of good (see the detect good spell) is equal to her paladin level, just like the aura of a cleric of a good deity.
PHB 44</t>
        </r>
      </text>
    </comment>
    <comment ref="A3" authorId="0">
      <text>
        <r>
          <rPr>
            <sz val="12"/>
            <color indexed="81"/>
            <rFont val="Times New Roman"/>
            <family val="1"/>
          </rPr>
          <t xml:space="preserve">Your deity rewards your unquestioning faith and dedication.
</t>
        </r>
        <r>
          <rPr>
            <b/>
            <sz val="12"/>
            <color indexed="81"/>
            <rFont val="Times New Roman"/>
            <family val="1"/>
          </rPr>
          <t xml:space="preserve">Prerequisite:  </t>
        </r>
        <r>
          <rPr>
            <sz val="12"/>
            <color indexed="81"/>
            <rFont val="Times New Roman"/>
            <family val="1"/>
          </rPr>
          <t xml:space="preserve">Must choose a single deity to worship.  Must be within one step of that god’s alignment.
</t>
        </r>
        <r>
          <rPr>
            <b/>
            <sz val="12"/>
            <color indexed="81"/>
            <rFont val="Times New Roman"/>
            <family val="1"/>
          </rPr>
          <t xml:space="preserve">Benefit:  </t>
        </r>
        <r>
          <rPr>
            <sz val="12"/>
            <color indexed="81"/>
            <rFont val="Times New Roman"/>
            <family val="1"/>
          </rPr>
          <t>Once per day when you are about to make a saving throw you may declare that you are using this feat to gain a +2 insight bonus on that saving throw.
This feat also allows you to use a relic (see relics, page 88) of the deity you worship.
Complete Divine 86</t>
        </r>
      </text>
    </comment>
    <comment ref="C3" authorId="0">
      <text>
        <r>
          <rPr>
            <sz val="12"/>
            <color indexed="81"/>
            <rFont val="Times New Roman"/>
            <family val="1"/>
          </rPr>
          <t>Beginning at 2nd level, a paladin with a Charisma score of 12 or higher can heal wounds (her own or those of others) by touch.  Each day she can heal a total number of hit points of damage equal to her paladin level × her Charisma bonus.  For example, a 7th-level paladin with a 16 Charisma (+3 bonus) can heal 21 points of damage per day.  A paladin may choose to divide her healing among multiple recipients, and she doesn’t have to use it all at once.  Using lay on hands is a standard action.
Alternatively, a paladin can use any or all of this healing power to deal damage to undead creatures.  Using lay on hands in this way requires a successful melee touch attack and doesn’t provoke an attack of opportunity.  The paladin decides how many of her daily allotment of points to use as damage after successfully touching an undead creature.  
PHB 44</t>
        </r>
      </text>
    </comment>
    <comment ref="A4"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4" authorId="0">
      <text>
        <r>
          <rPr>
            <sz val="12"/>
            <color indexed="81"/>
            <rFont val="Times New Roman"/>
            <family val="1"/>
          </rPr>
          <t>A paladin of freedom must be of chaotic good alignment and loses all class abilities if he ever willingly commits an evil act. Additionally, a paladin of freedom’s code requires that he respect individual liberty, help those in need (provided they do not use the help for lawful or evil ends), and punish those who threaten or curtail personal liberty.
Unearthed Arcana 53</t>
        </r>
      </text>
    </comment>
    <comment ref="A5" authorId="0">
      <text>
        <r>
          <rPr>
            <sz val="12"/>
            <color indexed="81"/>
            <rFont val="Times New Roman"/>
            <family val="1"/>
          </rPr>
          <t xml:space="preserve">You are significantly tougher than normal.
</t>
        </r>
        <r>
          <rPr>
            <b/>
            <sz val="12"/>
            <color indexed="81"/>
            <rFont val="Times New Roman"/>
            <family val="1"/>
          </rPr>
          <t xml:space="preserve">Prerequisite:  </t>
        </r>
        <r>
          <rPr>
            <sz val="12"/>
            <color indexed="81"/>
            <rFont val="Times New Roman"/>
            <family val="1"/>
          </rPr>
          <t xml:space="preserve">Base Fortitude save bonus +2.
</t>
        </r>
        <r>
          <rPr>
            <b/>
            <sz val="12"/>
            <color indexed="81"/>
            <rFont val="Times New Roman"/>
            <family val="1"/>
          </rPr>
          <t xml:space="preserve">Benefit:  </t>
        </r>
        <r>
          <rPr>
            <sz val="12"/>
            <color indexed="81"/>
            <rFont val="Times New Roman"/>
            <family val="1"/>
          </rPr>
          <t xml:space="preserve">You gain a number of hit points equal to your current Hit Dice.  Each time you gain a HD (such as by gaining a level), you gain 1 additional hit point. If you lose a HD (such as by losing a level), you lose 1 hit point permanently.
</t>
        </r>
        <r>
          <rPr>
            <b/>
            <sz val="12"/>
            <color indexed="81"/>
            <rFont val="Times New Roman"/>
            <family val="1"/>
          </rPr>
          <t xml:space="preserve">Special:  </t>
        </r>
        <r>
          <rPr>
            <sz val="12"/>
            <color indexed="81"/>
            <rFont val="Times New Roman"/>
            <family val="1"/>
          </rPr>
          <t>A fighter may select Improved Toughness as one of his fighter bonus feats.
Complete Warrior 101</t>
        </r>
      </text>
    </comment>
    <comment ref="C5" authorId="0">
      <text>
        <r>
          <rPr>
            <sz val="12"/>
            <color indexed="81"/>
            <rFont val="Times New Roman"/>
            <family val="1"/>
          </rPr>
          <t>At will, a paladin can use detect evil, as the spell.
PHB 44</t>
        </r>
      </text>
    </comment>
    <comment ref="A6" authorId="0">
      <text>
        <r>
          <rPr>
            <sz val="12"/>
            <color indexed="81"/>
            <rFont val="Times New Roman"/>
            <family val="1"/>
          </rPr>
          <t xml:space="preserve">You can channel positive energy to grant nearby living creatures the ability to recover from their wounds quickly.
</t>
        </r>
        <r>
          <rPr>
            <b/>
            <sz val="12"/>
            <color indexed="81"/>
            <rFont val="Times New Roman"/>
            <family val="1"/>
          </rPr>
          <t>Prerequisites:</t>
        </r>
        <r>
          <rPr>
            <sz val="12"/>
            <color indexed="81"/>
            <rFont val="Times New Roman"/>
            <family val="1"/>
          </rPr>
          <t xml:space="preserve">  Heal 8 ranks, ability to turn undead.
</t>
        </r>
        <r>
          <rPr>
            <b/>
            <sz val="12"/>
            <color indexed="81"/>
            <rFont val="Times New Roman"/>
            <family val="1"/>
          </rPr>
          <t>Benefit:</t>
        </r>
        <r>
          <rPr>
            <sz val="12"/>
            <color indexed="81"/>
            <rFont val="Times New Roman"/>
            <family val="1"/>
          </rPr>
          <t xml:space="preserve">  You can spend a turn attempt as a full-round action to grant fast healing 3 to all living creatures within a 60’ burst.  The fast healing lasts for a number of rounds equal to 1 + your Cha modifier (minimum 1 round).
Complete Divine 84</t>
        </r>
      </text>
    </comment>
    <comment ref="C6" authorId="0">
      <text>
        <r>
          <rPr>
            <sz val="12"/>
            <color indexed="81"/>
            <rFont val="Times New Roman"/>
            <family val="1"/>
          </rPr>
          <t>Once per day, a paladin may attempt to smite evil with one normal melee attack.  She adds her Charisma bonus (if any) to her attack roll and deals 1 extra point of damage per paladin level.  For example, a 13th-level paladin armed with a longsword would deal 1d8+13 points of damage, plus any additional bonuses for high Strength or magical affects that would normally apply.  If the paladin accidentally smites a creature that is not evil, the smite has no effect, but the ability is still used up for that day.
At 5th level, and at every five levels thereafter, the paladin may smite evil one additional time per day, as indicated on Table 3–12:  The Paladin, to a maximum of five times per day at 20th level.
PHB 44</t>
        </r>
      </text>
    </comment>
    <comment ref="C7" authorId="0">
      <text>
        <r>
          <rPr>
            <sz val="12"/>
            <color indexed="81"/>
            <rFont val="Times New Roman"/>
            <family val="1"/>
          </rPr>
          <t>At 2nd level, a paladin gains a bonus equal to her Charisma bonus (if any) on all saving throws.
PHB 44</t>
        </r>
      </text>
    </comment>
    <comment ref="C8" authorId="0">
      <text>
        <r>
          <rPr>
            <sz val="12"/>
            <color indexed="81"/>
            <rFont val="Times New Roman"/>
            <family val="1"/>
          </rPr>
          <t>At 3rd level, a paladin gains immunity to all diseases, including supernatural and magical diseases (such as mummy rot and lycanthropy).
PHB 44</t>
        </r>
      </text>
    </comment>
    <comment ref="A9" authorId="0">
      <text>
        <r>
          <rPr>
            <sz val="12"/>
            <color indexed="81"/>
            <rFont val="Times New Roman"/>
            <family val="1"/>
          </rPr>
          <t>A pious templar’s special blessing allows her to shrug off magical effects that would otherwise harm her.  If a pious templar makes a successful Will or Fortitude saving throw that would normally reduce the spell’s effect, she suffers no effect from the spell at all.  Only those spells with a Saving Throw entry of “Will partial,” “Fortitude half,” or similar entries can be negated through this ability.
Complete Divine 50</t>
        </r>
      </text>
    </comment>
    <comment ref="C9" authorId="0">
      <text>
        <r>
          <rPr>
            <sz val="12"/>
            <color indexed="81"/>
            <rFont val="Times New Roman"/>
            <family val="1"/>
          </rPr>
          <t>Beginning at 3rd level, a paladin of freedom is immune to compulsion effects. Each ally within 10 feet of him gains a +4 morale bonus on saving throws against compulsion effects.  This ability otherwise functions identically to the paladin’s aura of courage class feature (see below).
UA 53
Beginning at 3rd level, a paladin is immune to fear (magical or otherwise).  Each ally within 10 feet of her gains a +4 morale bonus on saving throws against fear effects.
This ability functions while the paladin is conscious, but not if she is unconscious or dead.
PHB 44</t>
        </r>
      </text>
    </comment>
    <comment ref="A10" authorId="0">
      <text>
        <r>
          <rPr>
            <sz val="12"/>
            <color indexed="81"/>
            <rFont val="Times New Roman"/>
            <family val="1"/>
          </rPr>
          <t>Once per day, a pious templar of 2nd level or higher may make a single melee attack with a +4 attack bonus and a damage bonus equal to her pious templar level (if she hits).  The pious templar must declare the smite before making the attack.  Starting at 6th level, a pious templar can smite twice per day and at 10th level, three times per day.
If a pious templar has a smite evil or smite ability (for being a paladin or a cleric with the Destruction domain) already, she can use the ability one extra time per day (two extra times at 7th level). The attack bonus does not increase, but the damage bonus is based on the character’s combined level (pious templar level plus cleric or paladin level).
Complete Divine 51</t>
        </r>
      </text>
    </comment>
    <comment ref="C10" authorId="0">
      <text>
        <r>
          <rPr>
            <sz val="12"/>
            <color indexed="81"/>
            <rFont val="Times New Roman"/>
            <family val="1"/>
          </rPr>
          <t xml:space="preserve">At 6th level, a paladin can produce a </t>
        </r>
        <r>
          <rPr>
            <i/>
            <sz val="12"/>
            <color indexed="81"/>
            <rFont val="Times New Roman"/>
            <family val="1"/>
          </rPr>
          <t xml:space="preserve">remove disease </t>
        </r>
        <r>
          <rPr>
            <sz val="12"/>
            <color indexed="81"/>
            <rFont val="Times New Roman"/>
            <family val="1"/>
          </rPr>
          <t>effect, as the spell, once per week.  She can use this ability one additional time per week for every three levels after 6th (twice per week at 9th, three times at 12th, and so forth).
PHB 44</t>
        </r>
      </text>
    </comment>
    <comment ref="A11" authorId="0">
      <text>
        <r>
          <rPr>
            <sz val="12"/>
            <color indexed="81"/>
            <rFont val="Times New Roman"/>
            <family val="1"/>
          </rPr>
          <t xml:space="preserve">Choose one type of weapon, such as greataxe, for which you have already selected the Weapon Focus feat.  You can also choose unarmed strike or grapple as your weapon for purposes of this feat.
You deal extra damage when using this weapon.
</t>
        </r>
        <r>
          <rPr>
            <b/>
            <sz val="12"/>
            <color indexed="81"/>
            <rFont val="Times New Roman"/>
            <family val="1"/>
          </rPr>
          <t>Prerequisites:</t>
        </r>
        <r>
          <rPr>
            <sz val="12"/>
            <color indexed="81"/>
            <rFont val="Times New Roman"/>
            <family val="1"/>
          </rPr>
          <t xml:space="preserve">  Proficiency with selected weapon, Weapon Focus with selected weapon, fighter level 4th.
</t>
        </r>
        <r>
          <rPr>
            <b/>
            <sz val="12"/>
            <color indexed="81"/>
            <rFont val="Times New Roman"/>
            <family val="1"/>
          </rPr>
          <t>Benefit:</t>
        </r>
        <r>
          <rPr>
            <sz val="12"/>
            <color indexed="81"/>
            <rFont val="Times New Roman"/>
            <family val="1"/>
          </rPr>
          <t xml:space="preserve">  You gain a +2 bonus on all damage rolls you make using the selected weapon.
</t>
        </r>
        <r>
          <rPr>
            <b/>
            <sz val="12"/>
            <color indexed="81"/>
            <rFont val="Times New Roman"/>
            <family val="1"/>
          </rPr>
          <t>Special:</t>
        </r>
        <r>
          <rPr>
            <sz val="12"/>
            <color indexed="81"/>
            <rFont val="Times New Roman"/>
            <family val="1"/>
          </rPr>
          <t xml:space="preserve">  You can gain this feat multiple times.  Its effects do not stack.  Each time you take the feat, it applies to a new type of weapon.
A fighter may select Weapon Specialization as one of his fighter bonus feats (see page 38).
PHB 102</t>
        </r>
      </text>
    </comment>
    <comment ref="C11" authorId="0">
      <text>
        <r>
          <rPr>
            <sz val="12"/>
            <color indexed="81"/>
            <rFont val="Times New Roman"/>
            <family val="1"/>
          </rPr>
          <t>Upon reaching 5th level, a paladin gains the service of an unusually intelligent, strong, and loyal steed to serve her in her crusade against evil (see the sidebar).  This mount is usually a heavy warhorse (for a Medium paladin) or a warpony (for a Small paladin).
Once per day, as a full-round action, a paladin may magically call her mount from the celestial realms in which it resides.  The mount immediately appears adjacent to the paladin and remains for 2 hours per paladin level; it may be dismissed at any time as a free action. The mount is the same creature each time it is summoned, though the paladin may release a particular mount from service (if it has grown too old to join her crusade, for instance). Each time the mount is called, it appears in full health, regardless of any damage it may have taken previously. The mount also appears wearing or carrying any gear it had when it was last dismissed (including barding, saddle, saddlebags, and the like). Calling a mount is a conjuration (calling) effect equal to a spell level 1/3 the paladin level.  Should the paladin’s mount die, it immediately disappears, leaving behind any equipment it was carrying.  The paladin may not summon another mount for thirty days or until she gains a paladin level, whichever comes first, even if the mount is somehow returned from the dead.  During this thirty-day period, the paladin takes a –1 penalty on attack and weapon damage rolls.
PHB 44</t>
        </r>
      </text>
    </comment>
    <comment ref="A12" authorId="0">
      <text>
        <r>
          <rPr>
            <sz val="12"/>
            <color indexed="81"/>
            <rFont val="Times New Roman"/>
            <family val="1"/>
          </rPr>
          <t>Starting at 3rd level, pious templars have the ability to shrug off some amount of injury from each blow or attack. A pious templar gains damage reduction 1/—.  At 7th level, this damage reduction rises to 2/—.
Complete Divine 51</t>
        </r>
      </text>
    </comment>
    <comment ref="C12" authorId="0">
      <text>
        <r>
          <rPr>
            <sz val="12"/>
            <color indexed="81"/>
            <rFont val="Times New Roman"/>
            <family val="1"/>
          </rPr>
          <t>When a paladin reaches 4th level, she gains the supernatural ability to turn undead.  She may use this ability a number of times per day equal to 3 + her Charisma modifier.  She turns undead as a cleric of three levels lower would. (See Turn or Rebuke Undead, page 159.)
PHB 44</t>
        </r>
      </text>
    </comment>
    <comment ref="A13" authorId="0">
      <text>
        <r>
          <rPr>
            <sz val="12"/>
            <color indexed="81"/>
            <rFont val="Times New Roman"/>
            <family val="1"/>
          </rPr>
          <t xml:space="preserve">Choose one type of weapon, such as longsword or greataxe.  With that weapon, you know how to hit where it hurts.
</t>
        </r>
        <r>
          <rPr>
            <b/>
            <sz val="12"/>
            <color indexed="81"/>
            <rFont val="Times New Roman"/>
            <family val="1"/>
          </rPr>
          <t>Prerequisite:</t>
        </r>
        <r>
          <rPr>
            <sz val="12"/>
            <color indexed="81"/>
            <rFont val="Times New Roman"/>
            <family val="1"/>
          </rPr>
          <t xml:space="preserve">  Proficient with weapon, base attack bonus +8.
</t>
        </r>
        <r>
          <rPr>
            <b/>
            <sz val="12"/>
            <color indexed="81"/>
            <rFont val="Times New Roman"/>
            <family val="1"/>
          </rPr>
          <t>Benefit:</t>
        </r>
        <r>
          <rPr>
            <sz val="12"/>
            <color indexed="81"/>
            <rFont val="Times New Roman"/>
            <family val="1"/>
          </rPr>
          <t xml:space="preserve">  When using the weapon you selected, your threat range is doubled.  For example, a longsword usually threatens a critical hit on a roll of 19–20 (two numbers).  If a character using a longsword has Improved Critical (longsword), the threat range becomes 17–20 (four numbers).
</t>
        </r>
        <r>
          <rPr>
            <b/>
            <sz val="12"/>
            <color indexed="81"/>
            <rFont val="Times New Roman"/>
            <family val="1"/>
          </rPr>
          <t>Special:</t>
        </r>
        <r>
          <rPr>
            <sz val="12"/>
            <color indexed="81"/>
            <rFont val="Times New Roman"/>
            <family val="1"/>
          </rPr>
          <t xml:space="preserve">  You can gain Improved Critical multiple times.  The effects do not stack.  Each time you take the feat, it applies to a new type of weapon.  This effect doesn’t stack with any other effect that expands the threat range of a weapon (such as the keen edge spell).
A fighter may select Improved Critical as one of his fighter bonus feats (see page 38).
PHB 95</t>
        </r>
      </text>
    </comment>
  </commentList>
</comments>
</file>

<file path=xl/comments6.xml><?xml version="1.0" encoding="utf-8"?>
<comments xmlns="http://schemas.openxmlformats.org/spreadsheetml/2006/main">
  <authors>
    <author>Alexis Álvarez</author>
  </authors>
  <commentList>
    <comment ref="B3" authorId="0">
      <text>
        <r>
          <rPr>
            <sz val="12"/>
            <color indexed="81"/>
            <rFont val="Times New Roman"/>
            <family val="1"/>
          </rPr>
          <t>Weapon Specialization +2 dmg</t>
        </r>
      </text>
    </comment>
    <comment ref="E3" authorId="0">
      <text>
        <r>
          <rPr>
            <sz val="12"/>
            <color indexed="81"/>
            <rFont val="Times New Roman"/>
            <family val="1"/>
          </rPr>
          <t>Improved Critical</t>
        </r>
      </text>
    </comment>
    <comment ref="B4" authorId="0">
      <text>
        <r>
          <rPr>
            <sz val="12"/>
            <color indexed="81"/>
            <rFont val="Times New Roman"/>
            <family val="1"/>
          </rPr>
          <t>Weapon Specialization +2 dmg</t>
        </r>
      </text>
    </comment>
    <comment ref="E4" authorId="0">
      <text>
        <r>
          <rPr>
            <sz val="12"/>
            <color indexed="81"/>
            <rFont val="Times New Roman"/>
            <family val="1"/>
          </rPr>
          <t>Improved Critical</t>
        </r>
      </text>
    </comment>
    <comment ref="B5" authorId="0">
      <text>
        <r>
          <rPr>
            <sz val="12"/>
            <color indexed="81"/>
            <rFont val="Times New Roman"/>
            <family val="1"/>
          </rPr>
          <t>Weapon Specialization +2 dmg</t>
        </r>
      </text>
    </comment>
    <comment ref="E5" authorId="0">
      <text>
        <r>
          <rPr>
            <sz val="12"/>
            <color indexed="81"/>
            <rFont val="Times New Roman"/>
            <family val="1"/>
          </rPr>
          <t>Improved Critical</t>
        </r>
      </text>
    </comment>
    <comment ref="B6" authorId="0">
      <text>
        <r>
          <rPr>
            <sz val="12"/>
            <color indexed="81"/>
            <rFont val="Times New Roman"/>
            <family val="1"/>
          </rPr>
          <t>Weapon Specialization +2 dmg</t>
        </r>
      </text>
    </comment>
    <comment ref="E6" authorId="0">
      <text>
        <r>
          <rPr>
            <sz val="12"/>
            <color indexed="81"/>
            <rFont val="Times New Roman"/>
            <family val="1"/>
          </rPr>
          <t>Improved Critical</t>
        </r>
      </text>
    </comment>
    <comment ref="D25" authorId="0">
      <text>
        <r>
          <rPr>
            <sz val="12"/>
            <color indexed="81"/>
            <rFont val="Times New Roman"/>
            <family val="1"/>
          </rPr>
          <t>Balance, Climb, Escape Artist, Hide, Jump, Move Silently, Sleight of Hand, Tumble.</t>
        </r>
      </text>
    </comment>
    <comment ref="A27" authorId="0">
      <text>
        <r>
          <rPr>
            <b/>
            <sz val="12"/>
            <color indexed="81"/>
            <rFont val="Times New Roman"/>
            <family val="1"/>
          </rPr>
          <t xml:space="preserve">Price (Item Level):  </t>
        </r>
        <r>
          <rPr>
            <sz val="12"/>
            <color indexed="81"/>
            <rFont val="Times New Roman"/>
            <family val="1"/>
          </rPr>
          <t xml:space="preserve">500 gp (3rd) (least); 1,500 gp (5th)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necromancy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bright green, circular crystal is pleasantly warm to the touch.
A crystal of adaptation protects you from hostile environments, both terrestrial and extraplanar.
</t>
        </r>
        <r>
          <rPr>
            <b/>
            <sz val="12"/>
            <color indexed="81"/>
            <rFont val="Times New Roman"/>
            <family val="1"/>
          </rPr>
          <t xml:space="preserve">Least:  </t>
        </r>
        <r>
          <rPr>
            <sz val="12"/>
            <color indexed="81"/>
            <rFont val="Times New Roman"/>
            <family val="1"/>
          </rPr>
          <t xml:space="preserve">This augment crystal protects you from temperature extremes as an </t>
        </r>
        <r>
          <rPr>
            <i/>
            <sz val="12"/>
            <color indexed="81"/>
            <rFont val="Times New Roman"/>
            <family val="1"/>
          </rPr>
          <t xml:space="preserve">endure elements </t>
        </r>
        <r>
          <rPr>
            <sz val="12"/>
            <color indexed="81"/>
            <rFont val="Times New Roman"/>
            <family val="1"/>
          </rPr>
          <t>spell.
MIC 24</t>
        </r>
      </text>
    </comment>
    <comment ref="A28" authorId="0">
      <text>
        <r>
          <rPr>
            <sz val="12"/>
            <color indexed="81"/>
            <rFont val="Times New Roman"/>
            <family val="1"/>
          </rPr>
          <t>Upon command, an animated shield floats within 2 feet of the wielder, protecting her as if she were using it herself but freeing up both her hands. Only one shield can protect a character at a time.  A character with an animated shield still takes any penalties associated with shield use, such as armor check penalty, arcane spell failure chance, and nonproficiency.
Strong transmutation; CL 12th; Craft Magic Arms and Armor, animate objects; Price +2 bonus.
DMG 218</t>
        </r>
      </text>
    </comment>
    <comment ref="A29" authorId="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silver clasp is decorated with sparkling crystals shaped like stars.
A restful crystal is a great boon to any warrior who must stay always at the ready.  Sleeping in armor that has this augment crystal attached does not make you fatigued.
MIC 26</t>
        </r>
      </text>
    </comment>
  </commentList>
</comments>
</file>

<file path=xl/comments7.xml><?xml version="1.0" encoding="utf-8"?>
<comments xmlns="http://schemas.openxmlformats.org/spreadsheetml/2006/main">
  <authors>
    <author>Alexis Álvarez</author>
  </authors>
  <commentList>
    <comment ref="A6" authorId="0">
      <text>
        <r>
          <rPr>
            <sz val="12"/>
            <color indexed="81"/>
            <rFont val="Times New Roman"/>
            <family val="1"/>
          </rPr>
          <t>This seemingly normal pearl of average size and luster is a potent aid to all spellcasters who prepare spells (clerics, druids, rangers, paladins, and wizards).  Once per day on command, a pearl of power enables the possessor to recall any one spell that she had prepared and then cast.  The spell is then prepared again, just as if it had not been cast.  The spell must be of a particular level, depending on the pearl.  Different pearls exist for recalling one spell per day of each level from 1st through 9th and for the recall of two spells per day (each of a different level, 6th or lower).
DMG 263</t>
        </r>
      </text>
    </comment>
    <comment ref="A9" authorId="0">
      <text>
        <r>
          <rPr>
            <sz val="12"/>
            <color indexed="81"/>
            <rFont val="Times New Roman"/>
            <family val="1"/>
          </rPr>
          <t xml:space="preserve">This lightweight and fashionable cloak has a highly decorative silver trim.  When in a character’s possession, it adds a +2, +4, or +6 enhancement bonus to her Charisma score.
Moderate transmutation; CL 8th; Craft Wondrous Item, </t>
        </r>
        <r>
          <rPr>
            <i/>
            <sz val="12"/>
            <color indexed="81"/>
            <rFont val="Times New Roman"/>
            <family val="1"/>
          </rPr>
          <t>eagle’s splendor</t>
        </r>
        <r>
          <rPr>
            <sz val="12"/>
            <color indexed="81"/>
            <rFont val="Times New Roman"/>
            <family val="1"/>
          </rPr>
          <t>; Price 4,000 gp (+2), 16,000 gp (+4), 36,000 gp (+6); Weight 2 lb.
DMG 253</t>
        </r>
      </text>
    </comment>
    <comment ref="A10" authorId="0">
      <text>
        <r>
          <rPr>
            <sz val="12"/>
            <color indexed="81"/>
            <rFont val="Times New Roman"/>
            <family val="1"/>
          </rPr>
          <t xml:space="preserve">These thin leather gloves are very flexible and allow for delicate manipulation.  They add to the wearer’s Dexterity score in the form of an enhancement bonus of +2, +4, or +6.
Both gloves must be worn for the magic to be effective.
Moderate transmutation; CL 8th; Craft Wondrous Item, </t>
        </r>
        <r>
          <rPr>
            <i/>
            <sz val="12"/>
            <color indexed="81"/>
            <rFont val="Times New Roman"/>
            <family val="1"/>
          </rPr>
          <t>cat’s grace</t>
        </r>
        <r>
          <rPr>
            <sz val="12"/>
            <color indexed="81"/>
            <rFont val="Times New Roman"/>
            <family val="1"/>
          </rPr>
          <t>; Price 4,000 gp (+2), 16,000 gp (+4), 36,000 gp (+6).
DMG 257</t>
        </r>
      </text>
    </comment>
    <comment ref="A14" authorId="0">
      <text>
        <r>
          <rPr>
            <sz val="12"/>
            <color indexed="81"/>
            <rFont val="Times New Roman"/>
            <family val="1"/>
          </rPr>
          <t>DMG 238</t>
        </r>
      </text>
    </comment>
  </commentList>
</comments>
</file>

<file path=xl/sharedStrings.xml><?xml version="1.0" encoding="utf-8"?>
<sst xmlns="http://schemas.openxmlformats.org/spreadsheetml/2006/main" count="1037" uniqueCount="401">
  <si>
    <t>Race:</t>
  </si>
  <si>
    <t>Sex:</t>
  </si>
  <si>
    <t>Strength:</t>
  </si>
  <si>
    <t>Dexterity:</t>
  </si>
  <si>
    <t>Level</t>
  </si>
  <si>
    <t>Properties</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</si>
  <si>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</si>
  <si>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</si>
  <si>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</si>
  <si>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</si>
  <si>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</si>
  <si>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</si>
  <si>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</si>
  <si>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</si>
  <si>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</si>
  <si>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</si>
  <si>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</si>
  <si>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</si>
  <si>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</si>
  <si>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</si>
  <si>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</si>
  <si>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</si>
  <si>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</si>
  <si>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</si>
  <si>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</si>
  <si>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</si>
  <si>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</si>
  <si>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</si>
  <si>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</si>
  <si>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</si>
  <si>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</si>
  <si>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</si>
  <si>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</si>
  <si>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</si>
  <si>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</si>
  <si>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</si>
  <si>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</si>
  <si>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</si>
  <si>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</si>
  <si>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</si>
  <si>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</si>
  <si>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</si>
  <si>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</si>
  <si>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</si>
  <si>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</si>
  <si>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</si>
  <si>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</si>
  <si>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</si>
  <si>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</si>
  <si>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</si>
  <si>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</si>
  <si>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</si>
  <si>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</si>
  <si>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</si>
  <si>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</si>
  <si>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</si>
  <si>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</si>
  <si>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</si>
  <si>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</si>
  <si>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</si>
  <si>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</si>
  <si>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</si>
  <si>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</si>
  <si>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</si>
  <si>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</si>
  <si>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Class:</t>
  </si>
  <si>
    <t>Level:</t>
  </si>
  <si>
    <t>Alignment:</t>
  </si>
  <si>
    <t>Total</t>
  </si>
  <si>
    <t>Critical</t>
  </si>
  <si>
    <t>Fortitude</t>
  </si>
  <si>
    <t>Reflex</t>
  </si>
  <si>
    <t>Will</t>
  </si>
  <si>
    <t>Armor &amp; Shield</t>
  </si>
  <si>
    <t>Missiles</t>
  </si>
  <si>
    <t>Lb. Capacity:</t>
  </si>
  <si>
    <t>Lb. Carried:</t>
  </si>
  <si>
    <t>Spell</t>
  </si>
  <si>
    <t>Cast?</t>
  </si>
  <si>
    <t>Languages</t>
  </si>
  <si>
    <t>Equipment Worn</t>
  </si>
  <si>
    <t>Item</t>
  </si>
  <si>
    <t>Effects/</t>
  </si>
  <si>
    <t>Notes</t>
  </si>
  <si>
    <t>Equipment Carried</t>
  </si>
  <si>
    <t>Check</t>
  </si>
  <si>
    <t>Arcane</t>
  </si>
  <si>
    <t>Speed</t>
  </si>
  <si>
    <t>Human</t>
  </si>
  <si>
    <t>Craft:  (type)</t>
  </si>
  <si>
    <t>Speak Language</t>
  </si>
  <si>
    <t>Knowledge:  Religion</t>
  </si>
  <si>
    <t>Perform:  (type)</t>
  </si>
  <si>
    <t>Sleight of Hand</t>
  </si>
  <si>
    <t>Survival</t>
  </si>
  <si>
    <t>Touch AC:</t>
  </si>
  <si>
    <t>Attack Bonus:</t>
  </si>
  <si>
    <t>Prepared Spells</t>
  </si>
  <si>
    <t>Divine Health</t>
  </si>
  <si>
    <t>General Feats</t>
  </si>
  <si>
    <t>DC</t>
  </si>
  <si>
    <t>School</t>
  </si>
  <si>
    <t>Components</t>
  </si>
  <si>
    <t>Casting</t>
  </si>
  <si>
    <t>Range</t>
  </si>
  <si>
    <t>Duration</t>
  </si>
  <si>
    <t>Create Water</t>
  </si>
  <si>
    <t>Conjuration</t>
  </si>
  <si>
    <t>V S</t>
  </si>
  <si>
    <t>1 SA</t>
  </si>
  <si>
    <t>25’ + 2½’/lvl</t>
  </si>
  <si>
    <t>Instant</t>
  </si>
  <si>
    <t>Universal</t>
  </si>
  <si>
    <t>Touch</t>
  </si>
  <si>
    <t>1 min/lvl</t>
  </si>
  <si>
    <t>Detect Poison</t>
  </si>
  <si>
    <t>Divination</t>
  </si>
  <si>
    <t>1 minute</t>
  </si>
  <si>
    <t>Evocation</t>
  </si>
  <si>
    <t>10 min/lvl</t>
  </si>
  <si>
    <t>Read Magic</t>
  </si>
  <si>
    <t>V S F</t>
  </si>
  <si>
    <t>Personal</t>
  </si>
  <si>
    <t>Resistance</t>
  </si>
  <si>
    <t>Abjuration</t>
  </si>
  <si>
    <t>V S M/DF</t>
  </si>
  <si>
    <t>Virtue</t>
  </si>
  <si>
    <t>V S DF</t>
  </si>
  <si>
    <t>50’</t>
  </si>
  <si>
    <t>V S M</t>
  </si>
  <si>
    <t>1 round</t>
  </si>
  <si>
    <t>Cure Light Wounds</t>
  </si>
  <si>
    <t>Divine Favor</t>
  </si>
  <si>
    <t>Endure Elements</t>
  </si>
  <si>
    <t>24 hours</t>
  </si>
  <si>
    <t>Magic Weapon</t>
  </si>
  <si>
    <t>V S F/DF</t>
  </si>
  <si>
    <t>Detect Undead</t>
  </si>
  <si>
    <t>Atk</t>
  </si>
  <si>
    <t>Conduit of Life</t>
  </si>
  <si>
    <t>Divine Presence</t>
  </si>
  <si>
    <t>Master Cavalier</t>
  </si>
  <si>
    <t>1 rnd/lvl</t>
  </si>
  <si>
    <t>Summon Holy Symbol</t>
  </si>
  <si>
    <t>Touch of Restoration</t>
  </si>
  <si>
    <t>Turn Anathema</t>
  </si>
  <si>
    <t>10 minutes</t>
  </si>
  <si>
    <t>War Mount</t>
  </si>
  <si>
    <t>Benediction</t>
  </si>
  <si>
    <t>1 FR</t>
  </si>
  <si>
    <t>Lesser Restoration</t>
  </si>
  <si>
    <t>2</t>
  </si>
  <si>
    <t>Female</t>
  </si>
  <si>
    <t>Special Mount</t>
  </si>
  <si>
    <t>Divine Sacrifice</t>
  </si>
  <si>
    <t>Saddlebags</t>
  </si>
  <si>
    <t>Military Saddle</t>
  </si>
  <si>
    <t>Belt Pouch</t>
  </si>
  <si>
    <t>Whetstone</t>
  </si>
  <si>
    <t>Roll</t>
  </si>
  <si>
    <t>Paladin 1</t>
  </si>
  <si>
    <t>All Armor and Shields (not tower)</t>
  </si>
  <si>
    <t>Simple and Martial Weapons</t>
  </si>
  <si>
    <t>five</t>
  </si>
  <si>
    <t>1d10</t>
  </si>
  <si>
    <t>Divine Grace</t>
  </si>
  <si>
    <t>Paladin 2</t>
  </si>
  <si>
    <t>Mount Encumbrance:</t>
  </si>
  <si>
    <t>19-20/x2</t>
  </si>
  <si>
    <t>Bludgeon</t>
  </si>
  <si>
    <t>Faith</t>
  </si>
  <si>
    <t>Victoria Greystone</t>
  </si>
  <si>
    <t>Pious Templar</t>
  </si>
  <si>
    <t>FF AC:</t>
  </si>
  <si>
    <r>
      <t>76</t>
    </r>
    <r>
      <rPr>
        <sz val="13"/>
        <rFont val="Times New Roman"/>
        <family val="1"/>
      </rPr>
      <t>/</t>
    </r>
    <r>
      <rPr>
        <sz val="13"/>
        <color indexed="52"/>
        <rFont val="Times New Roman"/>
        <family val="1"/>
      </rPr>
      <t>153</t>
    </r>
    <r>
      <rPr>
        <sz val="13"/>
        <rFont val="Times New Roman"/>
        <family val="1"/>
      </rPr>
      <t>/</t>
    </r>
    <r>
      <rPr>
        <sz val="13"/>
        <color indexed="10"/>
        <rFont val="Times New Roman"/>
        <family val="1"/>
      </rPr>
      <t>230</t>
    </r>
  </si>
  <si>
    <t>Paladin 3</t>
  </si>
  <si>
    <t>Paladin 4</t>
  </si>
  <si>
    <t>Paladin 5</t>
  </si>
  <si>
    <t>Pious Templar 1</t>
  </si>
  <si>
    <t>Pious Templar 2</t>
  </si>
  <si>
    <t>Pious Templar 3</t>
  </si>
  <si>
    <t>Knowledge:  Nobility</t>
  </si>
  <si>
    <t>Aura of Good 1/day</t>
  </si>
  <si>
    <t>Turn Undead</t>
  </si>
  <si>
    <t>Silver Holy Symbol</t>
  </si>
  <si>
    <t>Lance</t>
  </si>
  <si>
    <t>Cloak of Charisma +2</t>
  </si>
  <si>
    <t>Gloves of Dexterity +2</t>
  </si>
  <si>
    <t>Crystal of Adaptation, Least</t>
  </si>
  <si>
    <t>Scrolls and Potions</t>
  </si>
  <si>
    <t>CLev</t>
  </si>
  <si>
    <t>Value</t>
  </si>
  <si>
    <t>1</t>
  </si>
  <si>
    <t>On Mount</t>
  </si>
  <si>
    <t>Lance (see Weapons)</t>
  </si>
  <si>
    <t>on mount</t>
  </si>
  <si>
    <t>Deity:</t>
  </si>
  <si>
    <t>Male</t>
  </si>
  <si>
    <t>Initiative:</t>
  </si>
  <si>
    <t>Size:</t>
  </si>
  <si>
    <t>Medium</t>
  </si>
  <si>
    <t>Wlk/Brw/Clm:</t>
  </si>
  <si>
    <t>TAC/AC:</t>
  </si>
  <si>
    <t>BAB:</t>
  </si>
  <si>
    <t>Fort:</t>
  </si>
  <si>
    <t>Ref:</t>
  </si>
  <si>
    <t>Will:</t>
  </si>
  <si>
    <t>Mount</t>
  </si>
  <si>
    <t>+1</t>
  </si>
  <si>
    <t>Heavy Warhorse</t>
  </si>
  <si>
    <t>MW Silver Heavy Flail</t>
  </si>
  <si>
    <t>1d6</t>
  </si>
  <si>
    <t>x2</t>
  </si>
  <si>
    <t>30’</t>
  </si>
  <si>
    <t>1d8</t>
  </si>
  <si>
    <t>x3</t>
  </si>
  <si>
    <t>Piercing</t>
  </si>
  <si>
    <t>Common</t>
  </si>
  <si>
    <t>Human:  Power Attack</t>
  </si>
  <si>
    <t>Slashing</t>
  </si>
  <si>
    <t>Total Equity:</t>
  </si>
  <si>
    <t>bypasses lycanthropes’ DR</t>
  </si>
  <si>
    <t>20’</t>
  </si>
  <si>
    <t>Animated Heavy Darkwood Shield +1</t>
  </si>
  <si>
    <t>-</t>
  </si>
  <si>
    <t>Wealth Cap:</t>
  </si>
  <si>
    <t>1st</t>
  </si>
  <si>
    <t>2nd</t>
  </si>
  <si>
    <t>3rd</t>
  </si>
  <si>
    <t>4th</t>
  </si>
  <si>
    <t>Total Daily Spells</t>
  </si>
  <si>
    <t>Spells by Level</t>
  </si>
  <si>
    <t>Paladin Spells</t>
  </si>
  <si>
    <t>Pious Templar Spells</t>
  </si>
  <si>
    <t>Wisdom Bonus 1</t>
  </si>
  <si>
    <t>Wisdom Bonus 2</t>
  </si>
  <si>
    <t>Bless Weapon</t>
  </si>
  <si>
    <t>Transmutation</t>
  </si>
  <si>
    <t>Enchantment</t>
  </si>
  <si>
    <t>Paladin Features</t>
  </si>
  <si>
    <t>Pious Templar Features</t>
  </si>
  <si>
    <t>Mettle</t>
  </si>
  <si>
    <t>Damage Reduction -/1</t>
  </si>
  <si>
    <t>True Believer bonus +2 when invoked</t>
  </si>
  <si>
    <t>40’</t>
  </si>
  <si>
    <t>0’</t>
  </si>
  <si>
    <t>1st:  True Believer</t>
  </si>
  <si>
    <t>3rd:  Weapon Focus:  Greatsword</t>
  </si>
  <si>
    <t>Brant</t>
  </si>
  <si>
    <t>Rhino’s Rush</t>
  </si>
  <si>
    <t>Swift</t>
  </si>
  <si>
    <t>Bull’s Strength</t>
  </si>
  <si>
    <t>6th:  Improved Toughness</t>
  </si>
  <si>
    <t>Weapon Specialization:  Greatsword</t>
  </si>
  <si>
    <t>Grapple</t>
  </si>
  <si>
    <t>Skill/Save</t>
  </si>
  <si>
    <t>9th:  Sacred Healing</t>
  </si>
  <si>
    <t>Improved Critical:  Greatsword</t>
  </si>
  <si>
    <t>Knowledge:  Arcana</t>
  </si>
  <si>
    <t>Pious Templar 4</t>
  </si>
  <si>
    <t>2nd Attack</t>
  </si>
  <si>
    <t>Javelins, 3</t>
  </si>
  <si>
    <t>17-20/x2</t>
  </si>
  <si>
    <t>Turning Undead</t>
  </si>
  <si>
    <t>Max HD Turned</t>
  </si>
  <si>
    <t>Turns/Day</t>
  </si>
  <si>
    <t>1d20 Roll</t>
  </si>
  <si>
    <t>Turn Check</t>
  </si>
  <si>
    <t>2d6 Roll</t>
  </si>
  <si>
    <t>Turn Dmg.</t>
  </si>
  <si>
    <t>Turns Used</t>
  </si>
  <si>
    <t>CROSS-CLASS SKILL</t>
  </si>
  <si>
    <t>Pious Templar 5</t>
  </si>
  <si>
    <t>Vest of Resistance +2</t>
  </si>
  <si>
    <t xml:space="preserve">Protection from Evil </t>
  </si>
  <si>
    <r>
      <t xml:space="preserve">Potion of </t>
    </r>
    <r>
      <rPr>
        <i/>
        <sz val="12"/>
        <rFont val="Times New Roman"/>
        <family val="1"/>
      </rPr>
      <t>enlarge person</t>
    </r>
  </si>
  <si>
    <t>Restful Crystal</t>
  </si>
  <si>
    <r>
      <t xml:space="preserve">Wand of </t>
    </r>
    <r>
      <rPr>
        <i/>
        <sz val="12"/>
        <rFont val="Times New Roman"/>
        <family val="1"/>
      </rPr>
      <t>cure light wounds</t>
    </r>
  </si>
  <si>
    <t>50 charges</t>
  </si>
  <si>
    <t>110’</t>
  </si>
  <si>
    <t>Arrows</t>
  </si>
  <si>
    <t>Weapons and Armor</t>
  </si>
  <si>
    <t>Tomorrow’s Spells</t>
  </si>
  <si>
    <t>Righteous Fury</t>
  </si>
  <si>
    <t>Reference</t>
  </si>
  <si>
    <t>Page</t>
  </si>
  <si>
    <t>PHB</t>
  </si>
  <si>
    <t>Complete Divine</t>
  </si>
  <si>
    <t>Complete Champion</t>
  </si>
  <si>
    <t>Spell Compendium</t>
  </si>
  <si>
    <t>Amulet of Wisdom +2</t>
  </si>
  <si>
    <t>Lesser Metamagic Rod of Extend</t>
  </si>
  <si>
    <t>Remaining Gold:</t>
  </si>
  <si>
    <t>+2d6 to evil; ignores 20 hardness</t>
  </si>
  <si>
    <t>MW Composite Longbow, Str +3</t>
  </si>
  <si>
    <t>3rd Attack</t>
  </si>
  <si>
    <r>
      <t xml:space="preserve">4th Attack, </t>
    </r>
    <r>
      <rPr>
        <i/>
        <sz val="12"/>
        <rFont val="Times New Roman"/>
        <family val="1"/>
      </rPr>
      <t>haste</t>
    </r>
  </si>
  <si>
    <t>4th Attack, haste</t>
  </si>
  <si>
    <t>2d6+2</t>
  </si>
  <si>
    <t>3</t>
  </si>
  <si>
    <r>
      <t xml:space="preserve">Potion of </t>
    </r>
    <r>
      <rPr>
        <i/>
        <sz val="12"/>
        <rFont val="Times New Roman"/>
        <family val="1"/>
      </rPr>
      <t>cure moderate wounds</t>
    </r>
  </si>
  <si>
    <t>Weapon Proficiency</t>
  </si>
  <si>
    <t>+2 to stay on saddle (Military Saddle)</t>
  </si>
  <si>
    <t>Seal of the Serpent King</t>
  </si>
  <si>
    <t>?</t>
  </si>
  <si>
    <t>UNIDENTIFIED</t>
  </si>
  <si>
    <t>Aura of Resolve</t>
  </si>
  <si>
    <t>Protection from Law</t>
  </si>
  <si>
    <t>Protection from Evil</t>
  </si>
  <si>
    <t>Magic Circle vs. Law</t>
  </si>
  <si>
    <t>Remove Curse</t>
  </si>
  <si>
    <t>Smite +1/day (see Smite Evil above)</t>
  </si>
  <si>
    <t>Remove Disease</t>
  </si>
  <si>
    <t>Played by Wayne Willis</t>
  </si>
  <si>
    <t>Pious Templar 6</t>
  </si>
  <si>
    <t>Bless</t>
  </si>
  <si>
    <t>Bless Water</t>
  </si>
  <si>
    <t>Delay Poison</t>
  </si>
  <si>
    <t>Eagle’s Splendor</t>
  </si>
  <si>
    <t>Owl’s Wisdom</t>
  </si>
  <si>
    <t>Remove Paralysis</t>
  </si>
  <si>
    <t>Resist Energy</t>
  </si>
  <si>
    <t>Shield Other</t>
  </si>
  <si>
    <t>Undetectable Alignment</t>
  </si>
  <si>
    <t>Zone of Truth</t>
  </si>
  <si>
    <t>Magic Circle vs. Evil</t>
  </si>
  <si>
    <t>Cure Moderate Wounds</t>
  </si>
  <si>
    <t>Daylight</t>
  </si>
  <si>
    <t>Discern Lies</t>
  </si>
  <si>
    <t>Dispel Magic</t>
  </si>
  <si>
    <t>Heal Mount</t>
  </si>
  <si>
    <t>Magic Weapon, Greater</t>
  </si>
  <si>
    <t>Prayer</t>
  </si>
  <si>
    <t>Remove Blindness/Deafness</t>
  </si>
  <si>
    <t>1 hr/lvl</t>
  </si>
  <si>
    <t>100’ + 10’/lvl</t>
  </si>
  <si>
    <t>M</t>
  </si>
  <si>
    <t>10’ radius</t>
  </si>
  <si>
    <t>Traveler’s Mount</t>
  </si>
  <si>
    <t>Branch to Branch</t>
  </si>
  <si>
    <t>Grave Strike</t>
  </si>
  <si>
    <t>Resist Planar Alignment</t>
  </si>
  <si>
    <t>Second Wind</t>
  </si>
  <si>
    <t>Silvered Weapon</t>
  </si>
  <si>
    <t>Bladebane</t>
  </si>
  <si>
    <t>Blessed Aim</t>
  </si>
  <si>
    <t>Call Mount</t>
  </si>
  <si>
    <t>Cloak of Bravery</t>
  </si>
  <si>
    <t>Curse of the Brute</t>
  </si>
  <si>
    <t>Divine Insight</t>
  </si>
  <si>
    <t>Estanna’s Stew</t>
  </si>
  <si>
    <t>Moment of Clarity</t>
  </si>
  <si>
    <t>Blessed Sight</t>
  </si>
  <si>
    <t>Deific Bastion</t>
  </si>
  <si>
    <t>Invoke the Cerulean Sign</t>
  </si>
  <si>
    <t xml:space="preserve">Smite Heretic </t>
  </si>
  <si>
    <t>Complete Adventurer</t>
  </si>
  <si>
    <t>V DF</t>
  </si>
  <si>
    <t>Planar Handbook</t>
  </si>
  <si>
    <t>Book of Exalted Deeds</t>
  </si>
  <si>
    <t>Unapproachable East</t>
  </si>
  <si>
    <t>60’</t>
  </si>
  <si>
    <t>Defenders of the Faith</t>
  </si>
  <si>
    <t>S</t>
  </si>
  <si>
    <t>Lords of Madness</t>
  </si>
  <si>
    <t>Zeal</t>
  </si>
  <si>
    <t>Lantern Light</t>
  </si>
  <si>
    <t>Mind Bond</t>
  </si>
  <si>
    <t>S Abstinence</t>
  </si>
  <si>
    <t>Traveler’s Outfit</t>
  </si>
  <si>
    <t>Golden Barding</t>
  </si>
  <si>
    <t>Shield of Warding</t>
  </si>
  <si>
    <t>V</t>
  </si>
  <si>
    <t>Draconomicon</t>
  </si>
  <si>
    <t>Fell the Greatest Foe</t>
  </si>
  <si>
    <t>Find the Gap</t>
  </si>
  <si>
    <t>Soul of Light</t>
  </si>
  <si>
    <t>1 hour</t>
  </si>
  <si>
    <t>Dragon Magic</t>
  </si>
  <si>
    <t>Soul of Anarchy</t>
  </si>
  <si>
    <t>Blaze of Light</t>
  </si>
  <si>
    <t>Heroes of Battle</t>
  </si>
  <si>
    <t>Resist Taint</t>
  </si>
  <si>
    <t>Heroes of Horror</t>
  </si>
  <si>
    <t>Sune</t>
  </si>
  <si>
    <t>Chaotic Good</t>
  </si>
  <si>
    <t>Paladin of Freedom</t>
  </si>
  <si>
    <t>Code of Conduct:  Liberator</t>
  </si>
  <si>
    <t>Pearls of Power, 1st level</t>
  </si>
  <si>
    <t>Spells Granted by Sune</t>
  </si>
  <si>
    <t>Full Plate of the Dove +3</t>
  </si>
  <si>
    <t>Affixed to Full Plate</t>
  </si>
  <si>
    <t>XP:</t>
  </si>
  <si>
    <t>AC:</t>
  </si>
  <si>
    <t>Adamantine Illuminating Holy Greatsword +1</t>
  </si>
  <si>
    <t>Detect Evil</t>
  </si>
  <si>
    <r>
      <t xml:space="preserve">Wings (stats as </t>
    </r>
    <r>
      <rPr>
        <i/>
        <sz val="12"/>
        <rFont val="Times New Roman"/>
        <family val="1"/>
      </rPr>
      <t xml:space="preserve">fly </t>
    </r>
    <r>
      <rPr>
        <sz val="12"/>
        <rFont val="Times New Roman"/>
        <family val="1"/>
      </rPr>
      <t>spell, CL 8) 1/day</t>
    </r>
  </si>
  <si>
    <t>Speed:</t>
  </si>
  <si>
    <t>q</t>
  </si>
  <si>
    <t>þ</t>
  </si>
  <si>
    <t>Caster Level: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</si>
</sst>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3C0A]\ #,##0"/>
  </numFmts>
  <fonts count="70"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i/>
      <sz val="18"/>
      <color indexed="12"/>
      <name val="Times New Roman"/>
      <family val="1"/>
    </font>
    <font>
      <sz val="13"/>
      <name val="Wingdings"/>
      <charset val="2"/>
    </font>
    <font>
      <sz val="13"/>
      <color indexed="12"/>
      <name val="Times New Roman"/>
      <family val="1"/>
    </font>
    <font>
      <sz val="12"/>
      <color indexed="81"/>
      <name val="Times New Roman"/>
      <family val="1"/>
    </font>
    <font>
      <i/>
      <sz val="12"/>
      <color indexed="81"/>
      <name val="Times New Roman"/>
      <family val="1"/>
    </font>
    <font>
      <i/>
      <sz val="17"/>
      <name val="Times New Roman"/>
      <family val="1"/>
    </font>
    <font>
      <i/>
      <sz val="12"/>
      <color indexed="52"/>
      <name val="Times New Roman"/>
      <family val="1"/>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sz val="13"/>
      <color rgb="FFFF0000"/>
      <name val="Times New Roman"/>
      <family val="1"/>
    </font>
    <font>
      <sz val="13"/>
      <color rgb="FF0000FF"/>
      <name val="Times New Roman"/>
      <family val="1"/>
    </font>
    <font>
      <b/>
      <sz val="12"/>
      <color rgb="FFFFC000"/>
      <name val="Times New Roman"/>
      <family val="1"/>
    </font>
    <font>
      <sz val="12"/>
      <color rgb="FFFFC000"/>
      <name val="Times New Roman"/>
      <family val="1"/>
    </font>
    <font>
      <i/>
      <sz val="12"/>
      <name val="Times New Roman"/>
      <family val="1"/>
    </font>
    <font>
      <i/>
      <sz val="20"/>
      <color rgb="FFFFC000"/>
      <name val="Times New Roman"/>
      <family val="1"/>
    </font>
    <font>
      <b/>
      <sz val="12"/>
      <color indexed="48"/>
      <name val="Times New Roman"/>
      <family val="1"/>
    </font>
    <font>
      <i/>
      <sz val="12"/>
      <color indexed="9"/>
      <name val="Times New Roman"/>
      <family val="1"/>
    </font>
    <font>
      <i/>
      <sz val="13"/>
      <name val="Times New Roman"/>
      <family val="1"/>
    </font>
    <font>
      <b/>
      <sz val="13"/>
      <color indexed="20"/>
      <name val="Times New Roman"/>
      <family val="1"/>
    </font>
    <font>
      <sz val="12"/>
      <name val="Times New Roman"/>
      <family val="1"/>
      <charset val="1"/>
    </font>
    <font>
      <sz val="10"/>
      <name val="Arial"/>
      <family val="2"/>
    </font>
    <font>
      <b/>
      <sz val="12"/>
      <color indexed="81"/>
      <name val="Times New Roman"/>
      <family val="1"/>
    </font>
    <font>
      <b/>
      <sz val="12"/>
      <color theme="0"/>
      <name val="Times New Roman"/>
      <family val="1"/>
    </font>
    <font>
      <b/>
      <sz val="12"/>
      <color rgb="FF0000FF"/>
      <name val="Times New Roman"/>
      <family val="1"/>
    </font>
    <font>
      <sz val="12"/>
      <color rgb="FF0000FF"/>
      <name val="Times New Roman"/>
      <family val="1"/>
    </font>
    <font>
      <i/>
      <sz val="18"/>
      <color rgb="FF0000FF"/>
      <name val="Times New Roman"/>
      <family val="1"/>
    </font>
    <font>
      <sz val="12"/>
      <color rgb="FFFF0000"/>
      <name val="Times New Roman"/>
      <family val="1"/>
    </font>
    <font>
      <i/>
      <sz val="16"/>
      <color indexed="21"/>
      <name val="Times New Roman"/>
      <family val="1"/>
    </font>
    <font>
      <i/>
      <sz val="16"/>
      <color indexed="53"/>
      <name val="Times New Roman"/>
      <family val="1"/>
    </font>
    <font>
      <i/>
      <sz val="16"/>
      <color indexed="10"/>
      <name val="Times New Roman"/>
      <family val="1"/>
    </font>
    <font>
      <sz val="13"/>
      <color theme="0"/>
      <name val="Times New Roman"/>
      <family val="1"/>
    </font>
    <font>
      <i/>
      <sz val="22"/>
      <color rgb="FFFF0000"/>
      <name val="Times New Roman"/>
      <family val="1"/>
    </font>
  </fonts>
  <fills count="23">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rgb="FF7030A0"/>
        <bgColor indexed="64"/>
      </patternFill>
    </fill>
    <fill>
      <patternFill patternType="solid">
        <fgColor theme="0" tint="-0.249977111117893"/>
        <bgColor indexed="64"/>
      </patternFill>
    </fill>
    <fill>
      <patternFill patternType="solid">
        <fgColor rgb="FFFF0000"/>
        <bgColor indexed="64"/>
      </patternFill>
    </fill>
    <fill>
      <patternFill patternType="solid">
        <fgColor rgb="FFCCFFCC"/>
        <bgColor indexed="64"/>
      </patternFill>
    </fill>
    <fill>
      <patternFill patternType="solid">
        <fgColor theme="7" tint="0.39997558519241921"/>
        <bgColor indexed="64"/>
      </patternFill>
    </fill>
    <fill>
      <patternFill patternType="solid">
        <fgColor indexed="10"/>
        <bgColor indexed="64"/>
      </patternFill>
    </fill>
    <fill>
      <patternFill patternType="solid">
        <fgColor rgb="FF0000FF"/>
        <bgColor indexed="64"/>
      </patternFill>
    </fill>
    <fill>
      <patternFill patternType="solid">
        <fgColor theme="0" tint="-0.14999847407452621"/>
        <bgColor indexed="64"/>
      </patternFill>
    </fill>
    <fill>
      <patternFill patternType="solid">
        <fgColor rgb="FFFFFF00"/>
        <bgColor indexed="64"/>
      </patternFill>
    </fill>
    <fill>
      <patternFill patternType="solid">
        <fgColor rgb="FF66FF33"/>
        <bgColor indexed="64"/>
      </patternFill>
    </fill>
    <fill>
      <patternFill patternType="solid">
        <fgColor rgb="FF9933FF"/>
        <bgColor indexed="64"/>
      </patternFill>
    </fill>
    <fill>
      <patternFill patternType="solid">
        <fgColor theme="0"/>
        <bgColor indexed="64"/>
      </patternFill>
    </fill>
  </fills>
  <borders count="14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style="thin">
        <color indexed="64"/>
      </right>
      <top/>
      <bottom style="thin">
        <color indexed="9"/>
      </bottom>
      <diagonal/>
    </border>
    <border>
      <left/>
      <right/>
      <top style="double">
        <color indexed="64"/>
      </top>
      <bottom style="thick">
        <color indexed="61"/>
      </bottom>
      <diagonal/>
    </border>
    <border>
      <left/>
      <right style="double">
        <color indexed="64"/>
      </right>
      <top style="double">
        <color indexed="64"/>
      </top>
      <bottom style="thick">
        <color indexed="61"/>
      </bottom>
      <diagonal/>
    </border>
    <border>
      <left style="double">
        <color indexed="64"/>
      </left>
      <right/>
      <top style="double">
        <color indexed="64"/>
      </top>
      <bottom style="thick">
        <color indexed="61"/>
      </bottom>
      <diagonal/>
    </border>
    <border>
      <left/>
      <right style="double">
        <color indexed="64"/>
      </right>
      <top style="medium">
        <color indexed="64"/>
      </top>
      <bottom style="medium">
        <color indexed="64"/>
      </bottom>
      <diagonal/>
    </border>
    <border>
      <left style="thin">
        <color auto="1"/>
      </left>
      <right style="double">
        <color auto="1"/>
      </right>
      <top style="double">
        <color auto="1"/>
      </top>
      <bottom style="thin">
        <color auto="1"/>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style="hair">
        <color indexed="64"/>
      </top>
      <bottom/>
      <diagonal/>
    </border>
    <border>
      <left style="medium">
        <color auto="1"/>
      </left>
      <right style="thin">
        <color indexed="64"/>
      </right>
      <top style="double">
        <color auto="1"/>
      </top>
      <bottom style="thin">
        <color auto="1"/>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style="hair">
        <color indexed="64"/>
      </right>
      <top style="hair">
        <color indexed="64"/>
      </top>
      <bottom style="double">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auto="1"/>
      </left>
      <right style="medium">
        <color auto="1"/>
      </right>
      <top style="double">
        <color auto="1"/>
      </top>
      <bottom style="thin">
        <color auto="1"/>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style="hair">
        <color indexed="64"/>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double">
        <color indexed="64"/>
      </right>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double">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style="medium">
        <color indexed="64"/>
      </left>
      <right style="double">
        <color indexed="64"/>
      </right>
      <top style="double">
        <color indexed="64"/>
      </top>
      <bottom/>
      <diagonal/>
    </border>
    <border>
      <left style="double">
        <color indexed="64"/>
      </left>
      <right style="hair">
        <color indexed="64"/>
      </right>
      <top style="double">
        <color indexed="64"/>
      </top>
      <bottom style="hair">
        <color indexed="64"/>
      </bottom>
      <diagonal/>
    </border>
    <border>
      <left style="double">
        <color indexed="64"/>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hair">
        <color indexed="64"/>
      </right>
      <top style="hair">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57" fillId="0" borderId="0"/>
    <xf numFmtId="0" fontId="5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586">
    <xf numFmtId="0" fontId="0" fillId="0" borderId="0" xfId="0"/>
    <xf numFmtId="0" fontId="5" fillId="0" borderId="0" xfId="0" applyFont="1" applyBorder="1" applyAlignment="1"/>
    <xf numFmtId="0" fontId="4" fillId="0" borderId="0" xfId="0" applyFont="1" applyBorder="1" applyAlignment="1">
      <alignment horizontal="right"/>
    </xf>
    <xf numFmtId="0" fontId="5" fillId="0" borderId="0" xfId="0" applyFont="1" applyBorder="1" applyAlignment="1">
      <alignment horizontal="left"/>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5" fillId="0" borderId="0" xfId="0" applyNumberFormat="1" applyFont="1" applyBorder="1" applyAlignment="1">
      <alignment horizontal="left"/>
    </xf>
    <xf numFmtId="0" fontId="46" fillId="11" borderId="41" xfId="0" applyNumberFormat="1" applyFont="1" applyFill="1" applyBorder="1" applyAlignment="1">
      <alignment horizontal="center" vertical="center" wrapText="1"/>
    </xf>
    <xf numFmtId="0" fontId="12" fillId="3" borderId="42" xfId="0" applyNumberFormat="1" applyFont="1" applyFill="1" applyBorder="1" applyAlignment="1">
      <alignment horizontal="center" vertical="center" wrapText="1"/>
    </xf>
    <xf numFmtId="0" fontId="12" fillId="3" borderId="74" xfId="0" applyFont="1" applyFill="1" applyBorder="1" applyAlignment="1">
      <alignment horizontal="center" vertical="center" wrapText="1"/>
    </xf>
    <xf numFmtId="0" fontId="12" fillId="3" borderId="20" xfId="0" applyFont="1" applyFill="1" applyBorder="1" applyAlignment="1">
      <alignment horizontal="centerContinuous" vertical="center" wrapText="1"/>
    </xf>
    <xf numFmtId="0" fontId="12" fillId="3" borderId="21" xfId="0" applyFont="1" applyFill="1" applyBorder="1" applyAlignment="1">
      <alignment horizontal="center" vertical="center" wrapText="1"/>
    </xf>
    <xf numFmtId="0" fontId="12" fillId="3" borderId="21" xfId="0" applyNumberFormat="1" applyFont="1" applyFill="1" applyBorder="1" applyAlignment="1">
      <alignment horizontal="center" vertical="center" wrapText="1"/>
    </xf>
    <xf numFmtId="0" fontId="4" fillId="0" borderId="0" xfId="0" applyFont="1" applyBorder="1" applyAlignment="1">
      <alignment vertical="center" wrapText="1"/>
    </xf>
    <xf numFmtId="0" fontId="2" fillId="0" borderId="44" xfId="0" applyFont="1" applyFill="1" applyBorder="1" applyAlignment="1">
      <alignment horizontal="center" vertical="center"/>
    </xf>
    <xf numFmtId="0" fontId="3" fillId="0" borderId="0" xfId="0" applyFont="1" applyBorder="1" applyAlignment="1">
      <alignment horizontal="centerContinuous" vertical="center"/>
    </xf>
    <xf numFmtId="0" fontId="5" fillId="0" borderId="0" xfId="0" applyFont="1" applyBorder="1" applyAlignment="1">
      <alignment vertical="center"/>
    </xf>
    <xf numFmtId="0" fontId="21" fillId="13" borderId="14" xfId="0" applyFont="1" applyFill="1" applyBorder="1" applyAlignment="1">
      <alignment horizontal="center" vertical="center"/>
    </xf>
    <xf numFmtId="0" fontId="21" fillId="13" borderId="15" xfId="0" applyFont="1" applyFill="1" applyBorder="1" applyAlignment="1">
      <alignment horizontal="center" vertical="center"/>
    </xf>
    <xf numFmtId="49" fontId="21" fillId="13" borderId="15" xfId="0" applyNumberFormat="1" applyFont="1" applyFill="1" applyBorder="1" applyAlignment="1">
      <alignment horizontal="center" vertical="center"/>
    </xf>
    <xf numFmtId="0" fontId="21" fillId="13" borderId="19" xfId="0" applyFont="1" applyFill="1" applyBorder="1" applyAlignment="1">
      <alignment horizontal="center" vertical="center"/>
    </xf>
    <xf numFmtId="0" fontId="49" fillId="11" borderId="19" xfId="0" applyFont="1" applyFill="1" applyBorder="1" applyAlignment="1">
      <alignment horizontal="center" vertical="center"/>
    </xf>
    <xf numFmtId="0" fontId="21" fillId="13" borderId="16" xfId="0" applyFont="1" applyFill="1" applyBorder="1" applyAlignment="1">
      <alignment horizontal="center" vertical="center"/>
    </xf>
    <xf numFmtId="0" fontId="2" fillId="0" borderId="50" xfId="0" applyFont="1" applyFill="1" applyBorder="1" applyAlignment="1">
      <alignment horizontal="center" vertical="center"/>
    </xf>
    <xf numFmtId="49" fontId="2" fillId="0" borderId="50" xfId="2" applyNumberFormat="1" applyFont="1" applyFill="1" applyBorder="1" applyAlignment="1">
      <alignment horizontal="center" vertical="center"/>
    </xf>
    <xf numFmtId="0" fontId="2" fillId="0" borderId="50" xfId="0" applyFont="1" applyBorder="1" applyAlignment="1">
      <alignment horizontal="center" vertical="center"/>
    </xf>
    <xf numFmtId="164" fontId="2" fillId="0" borderId="50" xfId="0" applyNumberFormat="1" applyFont="1" applyFill="1" applyBorder="1" applyAlignment="1">
      <alignment horizontal="center" vertical="center"/>
    </xf>
    <xf numFmtId="164" fontId="5" fillId="0" borderId="50" xfId="0" applyNumberFormat="1" applyFont="1" applyFill="1" applyBorder="1" applyAlignment="1">
      <alignment horizontal="center" vertical="center"/>
    </xf>
    <xf numFmtId="0" fontId="2" fillId="0" borderId="52" xfId="0" applyFont="1" applyFill="1" applyBorder="1" applyAlignment="1">
      <alignment horizontal="center" vertical="center"/>
    </xf>
    <xf numFmtId="0" fontId="5" fillId="0" borderId="0" xfId="0" applyFont="1" applyBorder="1" applyAlignment="1">
      <alignment horizontal="center" vertical="center"/>
    </xf>
    <xf numFmtId="0" fontId="5" fillId="0" borderId="55" xfId="0" applyFont="1" applyBorder="1" applyAlignment="1">
      <alignment horizontal="center" vertical="center"/>
    </xf>
    <xf numFmtId="164" fontId="5" fillId="0" borderId="55" xfId="0" applyNumberFormat="1" applyFont="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1" fillId="13" borderId="19" xfId="0" applyFont="1" applyFill="1" applyBorder="1" applyAlignment="1">
      <alignment horizontal="centerContinuous" vertical="center"/>
    </xf>
    <xf numFmtId="0" fontId="21" fillId="13" borderId="60" xfId="0" applyFont="1" applyFill="1" applyBorder="1" applyAlignment="1">
      <alignment horizontal="centerContinuous" vertical="center"/>
    </xf>
    <xf numFmtId="0" fontId="21" fillId="13" borderId="61" xfId="0" applyFont="1" applyFill="1" applyBorder="1" applyAlignment="1">
      <alignment horizontal="centerContinuous" vertical="center"/>
    </xf>
    <xf numFmtId="164" fontId="5" fillId="0" borderId="63" xfId="0" applyNumberFormat="1" applyFont="1" applyFill="1" applyBorder="1" applyAlignment="1">
      <alignment horizontal="centerContinuous" vertical="center"/>
    </xf>
    <xf numFmtId="9" fontId="5" fillId="0" borderId="55" xfId="0" applyNumberFormat="1" applyFont="1" applyBorder="1" applyAlignment="1">
      <alignment horizontal="center" vertical="center"/>
    </xf>
    <xf numFmtId="164" fontId="5" fillId="0" borderId="9" xfId="0" applyNumberFormat="1" applyFont="1" applyBorder="1" applyAlignment="1">
      <alignment horizontal="centerContinuous" vertical="center"/>
    </xf>
    <xf numFmtId="0" fontId="5" fillId="0" borderId="10" xfId="0" applyFont="1" applyBorder="1" applyAlignment="1">
      <alignment horizontal="centerContinuous" vertical="center"/>
    </xf>
    <xf numFmtId="0" fontId="18" fillId="0" borderId="0" xfId="0" applyFont="1" applyBorder="1" applyAlignment="1">
      <alignment horizontal="right" vertical="center"/>
    </xf>
    <xf numFmtId="0" fontId="21" fillId="13" borderId="17" xfId="0" applyFont="1" applyFill="1" applyBorder="1" applyAlignment="1">
      <alignment horizontal="centerContinuous" vertical="center"/>
    </xf>
    <xf numFmtId="0" fontId="21" fillId="13" borderId="18" xfId="0" applyFont="1" applyFill="1" applyBorder="1" applyAlignment="1">
      <alignment horizontal="centerContinuous" vertical="center"/>
    </xf>
    <xf numFmtId="0" fontId="21" fillId="13" borderId="61" xfId="0" applyFont="1" applyFill="1" applyBorder="1" applyAlignment="1">
      <alignment horizontal="center" vertical="center"/>
    </xf>
    <xf numFmtId="0" fontId="5" fillId="0" borderId="63" xfId="0" applyFont="1" applyFill="1" applyBorder="1" applyAlignment="1">
      <alignment horizontal="centerContinuous" vertical="center"/>
    </xf>
    <xf numFmtId="0" fontId="5" fillId="0" borderId="77" xfId="0" applyFont="1" applyFill="1" applyBorder="1" applyAlignment="1">
      <alignment horizontal="centerContinuous" vertical="center"/>
    </xf>
    <xf numFmtId="0" fontId="5" fillId="0" borderId="76" xfId="0" applyFont="1" applyFill="1" applyBorder="1" applyAlignment="1">
      <alignment horizontal="center" vertical="center"/>
    </xf>
    <xf numFmtId="49" fontId="2" fillId="0" borderId="77" xfId="0" applyNumberFormat="1" applyFont="1" applyFill="1" applyBorder="1" applyAlignment="1">
      <alignment horizontal="center" vertical="center"/>
    </xf>
    <xf numFmtId="0" fontId="5" fillId="0" borderId="64" xfId="0" applyFont="1" applyFill="1" applyBorder="1" applyAlignment="1">
      <alignment horizontal="center" vertical="center"/>
    </xf>
    <xf numFmtId="0" fontId="5" fillId="0" borderId="49" xfId="0" applyFont="1" applyFill="1" applyBorder="1" applyAlignment="1">
      <alignment horizontal="centerContinuous" vertical="center"/>
    </xf>
    <xf numFmtId="0" fontId="5" fillId="0" borderId="80" xfId="0" applyFont="1" applyFill="1" applyBorder="1" applyAlignment="1">
      <alignment horizontal="centerContinuous" vertical="center"/>
    </xf>
    <xf numFmtId="0" fontId="5" fillId="0" borderId="78" xfId="0" applyFont="1" applyFill="1" applyBorder="1" applyAlignment="1">
      <alignment horizontal="centerContinuous" vertical="center"/>
    </xf>
    <xf numFmtId="164" fontId="5" fillId="0" borderId="79" xfId="0" applyNumberFormat="1" applyFont="1" applyFill="1" applyBorder="1" applyAlignment="1">
      <alignment horizontal="center" vertical="center"/>
    </xf>
    <xf numFmtId="49" fontId="5" fillId="0" borderId="78" xfId="0" applyNumberFormat="1" applyFont="1" applyFill="1" applyBorder="1" applyAlignment="1">
      <alignment horizontal="center" vertical="center"/>
    </xf>
    <xf numFmtId="164" fontId="5" fillId="0" borderId="81" xfId="0" applyNumberFormat="1" applyFont="1" applyBorder="1" applyAlignment="1">
      <alignment horizontal="centerContinuous" vertical="center"/>
    </xf>
    <xf numFmtId="0" fontId="5" fillId="0" borderId="82" xfId="0" applyFont="1" applyFill="1" applyBorder="1" applyAlignment="1">
      <alignment horizontal="center" vertical="center"/>
    </xf>
    <xf numFmtId="164" fontId="3" fillId="0" borderId="0" xfId="0" applyNumberFormat="1" applyFont="1" applyBorder="1" applyAlignment="1">
      <alignment horizontal="centerContinuous" vertical="center"/>
    </xf>
    <xf numFmtId="0" fontId="21" fillId="3" borderId="41" xfId="0" applyFont="1" applyFill="1" applyBorder="1" applyAlignment="1">
      <alignment horizontal="center" vertical="center"/>
    </xf>
    <xf numFmtId="164" fontId="21" fillId="3" borderId="42" xfId="0" applyNumberFormat="1" applyFont="1" applyFill="1" applyBorder="1" applyAlignment="1">
      <alignment horizontal="center" vertical="center"/>
    </xf>
    <xf numFmtId="0" fontId="21" fillId="3" borderId="41" xfId="0" applyFont="1" applyFill="1" applyBorder="1" applyAlignment="1">
      <alignment horizontal="right" vertical="center"/>
    </xf>
    <xf numFmtId="0" fontId="21" fillId="3" borderId="43" xfId="0" applyFont="1" applyFill="1" applyBorder="1" applyAlignment="1">
      <alignment vertical="center"/>
    </xf>
    <xf numFmtId="0" fontId="2" fillId="0" borderId="68" xfId="0" applyFont="1" applyBorder="1" applyAlignment="1">
      <alignment horizontal="center" vertical="center" shrinkToFit="1"/>
    </xf>
    <xf numFmtId="164" fontId="5" fillId="0" borderId="44" xfId="0" applyNumberFormat="1" applyFont="1" applyBorder="1" applyAlignment="1">
      <alignment horizontal="center" vertical="center" shrinkToFit="1"/>
    </xf>
    <xf numFmtId="0" fontId="5" fillId="0" borderId="45" xfId="0" applyFont="1" applyBorder="1" applyAlignment="1">
      <alignment horizontal="left" vertical="center"/>
    </xf>
    <xf numFmtId="0" fontId="5" fillId="0" borderId="46" xfId="0" applyFont="1" applyBorder="1" applyAlignment="1">
      <alignment horizontal="left" vertical="center" shrinkToFit="1"/>
    </xf>
    <xf numFmtId="0" fontId="5" fillId="0" borderId="68" xfId="0" applyFont="1" applyBorder="1" applyAlignment="1">
      <alignment horizontal="center" vertical="center" shrinkToFit="1"/>
    </xf>
    <xf numFmtId="164" fontId="2" fillId="0" borderId="44" xfId="0" applyNumberFormat="1" applyFont="1" applyBorder="1" applyAlignment="1">
      <alignment horizontal="center" vertical="center" shrinkToFit="1"/>
    </xf>
    <xf numFmtId="0" fontId="5" fillId="0" borderId="47" xfId="0" applyFont="1" applyBorder="1" applyAlignment="1">
      <alignment horizontal="left" vertical="center"/>
    </xf>
    <xf numFmtId="0" fontId="5" fillId="0" borderId="48" xfId="0" applyFont="1" applyBorder="1" applyAlignment="1">
      <alignment horizontal="left" vertical="center" shrinkToFit="1"/>
    </xf>
    <xf numFmtId="0" fontId="34" fillId="0" borderId="31" xfId="0" applyFont="1" applyBorder="1" applyAlignment="1">
      <alignment horizontal="centerContinuous" vertical="center" wrapText="1"/>
    </xf>
    <xf numFmtId="0" fontId="15" fillId="0" borderId="32" xfId="0" applyFont="1" applyBorder="1" applyAlignment="1">
      <alignment horizontal="centerContinuous" vertical="center" wrapText="1"/>
    </xf>
    <xf numFmtId="0" fontId="15" fillId="0" borderId="33" xfId="0" applyFont="1" applyBorder="1" applyAlignment="1">
      <alignment horizontal="centerContinuous" vertical="center" wrapText="1"/>
    </xf>
    <xf numFmtId="0" fontId="5" fillId="0" borderId="0" xfId="0" applyFont="1" applyBorder="1" applyAlignment="1">
      <alignment vertical="center" wrapText="1"/>
    </xf>
    <xf numFmtId="0" fontId="12" fillId="10" borderId="35" xfId="0" applyFont="1" applyFill="1" applyBorder="1" applyAlignment="1">
      <alignment horizontal="centerContinuous" vertical="center" wrapText="1"/>
    </xf>
    <xf numFmtId="0" fontId="12" fillId="10" borderId="36" xfId="0" applyFont="1" applyFill="1" applyBorder="1" applyAlignment="1">
      <alignment horizontal="center" vertical="center" wrapText="1"/>
    </xf>
    <xf numFmtId="0" fontId="12" fillId="10" borderId="37" xfId="0" applyFont="1" applyFill="1" applyBorder="1" applyAlignment="1">
      <alignment horizontal="center" vertical="center" wrapText="1"/>
    </xf>
    <xf numFmtId="0" fontId="5" fillId="0" borderId="0" xfId="0" applyFont="1" applyBorder="1" applyAlignment="1">
      <alignment horizontal="left" vertical="center"/>
    </xf>
    <xf numFmtId="0" fontId="47" fillId="0" borderId="40" xfId="0" applyFont="1" applyFill="1" applyBorder="1" applyAlignment="1">
      <alignment horizontal="centerContinuous" vertical="center" shrinkToFit="1"/>
    </xf>
    <xf numFmtId="0" fontId="2" fillId="0" borderId="0" xfId="0" applyFont="1" applyBorder="1" applyAlignment="1">
      <alignment vertical="center" wrapText="1"/>
    </xf>
    <xf numFmtId="0" fontId="35" fillId="9" borderId="38" xfId="2" applyNumberFormat="1" applyFont="1" applyFill="1" applyBorder="1" applyAlignment="1">
      <alignment horizontal="center" vertical="center" shrinkToFit="1"/>
    </xf>
    <xf numFmtId="0" fontId="17" fillId="0" borderId="40" xfId="0" applyFont="1" applyFill="1" applyBorder="1" applyAlignment="1">
      <alignment horizontal="center" vertical="center" shrinkToFit="1"/>
    </xf>
    <xf numFmtId="0" fontId="27" fillId="0" borderId="40" xfId="0" applyFont="1" applyBorder="1" applyAlignment="1">
      <alignment horizontal="centerContinuous" vertical="center"/>
    </xf>
    <xf numFmtId="0" fontId="5" fillId="0" borderId="0" xfId="0" applyFont="1" applyBorder="1" applyAlignment="1">
      <alignment horizontal="left" vertical="center" wrapText="1"/>
    </xf>
    <xf numFmtId="0" fontId="4" fillId="0" borderId="0" xfId="0" applyFont="1" applyBorder="1" applyAlignment="1">
      <alignment horizontal="right" vertical="center" wrapText="1"/>
    </xf>
    <xf numFmtId="0" fontId="7" fillId="0" borderId="59" xfId="0" applyFont="1" applyFill="1" applyBorder="1" applyAlignment="1">
      <alignment horizontal="center" vertical="center" shrinkToFit="1"/>
    </xf>
    <xf numFmtId="0" fontId="25" fillId="0" borderId="23"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2" fillId="0" borderId="1" xfId="0" applyFont="1" applyFill="1" applyBorder="1" applyAlignment="1">
      <alignment vertical="center"/>
    </xf>
    <xf numFmtId="0" fontId="7" fillId="0" borderId="25" xfId="0" applyFont="1" applyFill="1" applyBorder="1" applyAlignment="1">
      <alignment horizontal="center" vertical="center"/>
    </xf>
    <xf numFmtId="0" fontId="27" fillId="0" borderId="26" xfId="0" applyNumberFormat="1" applyFont="1" applyFill="1" applyBorder="1" applyAlignment="1">
      <alignment horizontal="center" vertical="center"/>
    </xf>
    <xf numFmtId="49" fontId="7" fillId="0" borderId="25" xfId="0" applyNumberFormat="1" applyFont="1" applyFill="1" applyBorder="1" applyAlignment="1">
      <alignment horizontal="center" vertical="center"/>
    </xf>
    <xf numFmtId="1" fontId="7" fillId="0" borderId="25" xfId="0" applyNumberFormat="1" applyFont="1" applyFill="1" applyBorder="1" applyAlignment="1">
      <alignment horizontal="center" vertical="center" wrapText="1"/>
    </xf>
    <xf numFmtId="0" fontId="44" fillId="11" borderId="26" xfId="0" applyNumberFormat="1" applyFont="1" applyFill="1" applyBorder="1" applyAlignment="1">
      <alignment horizontal="center" vertical="center"/>
    </xf>
    <xf numFmtId="0" fontId="45" fillId="0" borderId="1" xfId="0" applyFont="1" applyFill="1" applyBorder="1" applyAlignment="1">
      <alignment vertical="center"/>
    </xf>
    <xf numFmtId="0" fontId="24" fillId="0"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49" fontId="7" fillId="0" borderId="25" xfId="0" applyNumberFormat="1" applyFont="1" applyFill="1" applyBorder="1" applyAlignment="1">
      <alignment horizontal="center" vertical="center" wrapText="1"/>
    </xf>
    <xf numFmtId="0" fontId="7" fillId="0" borderId="27" xfId="0" applyNumberFormat="1" applyFont="1" applyFill="1" applyBorder="1" applyAlignment="1">
      <alignment horizontal="center" vertical="center"/>
    </xf>
    <xf numFmtId="0" fontId="43" fillId="0" borderId="35" xfId="0" applyFont="1" applyFill="1" applyBorder="1" applyAlignment="1">
      <alignment vertical="center"/>
    </xf>
    <xf numFmtId="0" fontId="7" fillId="0" borderId="54" xfId="0" applyFont="1" applyFill="1" applyBorder="1" applyAlignment="1">
      <alignment horizontal="center" vertical="center"/>
    </xf>
    <xf numFmtId="0" fontId="28" fillId="0" borderId="12" xfId="0" applyNumberFormat="1" applyFont="1" applyFill="1" applyBorder="1" applyAlignment="1">
      <alignment horizontal="center" vertical="center"/>
    </xf>
    <xf numFmtId="0" fontId="28" fillId="0" borderId="54" xfId="0" applyNumberFormat="1" applyFont="1" applyFill="1" applyBorder="1" applyAlignment="1">
      <alignment horizontal="center" vertical="center"/>
    </xf>
    <xf numFmtId="49" fontId="7" fillId="0" borderId="54" xfId="0" applyNumberFormat="1" applyFont="1" applyFill="1" applyBorder="1" applyAlignment="1">
      <alignment horizontal="center" vertical="center" wrapText="1"/>
    </xf>
    <xf numFmtId="1" fontId="7" fillId="0" borderId="54" xfId="0" applyNumberFormat="1" applyFont="1" applyFill="1" applyBorder="1" applyAlignment="1">
      <alignment horizontal="center" vertical="center" wrapText="1"/>
    </xf>
    <xf numFmtId="0" fontId="44" fillId="11" borderId="54" xfId="0" applyNumberFormat="1" applyFont="1" applyFill="1" applyBorder="1" applyAlignment="1">
      <alignment horizontal="center" vertical="center"/>
    </xf>
    <xf numFmtId="0" fontId="11" fillId="0" borderId="1" xfId="0" applyFont="1" applyFill="1" applyBorder="1" applyAlignment="1">
      <alignment vertical="center"/>
    </xf>
    <xf numFmtId="0" fontId="7" fillId="0" borderId="25" xfId="0" applyNumberFormat="1" applyFont="1" applyFill="1" applyBorder="1" applyAlignment="1">
      <alignment horizontal="center"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7"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13"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14"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7" fillId="14" borderId="25" xfId="0" applyNumberFormat="1" applyFont="1" applyFill="1" applyBorder="1" applyAlignment="1">
      <alignment horizontal="center" vertical="center"/>
    </xf>
    <xf numFmtId="49" fontId="7" fillId="14" borderId="26" xfId="0" applyNumberFormat="1" applyFont="1" applyFill="1" applyBorder="1" applyAlignment="1">
      <alignment horizontal="center" vertical="center"/>
    </xf>
    <xf numFmtId="0" fontId="7" fillId="14" borderId="27" xfId="0" applyNumberFormat="1" applyFont="1" applyFill="1" applyBorder="1" applyAlignment="1">
      <alignment horizontal="center" vertical="center"/>
    </xf>
    <xf numFmtId="0" fontId="11" fillId="5" borderId="1" xfId="0" applyFont="1" applyFill="1" applyBorder="1" applyAlignment="1">
      <alignment vertical="center"/>
    </xf>
    <xf numFmtId="0" fontId="7" fillId="5" borderId="25" xfId="0" applyNumberFormat="1" applyFont="1" applyFill="1" applyBorder="1" applyAlignment="1">
      <alignment horizontal="center" vertical="center"/>
    </xf>
    <xf numFmtId="49" fontId="16" fillId="5" borderId="25" xfId="0" applyNumberFormat="1" applyFont="1" applyFill="1" applyBorder="1" applyAlignment="1">
      <alignment horizontal="center" vertical="center"/>
    </xf>
    <xf numFmtId="0" fontId="16" fillId="5" borderId="26" xfId="0" applyNumberFormat="1" applyFont="1" applyFill="1" applyBorder="1" applyAlignment="1">
      <alignment horizontal="center" vertical="center"/>
    </xf>
    <xf numFmtId="49" fontId="7" fillId="5" borderId="26" xfId="0" applyNumberFormat="1" applyFont="1" applyFill="1" applyBorder="1" applyAlignment="1">
      <alignment horizontal="center" vertical="center"/>
    </xf>
    <xf numFmtId="0" fontId="7" fillId="5" borderId="27" xfId="0" applyNumberFormat="1" applyFont="1" applyFill="1" applyBorder="1" applyAlignment="1">
      <alignment horizontal="center" vertical="center"/>
    </xf>
    <xf numFmtId="0" fontId="14" fillId="14" borderId="1" xfId="0" applyFont="1" applyFill="1" applyBorder="1" applyAlignment="1">
      <alignment vertical="center"/>
    </xf>
    <xf numFmtId="49" fontId="23" fillId="14" borderId="25" xfId="0" applyNumberFormat="1" applyFont="1" applyFill="1" applyBorder="1" applyAlignment="1">
      <alignment horizontal="center" vertical="center"/>
    </xf>
    <xf numFmtId="0" fontId="23" fillId="14" borderId="26" xfId="0" applyNumberFormat="1" applyFont="1" applyFill="1" applyBorder="1" applyAlignment="1">
      <alignment horizontal="center" vertical="center"/>
    </xf>
    <xf numFmtId="0" fontId="14" fillId="14"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wrapText="1"/>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5" xfId="0" applyNumberFormat="1" applyFont="1" applyFill="1" applyBorder="1" applyAlignment="1">
      <alignment horizontal="center" vertical="center"/>
    </xf>
    <xf numFmtId="0" fontId="28" fillId="0" borderId="26" xfId="0" applyNumberFormat="1" applyFont="1" applyFill="1" applyBorder="1" applyAlignment="1">
      <alignment horizontal="center" vertical="center"/>
    </xf>
    <xf numFmtId="0" fontId="14" fillId="6" borderId="1" xfId="0" applyFont="1" applyFill="1" applyBorder="1" applyAlignment="1">
      <alignment vertical="center"/>
    </xf>
    <xf numFmtId="49" fontId="23" fillId="7" borderId="25" xfId="0" applyNumberFormat="1" applyFont="1" applyFill="1" applyBorder="1" applyAlignment="1">
      <alignment horizontal="center" vertical="center"/>
    </xf>
    <xf numFmtId="0" fontId="23" fillId="7" borderId="26"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1" fillId="14" borderId="1" xfId="0" applyFont="1" applyFill="1" applyBorder="1" applyAlignment="1">
      <alignment vertical="center"/>
    </xf>
    <xf numFmtId="49" fontId="16" fillId="14" borderId="25" xfId="0" applyNumberFormat="1" applyFont="1" applyFill="1" applyBorder="1" applyAlignment="1">
      <alignment horizontal="center" vertical="center"/>
    </xf>
    <xf numFmtId="0" fontId="16" fillId="14" borderId="26"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13" fillId="5" borderId="1" xfId="0" applyFont="1" applyFill="1" applyBorder="1" applyAlignment="1">
      <alignment vertical="center"/>
    </xf>
    <xf numFmtId="49" fontId="24" fillId="5" borderId="25" xfId="0" applyNumberFormat="1" applyFont="1" applyFill="1" applyBorder="1" applyAlignment="1">
      <alignment horizontal="center" vertical="center"/>
    </xf>
    <xf numFmtId="0" fontId="24" fillId="5" borderId="26" xfId="0" applyNumberFormat="1" applyFont="1" applyFill="1" applyBorder="1" applyAlignment="1">
      <alignment horizontal="center" vertical="center"/>
    </xf>
    <xf numFmtId="0" fontId="14" fillId="4" borderId="1" xfId="0" applyFont="1" applyFill="1" applyBorder="1" applyAlignment="1">
      <alignment vertical="center"/>
    </xf>
    <xf numFmtId="49" fontId="28" fillId="5" borderId="25" xfId="0" applyNumberFormat="1" applyFont="1" applyFill="1" applyBorder="1" applyAlignment="1">
      <alignment horizontal="center" vertical="center"/>
    </xf>
    <xf numFmtId="0" fontId="28" fillId="5" borderId="26" xfId="0" applyNumberFormat="1" applyFont="1" applyFill="1" applyBorder="1" applyAlignment="1">
      <alignment horizontal="center" vertical="center"/>
    </xf>
    <xf numFmtId="0" fontId="13" fillId="8" borderId="1" xfId="0" applyFont="1" applyFill="1" applyBorder="1" applyAlignment="1">
      <alignment vertical="center"/>
    </xf>
    <xf numFmtId="0" fontId="7" fillId="8" borderId="25" xfId="0" applyNumberFormat="1" applyFont="1" applyFill="1" applyBorder="1" applyAlignment="1">
      <alignment horizontal="center" vertical="center"/>
    </xf>
    <xf numFmtId="49" fontId="24" fillId="8" borderId="25" xfId="0" applyNumberFormat="1" applyFont="1" applyFill="1" applyBorder="1" applyAlignment="1">
      <alignment horizontal="center" vertical="center"/>
    </xf>
    <xf numFmtId="0" fontId="24" fillId="8" borderId="26" xfId="0" applyNumberFormat="1" applyFont="1" applyFill="1" applyBorder="1" applyAlignment="1">
      <alignment horizontal="center" vertical="center"/>
    </xf>
    <xf numFmtId="0" fontId="13" fillId="8" borderId="26" xfId="0" applyNumberFormat="1" applyFont="1" applyFill="1" applyBorder="1" applyAlignment="1">
      <alignment horizontal="center" vertical="center"/>
    </xf>
    <xf numFmtId="49" fontId="7" fillId="8" borderId="26" xfId="0" applyNumberFormat="1" applyFont="1" applyFill="1" applyBorder="1" applyAlignment="1">
      <alignment horizontal="center" vertical="center"/>
    </xf>
    <xf numFmtId="0" fontId="7" fillId="8" borderId="27" xfId="0" applyNumberFormat="1" applyFont="1" applyFill="1" applyBorder="1" applyAlignment="1">
      <alignment horizontal="center" vertical="center"/>
    </xf>
    <xf numFmtId="0" fontId="22" fillId="8" borderId="1" xfId="0" applyFont="1" applyFill="1" applyBorder="1" applyAlignment="1">
      <alignment vertical="center"/>
    </xf>
    <xf numFmtId="49" fontId="28" fillId="8" borderId="25" xfId="0" applyNumberFormat="1" applyFont="1" applyFill="1" applyBorder="1" applyAlignment="1">
      <alignment horizontal="center" vertical="center"/>
    </xf>
    <xf numFmtId="0" fontId="28" fillId="8" borderId="26" xfId="0" applyNumberFormat="1" applyFont="1" applyFill="1" applyBorder="1" applyAlignment="1">
      <alignment horizontal="center" vertical="center"/>
    </xf>
    <xf numFmtId="0" fontId="11" fillId="4" borderId="1" xfId="0" applyFont="1" applyFill="1" applyBorder="1" applyAlignment="1">
      <alignment vertical="center"/>
    </xf>
    <xf numFmtId="0" fontId="7" fillId="4" borderId="25" xfId="0" applyNumberFormat="1" applyFont="1" applyFill="1" applyBorder="1" applyAlignment="1">
      <alignment horizontal="center" vertical="center"/>
    </xf>
    <xf numFmtId="49" fontId="16" fillId="4" borderId="25" xfId="0" applyNumberFormat="1" applyFont="1" applyFill="1" applyBorder="1" applyAlignment="1">
      <alignment horizontal="center" vertical="center"/>
    </xf>
    <xf numFmtId="0" fontId="16" fillId="4" borderId="26" xfId="0" applyNumberFormat="1" applyFont="1" applyFill="1" applyBorder="1" applyAlignment="1">
      <alignment horizontal="center" vertical="center"/>
    </xf>
    <xf numFmtId="49" fontId="7" fillId="4" borderId="26" xfId="0" applyNumberFormat="1" applyFont="1" applyFill="1" applyBorder="1" applyAlignment="1">
      <alignment horizontal="center" vertical="center"/>
    </xf>
    <xf numFmtId="0" fontId="7" fillId="4" borderId="27" xfId="0"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4" borderId="1" xfId="0" applyFont="1" applyFill="1" applyBorder="1" applyAlignment="1">
      <alignment vertical="center"/>
    </xf>
    <xf numFmtId="49" fontId="24" fillId="4" borderId="25" xfId="0" applyNumberFormat="1" applyFont="1" applyFill="1" applyBorder="1" applyAlignment="1">
      <alignment horizontal="center" vertical="center"/>
    </xf>
    <xf numFmtId="0" fontId="24" fillId="4" borderId="26" xfId="0" applyNumberFormat="1" applyFont="1" applyFill="1" applyBorder="1" applyAlignment="1">
      <alignment horizontal="center" vertical="center"/>
    </xf>
    <xf numFmtId="0" fontId="14" fillId="5" borderId="1" xfId="0" applyFont="1" applyFill="1" applyBorder="1" applyAlignment="1">
      <alignment vertical="center"/>
    </xf>
    <xf numFmtId="49" fontId="23" fillId="5" borderId="25" xfId="0" applyNumberFormat="1" applyFont="1" applyFill="1" applyBorder="1" applyAlignment="1">
      <alignment horizontal="center" vertical="center"/>
    </xf>
    <xf numFmtId="0" fontId="23" fillId="5" borderId="26" xfId="0" applyNumberFormat="1" applyFont="1" applyFill="1" applyBorder="1" applyAlignment="1">
      <alignment horizontal="center" vertical="center"/>
    </xf>
    <xf numFmtId="0" fontId="13" fillId="6" borderId="8" xfId="0" applyFont="1" applyFill="1" applyBorder="1" applyAlignment="1">
      <alignment vertical="center"/>
    </xf>
    <xf numFmtId="0" fontId="7" fillId="6" borderId="55" xfId="0" applyNumberFormat="1" applyFont="1" applyFill="1" applyBorder="1" applyAlignment="1">
      <alignment horizontal="center" vertical="center"/>
    </xf>
    <xf numFmtId="49" fontId="24" fillId="6" borderId="55" xfId="0" applyNumberFormat="1" applyFont="1" applyFill="1" applyBorder="1" applyAlignment="1">
      <alignment horizontal="center" vertical="center"/>
    </xf>
    <xf numFmtId="0" fontId="24" fillId="6" borderId="56" xfId="0" applyNumberFormat="1" applyFont="1" applyFill="1" applyBorder="1" applyAlignment="1">
      <alignment horizontal="center" vertical="center"/>
    </xf>
    <xf numFmtId="49" fontId="7" fillId="6" borderId="56" xfId="0" applyNumberFormat="1" applyFont="1" applyFill="1" applyBorder="1" applyAlignment="1">
      <alignment horizontal="center" vertical="center"/>
    </xf>
    <xf numFmtId="0" fontId="44" fillId="11" borderId="56" xfId="0" applyNumberFormat="1" applyFont="1" applyFill="1" applyBorder="1" applyAlignment="1">
      <alignment horizontal="center" vertical="center"/>
    </xf>
    <xf numFmtId="0" fontId="7" fillId="6" borderId="39" xfId="0" applyNumberFormat="1" applyFont="1" applyFill="1" applyBorder="1" applyAlignment="1">
      <alignment horizontal="center" vertical="center"/>
    </xf>
    <xf numFmtId="0" fontId="4" fillId="0" borderId="0" xfId="0" applyFont="1" applyBorder="1" applyAlignment="1">
      <alignment horizontal="right" vertical="center"/>
    </xf>
    <xf numFmtId="0" fontId="15" fillId="0" borderId="0" xfId="0" applyFont="1" applyBorder="1" applyAlignment="1">
      <alignment horizontal="centerContinuous" vertical="center" wrapText="1"/>
    </xf>
    <xf numFmtId="0" fontId="12" fillId="10" borderId="20" xfId="0" applyFont="1" applyFill="1" applyBorder="1" applyAlignment="1">
      <alignment horizontal="centerContinuous" vertical="center" wrapText="1"/>
    </xf>
    <xf numFmtId="0" fontId="12" fillId="10" borderId="21" xfId="0" applyFont="1" applyFill="1" applyBorder="1" applyAlignment="1">
      <alignment horizontal="center" vertical="center" wrapText="1"/>
    </xf>
    <xf numFmtId="0" fontId="21" fillId="10" borderId="21" xfId="0" applyFont="1" applyFill="1" applyBorder="1" applyAlignment="1">
      <alignment horizontal="center" vertical="center" wrapText="1"/>
    </xf>
    <xf numFmtId="0" fontId="12" fillId="10" borderId="22" xfId="0" applyFont="1" applyFill="1" applyBorder="1" applyAlignment="1">
      <alignment horizontal="centerContinuous" vertical="center" wrapText="1"/>
    </xf>
    <xf numFmtId="0" fontId="20" fillId="2" borderId="71" xfId="0" applyFont="1" applyFill="1" applyBorder="1" applyAlignment="1">
      <alignment horizontal="left" vertical="center"/>
    </xf>
    <xf numFmtId="0" fontId="4" fillId="2" borderId="71" xfId="0" applyFont="1" applyFill="1" applyBorder="1" applyAlignment="1">
      <alignment horizontal="centerContinuous" vertical="center"/>
    </xf>
    <xf numFmtId="0" fontId="5" fillId="2" borderId="71" xfId="0" applyFont="1" applyFill="1" applyBorder="1" applyAlignment="1">
      <alignment horizontal="centerContinuous" vertical="center"/>
    </xf>
    <xf numFmtId="0" fontId="40" fillId="2" borderId="72"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57" xfId="0" applyFont="1" applyFill="1" applyBorder="1" applyAlignment="1">
      <alignment horizontal="right" vertical="center"/>
    </xf>
    <xf numFmtId="0" fontId="7" fillId="0" borderId="0" xfId="0" applyFont="1" applyBorder="1" applyAlignment="1">
      <alignment horizontal="left" vertical="center"/>
    </xf>
    <xf numFmtId="0" fontId="8" fillId="2" borderId="11" xfId="0" applyFont="1" applyFill="1" applyBorder="1" applyAlignment="1">
      <alignment horizontal="right" vertical="center"/>
    </xf>
    <xf numFmtId="0" fontId="26" fillId="0" borderId="12" xfId="0" applyNumberFormat="1" applyFont="1" applyBorder="1" applyAlignment="1">
      <alignment horizontal="center" vertical="center"/>
    </xf>
    <xf numFmtId="0" fontId="10" fillId="4" borderId="70"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2" xfId="0" applyNumberFormat="1" applyFont="1" applyBorder="1" applyAlignment="1">
      <alignment horizontal="center" vertical="center"/>
    </xf>
    <xf numFmtId="0" fontId="10" fillId="4" borderId="65" xfId="0" applyFont="1" applyFill="1" applyBorder="1" applyAlignment="1">
      <alignment horizontal="right" vertical="center"/>
    </xf>
    <xf numFmtId="164" fontId="6" fillId="9" borderId="30"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8" fillId="4" borderId="65" xfId="0" applyFont="1" applyFill="1" applyBorder="1" applyAlignment="1">
      <alignment horizontal="right" vertical="center"/>
    </xf>
    <xf numFmtId="0" fontId="41" fillId="2" borderId="4" xfId="0" applyFont="1" applyFill="1" applyBorder="1" applyAlignment="1">
      <alignment horizontal="right" vertical="center"/>
    </xf>
    <xf numFmtId="0" fontId="22" fillId="2" borderId="4" xfId="0" applyFont="1" applyFill="1" applyBorder="1" applyAlignment="1">
      <alignment horizontal="right" vertical="center"/>
    </xf>
    <xf numFmtId="0" fontId="11" fillId="4" borderId="65" xfId="0" applyFont="1" applyFill="1" applyBorder="1" applyAlignment="1">
      <alignment horizontal="right" vertical="center"/>
    </xf>
    <xf numFmtId="0" fontId="14" fillId="2" borderId="13" xfId="0" applyFont="1" applyFill="1" applyBorder="1" applyAlignment="1">
      <alignment horizontal="right" vertical="center"/>
    </xf>
    <xf numFmtId="0" fontId="11" fillId="4" borderId="66" xfId="0" applyFont="1" applyFill="1" applyBorder="1" applyAlignment="1">
      <alignment horizontal="right" vertical="center"/>
    </xf>
    <xf numFmtId="0" fontId="7" fillId="0" borderId="1"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164" fontId="5" fillId="0" borderId="50" xfId="0" applyNumberFormat="1" applyFont="1" applyBorder="1" applyAlignment="1">
      <alignment horizontal="center" vertical="center" shrinkToFit="1"/>
    </xf>
    <xf numFmtId="0" fontId="5" fillId="0" borderId="51" xfId="0" applyFont="1" applyBorder="1" applyAlignment="1">
      <alignment horizontal="left" vertical="center"/>
    </xf>
    <xf numFmtId="0" fontId="5" fillId="0" borderId="52"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5" fillId="0" borderId="44" xfId="0" applyFont="1" applyBorder="1" applyAlignment="1">
      <alignment horizontal="left" vertical="center"/>
    </xf>
    <xf numFmtId="0" fontId="5" fillId="0" borderId="69" xfId="0" applyFont="1" applyBorder="1" applyAlignment="1">
      <alignment horizontal="center" vertical="center" shrinkToFit="1"/>
    </xf>
    <xf numFmtId="0" fontId="5" fillId="0" borderId="50" xfId="0" applyFont="1" applyBorder="1" applyAlignment="1">
      <alignment horizontal="left" vertical="center"/>
    </xf>
    <xf numFmtId="0" fontId="3" fillId="0" borderId="0" xfId="0" applyFont="1" applyBorder="1" applyAlignment="1">
      <alignment vertical="center"/>
    </xf>
    <xf numFmtId="0" fontId="5" fillId="0" borderId="67" xfId="0" applyFont="1" applyBorder="1" applyAlignment="1">
      <alignment horizontal="center" vertical="center" shrinkToFit="1"/>
    </xf>
    <xf numFmtId="164" fontId="5" fillId="0" borderId="53" xfId="0" applyNumberFormat="1" applyFont="1" applyBorder="1" applyAlignment="1">
      <alignment horizontal="center" vertical="center" shrinkToFit="1"/>
    </xf>
    <xf numFmtId="0" fontId="2" fillId="0" borderId="44" xfId="0" applyFont="1" applyBorder="1" applyAlignment="1">
      <alignment horizontal="left" vertical="center"/>
    </xf>
    <xf numFmtId="0" fontId="39" fillId="0" borderId="0" xfId="0" applyFont="1" applyBorder="1" applyAlignment="1">
      <alignment vertical="center"/>
    </xf>
    <xf numFmtId="1" fontId="6" fillId="0" borderId="28" xfId="0" applyNumberFormat="1" applyFont="1" applyBorder="1" applyAlignment="1">
      <alignment horizontal="center" vertical="center"/>
    </xf>
    <xf numFmtId="49" fontId="16" fillId="0" borderId="38" xfId="0" applyNumberFormat="1" applyFont="1" applyFill="1" applyBorder="1" applyAlignment="1">
      <alignment horizontal="center" shrinkToFit="1"/>
    </xf>
    <xf numFmtId="0" fontId="6" fillId="4" borderId="84" xfId="0" applyFont="1" applyFill="1" applyBorder="1" applyAlignment="1">
      <alignment horizontal="right" vertical="center"/>
    </xf>
    <xf numFmtId="1" fontId="4" fillId="0" borderId="0" xfId="0" applyNumberFormat="1" applyFont="1" applyBorder="1" applyAlignment="1">
      <alignment horizontal="right" vertical="center"/>
    </xf>
    <xf numFmtId="1" fontId="4" fillId="0" borderId="0" xfId="0" applyNumberFormat="1" applyFont="1" applyBorder="1" applyAlignment="1">
      <alignment horizontal="center" vertical="center"/>
    </xf>
    <xf numFmtId="1" fontId="5" fillId="0" borderId="0" xfId="0" applyNumberFormat="1" applyFont="1" applyBorder="1" applyAlignment="1">
      <alignment horizontal="left" vertical="center"/>
    </xf>
    <xf numFmtId="1" fontId="5" fillId="0" borderId="0" xfId="0" applyNumberFormat="1" applyFont="1" applyBorder="1" applyAlignment="1">
      <alignment horizontal="center" vertical="center"/>
    </xf>
    <xf numFmtId="1" fontId="4" fillId="0" borderId="0" xfId="0" applyNumberFormat="1" applyFont="1" applyBorder="1" applyAlignment="1">
      <alignment horizontal="left" vertical="center"/>
    </xf>
    <xf numFmtId="1" fontId="2" fillId="0" borderId="0" xfId="0" applyNumberFormat="1" applyFont="1" applyBorder="1" applyAlignment="1">
      <alignment horizontal="left" vertical="center"/>
    </xf>
    <xf numFmtId="1" fontId="2" fillId="0" borderId="0" xfId="0" applyNumberFormat="1" applyFont="1" applyBorder="1" applyAlignment="1">
      <alignment horizontal="center" vertical="center"/>
    </xf>
    <xf numFmtId="1" fontId="4" fillId="0" borderId="0" xfId="0" applyNumberFormat="1" applyFont="1" applyBorder="1" applyAlignment="1">
      <alignment horizontal="right"/>
    </xf>
    <xf numFmtId="1" fontId="5" fillId="0" borderId="0" xfId="0" applyNumberFormat="1" applyFont="1" applyBorder="1" applyAlignment="1">
      <alignment horizontal="left"/>
    </xf>
    <xf numFmtId="0" fontId="8" fillId="14" borderId="1" xfId="0" applyFont="1" applyFill="1" applyBorder="1" applyAlignment="1">
      <alignment vertical="center"/>
    </xf>
    <xf numFmtId="49" fontId="17" fillId="14" borderId="25" xfId="0" applyNumberFormat="1" applyFont="1" applyFill="1" applyBorder="1" applyAlignment="1">
      <alignment horizontal="center" vertical="center"/>
    </xf>
    <xf numFmtId="0" fontId="17" fillId="14" borderId="26" xfId="0" applyNumberFormat="1" applyFont="1" applyFill="1" applyBorder="1" applyAlignment="1">
      <alignment horizontal="center" vertical="center"/>
    </xf>
    <xf numFmtId="0" fontId="7" fillId="0" borderId="25" xfId="0"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0" fontId="7" fillId="0" borderId="27" xfId="0" quotePrefix="1" applyNumberFormat="1" applyFont="1" applyFill="1" applyBorder="1" applyAlignment="1">
      <alignment horizontal="center" vertical="center" wrapText="1"/>
    </xf>
    <xf numFmtId="0" fontId="7" fillId="0" borderId="54" xfId="0" applyFont="1" applyFill="1" applyBorder="1" applyAlignment="1">
      <alignment horizontal="center" vertical="center" wrapText="1"/>
    </xf>
    <xf numFmtId="9" fontId="7" fillId="0" borderId="54" xfId="2" applyFont="1" applyFill="1" applyBorder="1" applyAlignment="1">
      <alignment horizontal="center" vertical="center" shrinkToFit="1"/>
    </xf>
    <xf numFmtId="9" fontId="7" fillId="0" borderId="12" xfId="2" applyFont="1" applyFill="1" applyBorder="1" applyAlignment="1">
      <alignment horizontal="center" vertical="center" shrinkToFit="1"/>
    </xf>
    <xf numFmtId="0" fontId="7" fillId="0" borderId="12" xfId="2" applyNumberFormat="1" applyFont="1" applyFill="1" applyBorder="1" applyAlignment="1">
      <alignment horizontal="center" vertical="center" shrinkToFit="1"/>
    </xf>
    <xf numFmtId="49" fontId="7" fillId="0" borderId="38" xfId="0" applyNumberFormat="1" applyFont="1" applyFill="1" applyBorder="1" applyAlignment="1">
      <alignment horizontal="center" vertical="center" wrapText="1"/>
    </xf>
    <xf numFmtId="0" fontId="7" fillId="0" borderId="35" xfId="0" applyFont="1" applyFill="1" applyBorder="1" applyAlignment="1">
      <alignment horizontal="center" vertical="center" shrinkToFit="1"/>
    </xf>
    <xf numFmtId="0" fontId="36" fillId="0" borderId="40" xfId="0" applyFont="1" applyFill="1" applyBorder="1" applyAlignment="1">
      <alignment horizontal="centerContinuous" vertical="center"/>
    </xf>
    <xf numFmtId="0" fontId="27" fillId="0" borderId="40" xfId="0" applyFont="1" applyFill="1" applyBorder="1" applyAlignment="1">
      <alignment horizontal="center" vertical="center" shrinkToFit="1"/>
    </xf>
    <xf numFmtId="0" fontId="27" fillId="0" borderId="40" xfId="0" applyFont="1" applyFill="1" applyBorder="1" applyAlignment="1">
      <alignment horizontal="centerContinuous" vertical="center"/>
    </xf>
    <xf numFmtId="0" fontId="34" fillId="0" borderId="23" xfId="0" applyFont="1" applyBorder="1" applyAlignment="1">
      <alignment horizontal="centerContinuous" vertical="center" wrapText="1"/>
    </xf>
    <xf numFmtId="0" fontId="2" fillId="0" borderId="13" xfId="0" applyFont="1" applyBorder="1" applyAlignment="1">
      <alignment horizontal="center" vertical="center"/>
    </xf>
    <xf numFmtId="0" fontId="2" fillId="0" borderId="69" xfId="0" applyFont="1" applyFill="1" applyBorder="1" applyAlignment="1">
      <alignment horizontal="center" vertical="center"/>
    </xf>
    <xf numFmtId="164" fontId="5" fillId="0" borderId="83" xfId="0" applyNumberFormat="1" applyFont="1" applyBorder="1" applyAlignment="1">
      <alignment horizontal="center" vertical="center" shrinkToFit="1"/>
    </xf>
    <xf numFmtId="0" fontId="21" fillId="13" borderId="85" xfId="0" applyFont="1" applyFill="1" applyBorder="1" applyAlignment="1">
      <alignment horizontal="center" vertical="center"/>
    </xf>
    <xf numFmtId="0" fontId="2" fillId="0" borderId="0" xfId="0" applyFont="1" applyBorder="1" applyAlignment="1">
      <alignment vertical="center"/>
    </xf>
    <xf numFmtId="1" fontId="21" fillId="13" borderId="34" xfId="0" applyNumberFormat="1" applyFont="1" applyFill="1" applyBorder="1" applyAlignment="1">
      <alignment horizontal="center" vertical="center"/>
    </xf>
    <xf numFmtId="0" fontId="2" fillId="0" borderId="62" xfId="0" applyFont="1" applyFill="1" applyBorder="1" applyAlignment="1">
      <alignment horizontal="centerContinuous" vertical="center" shrinkToFit="1"/>
    </xf>
    <xf numFmtId="0" fontId="21" fillId="0" borderId="63" xfId="0" applyFont="1" applyFill="1" applyBorder="1" applyAlignment="1">
      <alignment horizontal="centerContinuous" vertical="center"/>
    </xf>
    <xf numFmtId="0" fontId="21" fillId="0" borderId="86" xfId="0" applyFont="1" applyFill="1" applyBorder="1" applyAlignment="1">
      <alignment horizontal="centerContinuous" vertical="center"/>
    </xf>
    <xf numFmtId="0" fontId="2" fillId="0" borderId="8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4" xfId="0" applyFont="1" applyFill="1" applyBorder="1" applyAlignment="1">
      <alignment horizontal="centerContinuous" vertical="center"/>
    </xf>
    <xf numFmtId="1" fontId="2" fillId="0" borderId="88" xfId="0" applyNumberFormat="1" applyFont="1" applyFill="1" applyBorder="1" applyAlignment="1">
      <alignment horizontal="center" vertical="center"/>
    </xf>
    <xf numFmtId="0" fontId="2" fillId="0" borderId="89" xfId="0" applyFont="1" applyFill="1" applyBorder="1" applyAlignment="1">
      <alignment horizontal="centerContinuous" vertical="center" shrinkToFit="1"/>
    </xf>
    <xf numFmtId="0" fontId="21" fillId="0" borderId="90" xfId="0" applyFont="1" applyFill="1" applyBorder="1" applyAlignment="1">
      <alignment horizontal="centerContinuous" vertical="center"/>
    </xf>
    <xf numFmtId="0" fontId="21" fillId="0" borderId="91" xfId="0" applyFont="1" applyFill="1" applyBorder="1" applyAlignment="1">
      <alignment horizontal="centerContinuous" vertical="center"/>
    </xf>
    <xf numFmtId="0" fontId="2" fillId="0" borderId="45" xfId="0" applyFont="1" applyFill="1" applyBorder="1" applyAlignment="1">
      <alignment horizontal="center" vertical="center"/>
    </xf>
    <xf numFmtId="0" fontId="2" fillId="0" borderId="92" xfId="0" applyFont="1" applyFill="1" applyBorder="1" applyAlignment="1">
      <alignment horizontal="centerContinuous" vertical="center"/>
    </xf>
    <xf numFmtId="1" fontId="2" fillId="0" borderId="93" xfId="0" applyNumberFormat="1" applyFont="1" applyBorder="1" applyAlignment="1">
      <alignment horizontal="center" vertical="center"/>
    </xf>
    <xf numFmtId="0" fontId="2" fillId="0" borderId="49" xfId="0" applyFont="1" applyFill="1" applyBorder="1" applyAlignment="1">
      <alignment horizontal="centerContinuous" vertical="center" shrinkToFit="1"/>
    </xf>
    <xf numFmtId="0" fontId="2" fillId="0" borderId="81" xfId="0" applyFont="1" applyFill="1" applyBorder="1" applyAlignment="1">
      <alignment horizontal="centerContinuous" vertical="center"/>
    </xf>
    <xf numFmtId="0" fontId="2" fillId="0" borderId="94" xfId="0" applyFont="1" applyFill="1" applyBorder="1" applyAlignment="1">
      <alignment horizontal="centerContinuous" vertical="center"/>
    </xf>
    <xf numFmtId="49" fontId="2" fillId="0" borderId="51" xfId="0" applyNumberFormat="1" applyFont="1" applyFill="1" applyBorder="1" applyAlignment="1">
      <alignment horizontal="center" vertical="center"/>
    </xf>
    <xf numFmtId="49" fontId="2" fillId="0" borderId="50" xfId="0" applyNumberFormat="1" applyFont="1" applyFill="1" applyBorder="1" applyAlignment="1">
      <alignment horizontal="center" vertical="center"/>
    </xf>
    <xf numFmtId="0" fontId="2" fillId="0" borderId="82" xfId="0" applyFont="1" applyFill="1" applyBorder="1" applyAlignment="1">
      <alignment horizontal="centerContinuous" vertical="center"/>
    </xf>
    <xf numFmtId="1" fontId="2" fillId="0" borderId="59" xfId="0" applyNumberFormat="1" applyFont="1" applyBorder="1" applyAlignment="1">
      <alignment horizontal="center" vertical="center"/>
    </xf>
    <xf numFmtId="164" fontId="21" fillId="3" borderId="34" xfId="0" applyNumberFormat="1" applyFont="1" applyFill="1" applyBorder="1" applyAlignment="1">
      <alignment horizontal="center" vertical="center"/>
    </xf>
    <xf numFmtId="1" fontId="2" fillId="0" borderId="40" xfId="0" applyNumberFormat="1" applyFont="1" applyBorder="1" applyAlignment="1">
      <alignment horizontal="center" vertical="center" shrinkToFit="1"/>
    </xf>
    <xf numFmtId="1" fontId="2" fillId="0" borderId="59" xfId="0" applyNumberFormat="1" applyFont="1" applyBorder="1" applyAlignment="1">
      <alignment horizontal="center" vertical="center" shrinkToFit="1"/>
    </xf>
    <xf numFmtId="0" fontId="52" fillId="2" borderId="95" xfId="0" applyFont="1" applyFill="1" applyBorder="1" applyAlignment="1">
      <alignment horizontal="right" vertical="center"/>
    </xf>
    <xf numFmtId="0" fontId="20" fillId="2" borderId="96" xfId="0" applyFont="1" applyFill="1" applyBorder="1" applyAlignment="1">
      <alignment horizontal="left" vertical="center"/>
    </xf>
    <xf numFmtId="0" fontId="53" fillId="2" borderId="96" xfId="0" applyFont="1" applyFill="1" applyBorder="1" applyAlignment="1">
      <alignment horizontal="centerContinuous" vertical="center"/>
    </xf>
    <xf numFmtId="0" fontId="2" fillId="2" borderId="96" xfId="0" applyFont="1" applyFill="1" applyBorder="1" applyAlignment="1">
      <alignment horizontal="left" vertical="center"/>
    </xf>
    <xf numFmtId="0" fontId="4" fillId="2" borderId="96" xfId="0" applyFont="1" applyFill="1" applyBorder="1" applyAlignment="1">
      <alignment horizontal="centerContinuous" vertical="center"/>
    </xf>
    <xf numFmtId="0" fontId="54" fillId="2" borderId="97" xfId="0" applyFont="1" applyFill="1" applyBorder="1" applyAlignment="1">
      <alignment horizontal="right" vertical="center"/>
    </xf>
    <xf numFmtId="0" fontId="55" fillId="0" borderId="0" xfId="0" applyFont="1" applyBorder="1" applyAlignment="1">
      <alignment horizontal="centerContinuous" vertical="center"/>
    </xf>
    <xf numFmtId="49" fontId="7" fillId="0" borderId="2" xfId="0" quotePrefix="1" applyNumberFormat="1" applyFont="1" applyBorder="1" applyAlignment="1">
      <alignment horizontal="center" vertical="center"/>
    </xf>
    <xf numFmtId="0" fontId="6" fillId="0" borderId="8" xfId="0" applyFont="1" applyBorder="1" applyAlignment="1">
      <alignment horizontal="right" vertical="center"/>
    </xf>
    <xf numFmtId="0" fontId="55" fillId="0" borderId="9" xfId="0" applyFont="1" applyBorder="1" applyAlignment="1">
      <alignment horizontal="centerContinuous" vertical="center"/>
    </xf>
    <xf numFmtId="0" fontId="7" fillId="0" borderId="9" xfId="0" applyFont="1" applyBorder="1" applyAlignment="1">
      <alignment horizontal="centerContinuous" vertical="center"/>
    </xf>
    <xf numFmtId="0" fontId="6" fillId="0" borderId="9" xfId="0" applyFont="1" applyBorder="1" applyAlignment="1">
      <alignment horizontal="righ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26" fillId="0" borderId="58" xfId="3" applyNumberFormat="1" applyFont="1" applyFill="1" applyBorder="1" applyAlignment="1">
      <alignment horizontal="center" vertical="center"/>
    </xf>
    <xf numFmtId="0" fontId="8" fillId="4" borderId="98" xfId="3" applyFont="1" applyFill="1" applyBorder="1" applyAlignment="1">
      <alignment horizontal="right" vertical="center"/>
    </xf>
    <xf numFmtId="1" fontId="7" fillId="0" borderId="6" xfId="3" applyNumberFormat="1" applyFont="1" applyBorder="1" applyAlignment="1">
      <alignment horizontal="center" vertical="center"/>
    </xf>
    <xf numFmtId="0" fontId="6" fillId="16" borderId="75" xfId="3"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Border="1" applyAlignment="1">
      <alignment horizontal="center" vertical="center"/>
    </xf>
    <xf numFmtId="0" fontId="26" fillId="0" borderId="99" xfId="3" applyNumberFormat="1" applyFont="1" applyFill="1" applyBorder="1" applyAlignment="1">
      <alignment horizontal="center" vertical="center"/>
    </xf>
    <xf numFmtId="0" fontId="11" fillId="4" borderId="89" xfId="3" applyFont="1" applyFill="1" applyBorder="1" applyAlignment="1">
      <alignment horizontal="right" vertical="center"/>
    </xf>
    <xf numFmtId="0" fontId="7" fillId="0" borderId="100" xfId="3" applyNumberFormat="1" applyFont="1" applyBorder="1" applyAlignment="1">
      <alignment horizontal="center" vertical="center"/>
    </xf>
    <xf numFmtId="1" fontId="7" fillId="0" borderId="29" xfId="3" applyNumberFormat="1" applyFont="1" applyBorder="1" applyAlignment="1">
      <alignment horizontal="center" vertical="center"/>
    </xf>
    <xf numFmtId="0" fontId="7" fillId="0" borderId="2" xfId="0" applyFont="1" applyFill="1" applyBorder="1" applyAlignment="1">
      <alignment horizontal="center" vertical="center"/>
    </xf>
    <xf numFmtId="0" fontId="8" fillId="4" borderId="89" xfId="3" applyFont="1" applyFill="1" applyBorder="1" applyAlignment="1">
      <alignment horizontal="right" vertical="center"/>
    </xf>
    <xf numFmtId="0" fontId="7" fillId="0" borderId="101" xfId="3" quotePrefix="1" applyFont="1" applyBorder="1" applyAlignment="1">
      <alignment horizontal="center" vertical="center"/>
    </xf>
    <xf numFmtId="0" fontId="8" fillId="0" borderId="1" xfId="3" applyFont="1" applyFill="1" applyBorder="1" applyAlignment="1">
      <alignment horizontal="right" vertical="center"/>
    </xf>
    <xf numFmtId="0" fontId="11" fillId="2" borderId="4" xfId="0" applyFont="1" applyFill="1" applyBorder="1" applyAlignment="1">
      <alignment horizontal="right" vertical="center"/>
    </xf>
    <xf numFmtId="0" fontId="7" fillId="0" borderId="101" xfId="3" applyFont="1" applyBorder="1" applyAlignment="1">
      <alignment horizontal="center" vertical="center"/>
    </xf>
    <xf numFmtId="0" fontId="11" fillId="0" borderId="1" xfId="3" applyFont="1" applyFill="1" applyBorder="1" applyAlignment="1">
      <alignment horizontal="right" vertical="center"/>
    </xf>
    <xf numFmtId="0" fontId="26" fillId="0" borderId="3" xfId="3" applyNumberFormat="1" applyFont="1" applyFill="1" applyBorder="1" applyAlignment="1">
      <alignment horizontal="center" vertical="center"/>
    </xf>
    <xf numFmtId="0" fontId="56" fillId="4" borderId="102" xfId="3" applyFont="1" applyFill="1" applyBorder="1" applyAlignment="1">
      <alignment horizontal="right" vertical="center"/>
    </xf>
    <xf numFmtId="0" fontId="7" fillId="0" borderId="24" xfId="0" applyFont="1" applyBorder="1" applyAlignment="1">
      <alignment horizontal="center" vertical="center"/>
    </xf>
    <xf numFmtId="0" fontId="26" fillId="0" borderId="24" xfId="3" applyNumberFormat="1" applyFont="1" applyFill="1" applyBorder="1" applyAlignment="1">
      <alignment horizontal="center" vertical="center"/>
    </xf>
    <xf numFmtId="0" fontId="10" fillId="4" borderId="13" xfId="3" applyFont="1" applyFill="1" applyBorder="1" applyAlignment="1">
      <alignment horizontal="right" vertical="center"/>
    </xf>
    <xf numFmtId="0" fontId="7" fillId="0" borderId="39" xfId="3" applyFont="1" applyBorder="1" applyAlignment="1">
      <alignment horizontal="center" vertical="center"/>
    </xf>
    <xf numFmtId="0" fontId="11" fillId="0" borderId="1" xfId="0" applyFont="1" applyFill="1" applyBorder="1" applyAlignment="1">
      <alignment horizontal="right" vertical="center"/>
    </xf>
    <xf numFmtId="0" fontId="2" fillId="0" borderId="0" xfId="0" applyFont="1" applyBorder="1" applyAlignment="1">
      <alignment horizontal="left" vertical="center"/>
    </xf>
    <xf numFmtId="0" fontId="55" fillId="0" borderId="0" xfId="0" applyFont="1" applyBorder="1" applyAlignment="1">
      <alignment vertical="center"/>
    </xf>
    <xf numFmtId="0" fontId="2" fillId="0" borderId="69" xfId="0" applyFont="1" applyBorder="1" applyAlignment="1">
      <alignment horizontal="center" vertical="center" shrinkToFit="1"/>
    </xf>
    <xf numFmtId="1" fontId="2" fillId="12" borderId="40" xfId="0" applyNumberFormat="1" applyFont="1" applyFill="1" applyBorder="1" applyAlignment="1">
      <alignment horizontal="center" vertical="center" shrinkToFit="1"/>
    </xf>
    <xf numFmtId="165" fontId="5" fillId="0" borderId="0" xfId="0" applyNumberFormat="1" applyFont="1" applyBorder="1" applyAlignment="1">
      <alignment vertical="center"/>
    </xf>
    <xf numFmtId="164" fontId="2" fillId="0" borderId="40" xfId="0" applyNumberFormat="1" applyFont="1" applyBorder="1" applyAlignment="1">
      <alignment horizontal="center" vertical="center" shrinkToFit="1"/>
    </xf>
    <xf numFmtId="0" fontId="2" fillId="0" borderId="55" xfId="0" applyFont="1" applyBorder="1" applyAlignment="1">
      <alignment horizontal="center" vertical="center"/>
    </xf>
    <xf numFmtId="0" fontId="4" fillId="0" borderId="103" xfId="0" applyFont="1" applyBorder="1" applyAlignment="1">
      <alignment horizontal="right" vertical="center"/>
    </xf>
    <xf numFmtId="0" fontId="2" fillId="0" borderId="104" xfId="0" applyFont="1" applyBorder="1" applyAlignment="1">
      <alignment horizontal="center" vertical="center" wrapText="1"/>
    </xf>
    <xf numFmtId="0" fontId="4" fillId="0" borderId="40" xfId="0" applyFont="1" applyBorder="1" applyAlignment="1">
      <alignment horizontal="right" vertical="center"/>
    </xf>
    <xf numFmtId="0" fontId="2" fillId="0" borderId="91" xfId="0" applyFont="1" applyBorder="1" applyAlignment="1">
      <alignment horizontal="center" vertical="center" wrapText="1"/>
    </xf>
    <xf numFmtId="0" fontId="4" fillId="0" borderId="59" xfId="0" applyFont="1" applyBorder="1" applyAlignment="1">
      <alignment horizontal="right" vertical="center"/>
    </xf>
    <xf numFmtId="0" fontId="61" fillId="0" borderId="5" xfId="0" applyFont="1" applyBorder="1" applyAlignment="1">
      <alignment horizontal="centerContinuous" vertical="center"/>
    </xf>
    <xf numFmtId="0" fontId="61" fillId="0" borderId="6" xfId="0" applyFont="1" applyBorder="1" applyAlignment="1">
      <alignment horizontal="centerContinuous" vertical="center"/>
    </xf>
    <xf numFmtId="0" fontId="62" fillId="0" borderId="6" xfId="0" applyFont="1" applyBorder="1" applyAlignment="1">
      <alignment horizontal="centerContinuous" vertical="center" wrapText="1"/>
    </xf>
    <xf numFmtId="0" fontId="62" fillId="0" borderId="7" xfId="0" applyFont="1" applyBorder="1" applyAlignment="1">
      <alignment horizontal="centerContinuous" vertical="center" wrapText="1"/>
    </xf>
    <xf numFmtId="0" fontId="61" fillId="0" borderId="8" xfId="0" applyFont="1" applyBorder="1" applyAlignment="1">
      <alignment horizontal="center" vertical="center"/>
    </xf>
    <xf numFmtId="0" fontId="61" fillId="0" borderId="9" xfId="0" applyFont="1" applyBorder="1" applyAlignment="1">
      <alignment horizontal="center" vertical="center"/>
    </xf>
    <xf numFmtId="0" fontId="61" fillId="0" borderId="10" xfId="0" applyFont="1" applyBorder="1" applyAlignment="1">
      <alignment horizontal="center" vertical="center"/>
    </xf>
    <xf numFmtId="0" fontId="60" fillId="17" borderId="94" xfId="0" applyFont="1" applyFill="1" applyBorder="1" applyAlignment="1">
      <alignment horizontal="center" vertical="center" wrapText="1"/>
    </xf>
    <xf numFmtId="0" fontId="7" fillId="0" borderId="107" xfId="0" applyFont="1" applyFill="1" applyBorder="1" applyAlignment="1">
      <alignment horizontal="center" vertical="center" shrinkToFit="1"/>
    </xf>
    <xf numFmtId="0" fontId="7" fillId="0" borderId="108" xfId="0" applyFont="1" applyFill="1" applyBorder="1" applyAlignment="1">
      <alignment horizontal="center" vertical="center"/>
    </xf>
    <xf numFmtId="0" fontId="35" fillId="9" borderId="109" xfId="2" applyNumberFormat="1" applyFont="1" applyFill="1" applyBorder="1" applyAlignment="1">
      <alignment horizontal="center" vertical="center" shrinkToFit="1"/>
    </xf>
    <xf numFmtId="0" fontId="7" fillId="0" borderId="37" xfId="0" applyFont="1" applyFill="1" applyBorder="1" applyAlignment="1">
      <alignment horizontal="center" vertical="center"/>
    </xf>
    <xf numFmtId="0" fontId="2" fillId="0" borderId="44" xfId="0" applyFont="1" applyFill="1" applyBorder="1" applyAlignment="1">
      <alignment horizontal="center" vertical="center" wrapText="1"/>
    </xf>
    <xf numFmtId="0" fontId="60" fillId="17" borderId="50" xfId="0" applyFont="1" applyFill="1" applyBorder="1" applyAlignment="1">
      <alignment horizontal="center" vertical="center" wrapText="1"/>
    </xf>
    <xf numFmtId="0" fontId="2" fillId="18" borderId="105" xfId="0" applyFont="1" applyFill="1" applyBorder="1" applyAlignment="1">
      <alignment horizontal="center" vertical="center" wrapText="1"/>
    </xf>
    <xf numFmtId="0" fontId="2" fillId="18" borderId="44" xfId="0" applyFont="1" applyFill="1" applyBorder="1" applyAlignment="1">
      <alignment horizontal="center" vertical="center" wrapText="1"/>
    </xf>
    <xf numFmtId="0" fontId="2" fillId="18" borderId="106" xfId="0" applyFont="1" applyFill="1" applyBorder="1" applyAlignment="1">
      <alignment horizontal="center" vertical="center" wrapText="1"/>
    </xf>
    <xf numFmtId="0" fontId="2" fillId="18" borderId="46" xfId="0" applyFont="1" applyFill="1" applyBorder="1" applyAlignment="1">
      <alignment horizontal="center" vertical="center" wrapText="1"/>
    </xf>
    <xf numFmtId="0" fontId="4" fillId="18" borderId="50" xfId="0" applyFont="1" applyFill="1" applyBorder="1" applyAlignment="1">
      <alignment horizontal="center" vertical="center" wrapText="1"/>
    </xf>
    <xf numFmtId="0" fontId="4" fillId="18" borderId="52" xfId="0" applyFont="1" applyFill="1" applyBorder="1" applyAlignment="1">
      <alignment horizontal="center" vertical="center" wrapText="1"/>
    </xf>
    <xf numFmtId="0" fontId="7" fillId="0" borderId="89" xfId="0" applyFont="1" applyFill="1" applyBorder="1" applyAlignment="1">
      <alignment horizontal="center" vertical="center" shrinkToFit="1"/>
    </xf>
    <xf numFmtId="0" fontId="7" fillId="0" borderId="100" xfId="0" applyFont="1" applyFill="1" applyBorder="1" applyAlignment="1">
      <alignment horizontal="center" vertical="center"/>
    </xf>
    <xf numFmtId="0" fontId="35" fillId="9" borderId="101" xfId="2" applyNumberFormat="1" applyFont="1" applyFill="1" applyBorder="1" applyAlignment="1">
      <alignment horizontal="center" vertical="center" shrinkToFit="1"/>
    </xf>
    <xf numFmtId="0" fontId="47" fillId="0" borderId="40" xfId="0" applyFont="1" applyBorder="1" applyAlignment="1">
      <alignment horizontal="centerContinuous" vertical="center"/>
    </xf>
    <xf numFmtId="0" fontId="47" fillId="0" borderId="40" xfId="0" applyFont="1" applyFill="1" applyBorder="1" applyAlignment="1">
      <alignment horizontal="center" vertical="center" shrinkToFit="1"/>
    </xf>
    <xf numFmtId="1" fontId="7" fillId="0" borderId="108" xfId="0" applyNumberFormat="1" applyFont="1" applyFill="1" applyBorder="1" applyAlignment="1">
      <alignment horizontal="center" vertical="center"/>
    </xf>
    <xf numFmtId="1" fontId="7" fillId="0" borderId="100" xfId="0" applyNumberFormat="1" applyFont="1" applyFill="1" applyBorder="1" applyAlignment="1">
      <alignment horizontal="center" vertical="center"/>
    </xf>
    <xf numFmtId="1" fontId="7" fillId="0" borderId="54" xfId="0" applyNumberFormat="1" applyFont="1" applyFill="1" applyBorder="1" applyAlignment="1">
      <alignment horizontal="center" vertical="center"/>
    </xf>
    <xf numFmtId="1" fontId="50" fillId="11" borderId="50" xfId="0" applyNumberFormat="1" applyFont="1" applyFill="1" applyBorder="1" applyAlignment="1">
      <alignment horizontal="center" vertical="center"/>
    </xf>
    <xf numFmtId="1" fontId="2" fillId="0" borderId="50" xfId="0" applyNumberFormat="1" applyFont="1" applyBorder="1" applyAlignment="1">
      <alignment horizontal="center" vertical="center"/>
    </xf>
    <xf numFmtId="0" fontId="48" fillId="0" borderId="59" xfId="0" applyFont="1" applyFill="1" applyBorder="1" applyAlignment="1">
      <alignment horizontal="centerContinuous" vertical="center"/>
    </xf>
    <xf numFmtId="0" fontId="7" fillId="0" borderId="26" xfId="0" applyNumberFormat="1" applyFont="1" applyFill="1" applyBorder="1" applyAlignment="1">
      <alignment horizontal="center" vertical="center" shrinkToFit="1"/>
    </xf>
    <xf numFmtId="0" fontId="2" fillId="0" borderId="111" xfId="0" applyFont="1" applyFill="1" applyBorder="1" applyAlignment="1">
      <alignment horizontal="center" vertical="center"/>
    </xf>
    <xf numFmtId="0" fontId="2" fillId="0" borderId="112" xfId="0" applyFont="1" applyFill="1" applyBorder="1" applyAlignment="1">
      <alignment horizontal="center" vertical="center"/>
    </xf>
    <xf numFmtId="49" fontId="2" fillId="0" borderId="112" xfId="2" applyNumberFormat="1" applyFont="1" applyBorder="1" applyAlignment="1">
      <alignment horizontal="center" vertical="center"/>
    </xf>
    <xf numFmtId="49" fontId="2" fillId="0" borderId="112" xfId="2" applyNumberFormat="1" applyFont="1" applyFill="1" applyBorder="1" applyAlignment="1">
      <alignment horizontal="center" vertical="center"/>
    </xf>
    <xf numFmtId="0" fontId="2" fillId="0" borderId="112" xfId="0" applyFont="1" applyFill="1" applyBorder="1" applyAlignment="1">
      <alignment horizontal="center" vertical="center" shrinkToFit="1"/>
    </xf>
    <xf numFmtId="1" fontId="50" fillId="11" borderId="112" xfId="0" applyNumberFormat="1" applyFont="1" applyFill="1" applyBorder="1" applyAlignment="1">
      <alignment horizontal="center" vertical="center"/>
    </xf>
    <xf numFmtId="1" fontId="2" fillId="0" borderId="112" xfId="0" applyNumberFormat="1" applyFont="1" applyBorder="1" applyAlignment="1">
      <alignment horizontal="center" vertical="center"/>
    </xf>
    <xf numFmtId="0" fontId="2" fillId="0" borderId="113" xfId="0" applyFont="1" applyFill="1" applyBorder="1" applyAlignment="1">
      <alignment horizontal="center" vertical="center"/>
    </xf>
    <xf numFmtId="0" fontId="2" fillId="0" borderId="114" xfId="0" applyFont="1" applyFill="1" applyBorder="1" applyAlignment="1">
      <alignment horizontal="center" vertical="center"/>
    </xf>
    <xf numFmtId="0" fontId="2" fillId="0" borderId="83" xfId="0" applyFont="1" applyFill="1" applyBorder="1" applyAlignment="1">
      <alignment horizontal="center" vertical="center"/>
    </xf>
    <xf numFmtId="49" fontId="2" fillId="0" borderId="83" xfId="2" applyNumberFormat="1" applyFont="1" applyBorder="1" applyAlignment="1">
      <alignment horizontal="center" vertical="center"/>
    </xf>
    <xf numFmtId="49" fontId="2" fillId="0" borderId="83" xfId="2" applyNumberFormat="1" applyFont="1" applyFill="1" applyBorder="1" applyAlignment="1">
      <alignment horizontal="center" vertical="center"/>
    </xf>
    <xf numFmtId="0" fontId="2" fillId="0" borderId="83" xfId="0" applyFont="1" applyFill="1" applyBorder="1" applyAlignment="1">
      <alignment horizontal="center" vertical="center" shrinkToFit="1"/>
    </xf>
    <xf numFmtId="164" fontId="5" fillId="0" borderId="83" xfId="0" applyNumberFormat="1" applyFont="1" applyFill="1" applyBorder="1" applyAlignment="1">
      <alignment horizontal="center" vertical="center"/>
    </xf>
    <xf numFmtId="164" fontId="5" fillId="0" borderId="83" xfId="0" applyNumberFormat="1" applyFont="1" applyBorder="1" applyAlignment="1">
      <alignment horizontal="center" vertical="center"/>
    </xf>
    <xf numFmtId="1" fontId="50" fillId="11" borderId="83" xfId="0" applyNumberFormat="1" applyFont="1" applyFill="1" applyBorder="1" applyAlignment="1">
      <alignment horizontal="center" vertical="center"/>
    </xf>
    <xf numFmtId="1" fontId="2" fillId="0" borderId="83" xfId="0" applyNumberFormat="1" applyFont="1" applyBorder="1" applyAlignment="1">
      <alignment horizontal="center" vertical="center"/>
    </xf>
    <xf numFmtId="0" fontId="2" fillId="0" borderId="48" xfId="0" applyFont="1" applyFill="1" applyBorder="1" applyAlignment="1">
      <alignment horizontal="center" vertical="center"/>
    </xf>
    <xf numFmtId="0" fontId="2" fillId="0" borderId="115" xfId="0" applyFont="1" applyFill="1" applyBorder="1" applyAlignment="1">
      <alignment horizontal="center" vertical="center"/>
    </xf>
    <xf numFmtId="0" fontId="2" fillId="0" borderId="116" xfId="0" applyFont="1" applyFill="1" applyBorder="1" applyAlignment="1">
      <alignment horizontal="center" vertical="center"/>
    </xf>
    <xf numFmtId="49" fontId="2" fillId="0" borderId="116" xfId="2" applyNumberFormat="1" applyFont="1" applyBorder="1" applyAlignment="1">
      <alignment horizontal="center" vertical="center"/>
    </xf>
    <xf numFmtId="0" fontId="2" fillId="0" borderId="116" xfId="0" applyFont="1" applyFill="1" applyBorder="1" applyAlignment="1">
      <alignment horizontal="center" vertical="center" shrinkToFit="1"/>
    </xf>
    <xf numFmtId="1" fontId="50" fillId="11" borderId="116" xfId="0" applyNumberFormat="1" applyFont="1" applyFill="1" applyBorder="1" applyAlignment="1">
      <alignment horizontal="center" vertical="center"/>
    </xf>
    <xf numFmtId="1" fontId="2" fillId="0" borderId="116" xfId="0" applyNumberFormat="1" applyFont="1" applyBorder="1" applyAlignment="1">
      <alignment horizontal="center" vertical="center"/>
    </xf>
    <xf numFmtId="1" fontId="2" fillId="0" borderId="118" xfId="0" applyNumberFormat="1" applyFont="1" applyFill="1" applyBorder="1" applyAlignment="1">
      <alignment horizontal="center" vertical="center"/>
    </xf>
    <xf numFmtId="1" fontId="2" fillId="12" borderId="119" xfId="0" applyNumberFormat="1" applyFont="1" applyFill="1" applyBorder="1" applyAlignment="1">
      <alignment horizontal="center" vertical="center"/>
    </xf>
    <xf numFmtId="1" fontId="2" fillId="12" borderId="59" xfId="0" applyNumberFormat="1" applyFont="1" applyFill="1" applyBorder="1" applyAlignment="1">
      <alignment horizontal="center" vertical="center"/>
    </xf>
    <xf numFmtId="164" fontId="5" fillId="12" borderId="112" xfId="0" applyNumberFormat="1" applyFont="1" applyFill="1" applyBorder="1" applyAlignment="1">
      <alignment horizontal="center" vertical="center"/>
    </xf>
    <xf numFmtId="164" fontId="2" fillId="0" borderId="112" xfId="0" applyNumberFormat="1" applyFont="1" applyBorder="1" applyAlignment="1">
      <alignment horizontal="center" vertical="center"/>
    </xf>
    <xf numFmtId="164" fontId="2" fillId="12" borderId="112" xfId="0" applyNumberFormat="1" applyFont="1" applyFill="1" applyBorder="1" applyAlignment="1">
      <alignment horizontal="center" vertical="center"/>
    </xf>
    <xf numFmtId="0" fontId="2" fillId="0" borderId="120" xfId="0" applyFont="1" applyFill="1" applyBorder="1" applyAlignment="1">
      <alignment horizontal="center" vertical="center"/>
    </xf>
    <xf numFmtId="0" fontId="2" fillId="0" borderId="121" xfId="0" applyFont="1" applyFill="1" applyBorder="1" applyAlignment="1">
      <alignment horizontal="center" vertical="center"/>
    </xf>
    <xf numFmtId="49" fontId="2" fillId="0" borderId="121" xfId="2" applyNumberFormat="1" applyFont="1" applyBorder="1" applyAlignment="1">
      <alignment horizontal="center" vertical="center"/>
    </xf>
    <xf numFmtId="49" fontId="2" fillId="0" borderId="121" xfId="2" applyNumberFormat="1" applyFont="1" applyFill="1" applyBorder="1" applyAlignment="1">
      <alignment horizontal="center" vertical="center"/>
    </xf>
    <xf numFmtId="0" fontId="2" fillId="0" borderId="121" xfId="0" applyFont="1" applyFill="1" applyBorder="1" applyAlignment="1">
      <alignment horizontal="center" vertical="center" shrinkToFit="1"/>
    </xf>
    <xf numFmtId="164" fontId="5" fillId="0" borderId="121" xfId="0" applyNumberFormat="1" applyFont="1" applyFill="1" applyBorder="1" applyAlignment="1">
      <alignment horizontal="center" vertical="center"/>
    </xf>
    <xf numFmtId="1" fontId="50" fillId="11" borderId="121" xfId="0" applyNumberFormat="1" applyFont="1" applyFill="1" applyBorder="1" applyAlignment="1">
      <alignment horizontal="center" vertical="center"/>
    </xf>
    <xf numFmtId="1" fontId="2" fillId="0" borderId="121" xfId="0" applyNumberFormat="1" applyFont="1" applyBorder="1" applyAlignment="1">
      <alignment horizontal="center" vertical="center"/>
    </xf>
    <xf numFmtId="0" fontId="2" fillId="0" borderId="122" xfId="0" applyFont="1" applyFill="1" applyBorder="1" applyAlignment="1">
      <alignment horizontal="center" vertical="center"/>
    </xf>
    <xf numFmtId="164" fontId="2" fillId="0" borderId="116" xfId="0" applyNumberFormat="1" applyFont="1" applyFill="1" applyBorder="1" applyAlignment="1">
      <alignment horizontal="center" vertical="center"/>
    </xf>
    <xf numFmtId="164" fontId="2" fillId="0" borderId="116" xfId="0" applyNumberFormat="1" applyFont="1" applyBorder="1" applyAlignment="1">
      <alignment horizontal="center" vertical="center"/>
    </xf>
    <xf numFmtId="1" fontId="2" fillId="0" borderId="123" xfId="0" applyNumberFormat="1" applyFont="1" applyFill="1" applyBorder="1" applyAlignment="1">
      <alignment horizontal="center" vertical="center"/>
    </xf>
    <xf numFmtId="0" fontId="47" fillId="0" borderId="59" xfId="0" quotePrefix="1" applyFont="1" applyFill="1" applyBorder="1" applyAlignment="1">
      <alignment horizontal="centerContinuous" vertical="center" shrinkToFit="1"/>
    </xf>
    <xf numFmtId="0" fontId="47" fillId="0" borderId="59" xfId="0" applyFont="1" applyFill="1" applyBorder="1" applyAlignment="1">
      <alignment horizontal="centerContinuous" vertical="center"/>
    </xf>
    <xf numFmtId="49" fontId="2" fillId="15" borderId="116" xfId="2" applyNumberFormat="1" applyFont="1" applyFill="1" applyBorder="1" applyAlignment="1">
      <alignment horizontal="center" vertical="center"/>
    </xf>
    <xf numFmtId="49" fontId="2" fillId="15" borderId="112" xfId="2" applyNumberFormat="1" applyFont="1" applyFill="1" applyBorder="1" applyAlignment="1">
      <alignment horizontal="center" vertical="center"/>
    </xf>
    <xf numFmtId="0" fontId="63" fillId="0" borderId="124" xfId="0" applyFont="1" applyBorder="1" applyAlignment="1">
      <alignment horizontal="centerContinuous" vertical="center"/>
    </xf>
    <xf numFmtId="0" fontId="62" fillId="0" borderId="125" xfId="0" applyFont="1" applyFill="1" applyBorder="1" applyAlignment="1">
      <alignment horizontal="centerContinuous" vertical="center"/>
    </xf>
    <xf numFmtId="1" fontId="2" fillId="0" borderId="101" xfId="0" applyNumberFormat="1" applyFont="1" applyFill="1" applyBorder="1" applyAlignment="1">
      <alignment horizontal="centerContinuous" vertical="center"/>
    </xf>
    <xf numFmtId="1" fontId="2" fillId="0" borderId="109" xfId="0" applyNumberFormat="1" applyFont="1" applyFill="1" applyBorder="1" applyAlignment="1">
      <alignment horizontal="centerContinuous" vertical="center"/>
    </xf>
    <xf numFmtId="1" fontId="50" fillId="17" borderId="128" xfId="0" applyNumberFormat="1" applyFont="1" applyFill="1" applyBorder="1" applyAlignment="1">
      <alignment horizontal="centerContinuous" vertical="center"/>
    </xf>
    <xf numFmtId="1" fontId="50" fillId="17" borderId="101" xfId="0" applyNumberFormat="1" applyFont="1" applyFill="1" applyBorder="1" applyAlignment="1">
      <alignment horizontal="centerContinuous" vertical="center"/>
    </xf>
    <xf numFmtId="1" fontId="2" fillId="20" borderId="129" xfId="0" applyNumberFormat="1" applyFont="1" applyFill="1" applyBorder="1" applyAlignment="1">
      <alignment horizontal="centerContinuous" vertical="center"/>
    </xf>
    <xf numFmtId="0" fontId="7" fillId="5" borderId="27" xfId="0" quotePrefix="1" applyNumberFormat="1" applyFont="1" applyFill="1" applyBorder="1" applyAlignment="1">
      <alignment horizontal="center" vertical="center"/>
    </xf>
    <xf numFmtId="0" fontId="7" fillId="14" borderId="27" xfId="0" quotePrefix="1"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21" fillId="13" borderId="130" xfId="0" applyFont="1" applyFill="1" applyBorder="1" applyAlignment="1">
      <alignment horizontal="center" vertical="center"/>
    </xf>
    <xf numFmtId="0" fontId="21" fillId="13" borderId="131" xfId="0" applyFont="1" applyFill="1" applyBorder="1" applyAlignment="1">
      <alignment horizontal="center" vertical="center"/>
    </xf>
    <xf numFmtId="49" fontId="21" fillId="13" borderId="131" xfId="0" applyNumberFormat="1" applyFont="1" applyFill="1" applyBorder="1" applyAlignment="1">
      <alignment horizontal="center" vertical="center"/>
    </xf>
    <xf numFmtId="0" fontId="21" fillId="13" borderId="132" xfId="0" applyFont="1" applyFill="1" applyBorder="1" applyAlignment="1">
      <alignment horizontal="center" vertical="center"/>
    </xf>
    <xf numFmtId="0" fontId="49" fillId="11" borderId="132" xfId="0" applyFont="1" applyFill="1" applyBorder="1" applyAlignment="1">
      <alignment horizontal="center" vertical="center"/>
    </xf>
    <xf numFmtId="0" fontId="21" fillId="13" borderId="133" xfId="0" applyFont="1" applyFill="1" applyBorder="1" applyAlignment="1">
      <alignment horizontal="center" vertical="center"/>
    </xf>
    <xf numFmtId="0" fontId="2" fillId="0" borderId="134" xfId="0" applyFont="1" applyFill="1" applyBorder="1" applyAlignment="1">
      <alignment horizontal="center" vertical="center"/>
    </xf>
    <xf numFmtId="0" fontId="2" fillId="0" borderId="105" xfId="0" applyFont="1" applyFill="1" applyBorder="1" applyAlignment="1">
      <alignment horizontal="center" vertical="center"/>
    </xf>
    <xf numFmtId="49" fontId="2" fillId="0" borderId="105" xfId="0" applyNumberFormat="1" applyFont="1" applyFill="1" applyBorder="1" applyAlignment="1">
      <alignment horizontal="center" vertical="center"/>
    </xf>
    <xf numFmtId="164" fontId="2" fillId="0" borderId="105" xfId="0" applyNumberFormat="1" applyFont="1" applyFill="1" applyBorder="1" applyAlignment="1">
      <alignment horizontal="center" vertical="center"/>
    </xf>
    <xf numFmtId="164" fontId="5" fillId="0" borderId="105" xfId="0" applyNumberFormat="1" applyFont="1" applyFill="1" applyBorder="1" applyAlignment="1">
      <alignment horizontal="center" vertical="center"/>
    </xf>
    <xf numFmtId="164" fontId="5" fillId="0" borderId="105" xfId="0" applyNumberFormat="1" applyFont="1" applyBorder="1" applyAlignment="1">
      <alignment horizontal="center" vertical="center"/>
    </xf>
    <xf numFmtId="1" fontId="50" fillId="11" borderId="105" xfId="0" applyNumberFormat="1" applyFont="1" applyFill="1" applyBorder="1" applyAlignment="1">
      <alignment horizontal="center" vertical="center"/>
    </xf>
    <xf numFmtId="1" fontId="2" fillId="0" borderId="105" xfId="0" applyNumberFormat="1" applyFont="1" applyBorder="1" applyAlignment="1">
      <alignment horizontal="center" vertical="center"/>
    </xf>
    <xf numFmtId="0" fontId="5" fillId="0" borderId="106" xfId="0" applyFont="1" applyFill="1" applyBorder="1" applyAlignment="1">
      <alignment horizontal="center" vertical="center"/>
    </xf>
    <xf numFmtId="0" fontId="2" fillId="0" borderId="69" xfId="0" applyFont="1" applyBorder="1" applyAlignment="1">
      <alignment horizontal="center" vertical="center"/>
    </xf>
    <xf numFmtId="49" fontId="64" fillId="0" borderId="50" xfId="0" applyNumberFormat="1" applyFont="1" applyBorder="1" applyAlignment="1">
      <alignment horizontal="center" vertical="center"/>
    </xf>
    <xf numFmtId="49" fontId="2" fillId="0" borderId="50" xfId="0" applyNumberFormat="1" applyFont="1" applyBorder="1" applyAlignment="1">
      <alignment horizontal="center" vertical="center"/>
    </xf>
    <xf numFmtId="0" fontId="5" fillId="0" borderId="50" xfId="0" applyFont="1" applyBorder="1" applyAlignment="1">
      <alignment horizontal="center" vertical="center"/>
    </xf>
    <xf numFmtId="49" fontId="5" fillId="0" borderId="50" xfId="0" applyNumberFormat="1" applyFont="1" applyBorder="1" applyAlignment="1">
      <alignment horizontal="center" vertical="center"/>
    </xf>
    <xf numFmtId="164" fontId="5" fillId="0" borderId="50" xfId="0" applyNumberFormat="1" applyFont="1" applyBorder="1" applyAlignment="1">
      <alignment horizontal="center" vertical="center"/>
    </xf>
    <xf numFmtId="0" fontId="2" fillId="0" borderId="52" xfId="0" applyFont="1" applyBorder="1" applyAlignment="1">
      <alignment horizontal="center" vertical="center"/>
    </xf>
    <xf numFmtId="0" fontId="2" fillId="0" borderId="91" xfId="0" applyFont="1" applyBorder="1" applyAlignment="1">
      <alignment horizontal="center" vertical="center" shrinkToFit="1"/>
    </xf>
    <xf numFmtId="0" fontId="5" fillId="0" borderId="91" xfId="0" applyFont="1" applyBorder="1" applyAlignment="1">
      <alignment horizontal="center" vertical="center" shrinkToFit="1"/>
    </xf>
    <xf numFmtId="0" fontId="2" fillId="0" borderId="94" xfId="0" applyFont="1" applyBorder="1" applyAlignment="1">
      <alignment horizontal="center" vertical="center" shrinkToFit="1"/>
    </xf>
    <xf numFmtId="0" fontId="5" fillId="0" borderId="86" xfId="0" applyFont="1" applyBorder="1" applyAlignment="1">
      <alignment horizontal="center" vertical="center" shrinkToFit="1"/>
    </xf>
    <xf numFmtId="0" fontId="5" fillId="0" borderId="94" xfId="0" applyFont="1" applyBorder="1" applyAlignment="1">
      <alignment horizontal="center" vertical="center" shrinkToFit="1"/>
    </xf>
    <xf numFmtId="1" fontId="7" fillId="0" borderId="26" xfId="0" applyNumberFormat="1" applyFont="1" applyFill="1" applyBorder="1" applyAlignment="1">
      <alignment horizontal="center" vertical="center"/>
    </xf>
    <xf numFmtId="0" fontId="2" fillId="0" borderId="117" xfId="0" quotePrefix="1" applyFont="1" applyFill="1" applyBorder="1" applyAlignment="1">
      <alignment horizontal="center" vertical="center"/>
    </xf>
    <xf numFmtId="49" fontId="2" fillId="0" borderId="121" xfId="0" applyNumberFormat="1" applyFont="1" applyFill="1" applyBorder="1" applyAlignment="1">
      <alignment horizontal="center" vertical="center"/>
    </xf>
    <xf numFmtId="164" fontId="2" fillId="0" borderId="121" xfId="0" applyNumberFormat="1" applyFont="1" applyFill="1" applyBorder="1" applyAlignment="1">
      <alignment horizontal="center" vertical="center"/>
    </xf>
    <xf numFmtId="0" fontId="5" fillId="0" borderId="122" xfId="0" applyFont="1" applyFill="1" applyBorder="1" applyAlignment="1">
      <alignment horizontal="center" vertical="center"/>
    </xf>
    <xf numFmtId="0" fontId="2" fillId="0" borderId="62" xfId="0" applyFont="1" applyFill="1" applyBorder="1" applyAlignment="1">
      <alignment horizontal="centerContinuous" vertical="center"/>
    </xf>
    <xf numFmtId="0" fontId="6" fillId="4" borderId="135" xfId="0" applyFont="1" applyFill="1" applyBorder="1" applyAlignment="1">
      <alignment horizontal="right" vertical="center"/>
    </xf>
    <xf numFmtId="1" fontId="7" fillId="0" borderId="24" xfId="0" applyNumberFormat="1" applyFont="1" applyBorder="1" applyAlignment="1">
      <alignment horizontal="centerContinuous" vertical="center"/>
    </xf>
    <xf numFmtId="1" fontId="2" fillId="0" borderId="136" xfId="0" applyNumberFormat="1" applyFont="1" applyBorder="1" applyAlignment="1">
      <alignment horizontal="centerContinuous" vertical="center"/>
    </xf>
    <xf numFmtId="0" fontId="22" fillId="14" borderId="1" xfId="0" applyFont="1" applyFill="1" applyBorder="1" applyAlignment="1">
      <alignment vertical="center"/>
    </xf>
    <xf numFmtId="49" fontId="28" fillId="14" borderId="25" xfId="0" applyNumberFormat="1" applyFont="1" applyFill="1" applyBorder="1" applyAlignment="1">
      <alignment horizontal="center" vertical="center"/>
    </xf>
    <xf numFmtId="0" fontId="28" fillId="14" borderId="26" xfId="0" applyNumberFormat="1" applyFont="1" applyFill="1" applyBorder="1" applyAlignment="1">
      <alignment horizontal="center" vertical="center"/>
    </xf>
    <xf numFmtId="0" fontId="7" fillId="0" borderId="88" xfId="0" applyFont="1" applyFill="1" applyBorder="1" applyAlignment="1">
      <alignment horizontal="centerContinuous" vertical="center"/>
    </xf>
    <xf numFmtId="0" fontId="7" fillId="0" borderId="138" xfId="0" applyFont="1" applyFill="1" applyBorder="1" applyAlignment="1">
      <alignment horizontal="centerContinuous" vertical="center"/>
    </xf>
    <xf numFmtId="0" fontId="7" fillId="0" borderId="55" xfId="0" applyFont="1" applyFill="1" applyBorder="1" applyAlignment="1">
      <alignment horizontal="center" vertical="center" wrapText="1"/>
    </xf>
    <xf numFmtId="9" fontId="7" fillId="0" borderId="55" xfId="2" applyFont="1" applyFill="1" applyBorder="1" applyAlignment="1">
      <alignment horizontal="center" vertical="center" shrinkToFit="1"/>
    </xf>
    <xf numFmtId="9" fontId="7" fillId="0" borderId="56" xfId="2" applyFont="1" applyFill="1" applyBorder="1" applyAlignment="1">
      <alignment horizontal="center" vertical="center" shrinkToFit="1"/>
    </xf>
    <xf numFmtId="0" fontId="7" fillId="0" borderId="56" xfId="2" applyNumberFormat="1" applyFont="1" applyFill="1" applyBorder="1" applyAlignment="1">
      <alignment horizontal="center" vertical="center" shrinkToFit="1"/>
    </xf>
    <xf numFmtId="0" fontId="7" fillId="0" borderId="39" xfId="0" applyNumberFormat="1"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7" fillId="0" borderId="26" xfId="0"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7" fillId="0" borderId="56" xfId="0" applyFont="1" applyFill="1" applyBorder="1" applyAlignment="1">
      <alignment horizontal="center" vertical="center" wrapText="1"/>
    </xf>
    <xf numFmtId="0" fontId="5" fillId="0" borderId="139" xfId="0" applyFont="1" applyBorder="1" applyAlignment="1">
      <alignment horizontal="center" vertical="center" shrinkToFit="1"/>
    </xf>
    <xf numFmtId="0" fontId="5" fillId="0" borderId="83" xfId="0" applyFont="1" applyBorder="1" applyAlignment="1">
      <alignment horizontal="left" vertical="center"/>
    </xf>
    <xf numFmtId="1" fontId="2" fillId="0" borderId="93" xfId="0" applyNumberFormat="1" applyFont="1" applyBorder="1" applyAlignment="1">
      <alignment horizontal="center" vertical="center" shrinkToFit="1"/>
    </xf>
    <xf numFmtId="0" fontId="2" fillId="0" borderId="114" xfId="0" applyFont="1" applyBorder="1" applyAlignment="1">
      <alignment horizontal="center" vertical="center" shrinkToFit="1"/>
    </xf>
    <xf numFmtId="49" fontId="2" fillId="15" borderId="121" xfId="2" applyNumberFormat="1" applyFont="1" applyFill="1" applyBorder="1" applyAlignment="1">
      <alignment horizontal="center" vertical="center"/>
    </xf>
    <xf numFmtId="164" fontId="2" fillId="0" borderId="121" xfId="0" applyNumberFormat="1" applyFont="1" applyBorder="1" applyAlignment="1">
      <alignment horizontal="center" vertical="center"/>
    </xf>
    <xf numFmtId="0" fontId="2" fillId="0" borderId="122" xfId="0" quotePrefix="1" applyFont="1" applyFill="1" applyBorder="1" applyAlignment="1">
      <alignment horizontal="center" vertical="center"/>
    </xf>
    <xf numFmtId="164" fontId="2" fillId="12" borderId="121" xfId="0" applyNumberFormat="1" applyFont="1" applyFill="1" applyBorder="1" applyAlignment="1">
      <alignment horizontal="center" vertical="center"/>
    </xf>
    <xf numFmtId="164" fontId="5" fillId="12" borderId="121" xfId="0" applyNumberFormat="1" applyFont="1" applyFill="1" applyBorder="1" applyAlignment="1">
      <alignment horizontal="center" vertical="center"/>
    </xf>
    <xf numFmtId="1" fontId="2" fillId="12" borderId="123" xfId="0" applyNumberFormat="1" applyFont="1" applyFill="1" applyBorder="1" applyAlignment="1">
      <alignment horizontal="center" vertical="center"/>
    </xf>
    <xf numFmtId="0" fontId="2" fillId="0" borderId="116" xfId="0" quotePrefix="1" applyFont="1" applyFill="1" applyBorder="1" applyAlignment="1">
      <alignment horizontal="center" vertical="center" wrapText="1"/>
    </xf>
    <xf numFmtId="0" fontId="2" fillId="0" borderId="121" xfId="0" quotePrefix="1" applyFont="1" applyFill="1" applyBorder="1" applyAlignment="1">
      <alignment horizontal="center" vertical="center" wrapText="1"/>
    </xf>
    <xf numFmtId="0" fontId="2" fillId="0" borderId="112" xfId="0" quotePrefix="1" applyFont="1" applyFill="1" applyBorder="1" applyAlignment="1">
      <alignment horizontal="center" vertical="center" wrapText="1"/>
    </xf>
    <xf numFmtId="0" fontId="2" fillId="0" borderId="83" xfId="0" quotePrefix="1" applyFont="1" applyFill="1" applyBorder="1" applyAlignment="1">
      <alignment horizontal="center" vertical="center" wrapText="1"/>
    </xf>
    <xf numFmtId="1" fontId="2" fillId="0" borderId="40" xfId="0" applyNumberFormat="1" applyFont="1" applyFill="1" applyBorder="1" applyAlignment="1">
      <alignment horizontal="center" vertical="center"/>
    </xf>
    <xf numFmtId="0" fontId="7" fillId="0" borderId="49" xfId="0" applyFont="1" applyFill="1" applyBorder="1" applyAlignment="1">
      <alignment horizontal="center" vertical="center" shrinkToFit="1"/>
    </xf>
    <xf numFmtId="0" fontId="7" fillId="0" borderId="79" xfId="0" applyFont="1" applyFill="1" applyBorder="1" applyAlignment="1">
      <alignment horizontal="center" vertical="center"/>
    </xf>
    <xf numFmtId="1" fontId="7" fillId="0" borderId="79" xfId="0" applyNumberFormat="1" applyFont="1" applyFill="1" applyBorder="1" applyAlignment="1">
      <alignment horizontal="center" vertical="center"/>
    </xf>
    <xf numFmtId="0" fontId="35" fillId="9" borderId="129" xfId="2" applyNumberFormat="1" applyFont="1" applyFill="1" applyBorder="1" applyAlignment="1">
      <alignment horizontal="center" vertical="center" shrinkToFit="1"/>
    </xf>
    <xf numFmtId="0" fontId="65" fillId="0" borderId="34" xfId="0" applyFont="1" applyBorder="1" applyAlignment="1">
      <alignment horizontal="centerContinuous" vertical="center"/>
    </xf>
    <xf numFmtId="0" fontId="66" fillId="0" borderId="34" xfId="0" applyFont="1" applyBorder="1" applyAlignment="1">
      <alignment horizontal="centerContinuous"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5" xfId="0" quotePrefix="1" applyFont="1" applyBorder="1" applyAlignment="1">
      <alignment horizontal="center" vertical="center"/>
    </xf>
    <xf numFmtId="9" fontId="2" fillId="0" borderId="25" xfId="0" applyNumberFormat="1" applyFont="1" applyBorder="1" applyAlignment="1">
      <alignment horizontal="center" vertical="center"/>
    </xf>
    <xf numFmtId="164" fontId="2" fillId="0" borderId="25" xfId="0" applyNumberFormat="1" applyFont="1" applyFill="1" applyBorder="1" applyAlignment="1">
      <alignment horizontal="center" vertical="center"/>
    </xf>
    <xf numFmtId="164" fontId="2" fillId="0" borderId="26" xfId="0" applyNumberFormat="1" applyFont="1" applyFill="1" applyBorder="1" applyAlignment="1">
      <alignment horizontal="centerContinuous" vertical="center"/>
    </xf>
    <xf numFmtId="164" fontId="5" fillId="0" borderId="0" xfId="0" applyNumberFormat="1" applyFont="1" applyFill="1" applyBorder="1" applyAlignment="1">
      <alignment horizontal="centerContinuous" vertical="center"/>
    </xf>
    <xf numFmtId="0" fontId="5" fillId="0" borderId="2" xfId="0" quotePrefix="1" applyFont="1" applyFill="1" applyBorder="1" applyAlignment="1">
      <alignment horizontal="centerContinuous" vertical="center"/>
    </xf>
    <xf numFmtId="164" fontId="2" fillId="0" borderId="56" xfId="0" applyNumberFormat="1" applyFont="1" applyBorder="1" applyAlignment="1">
      <alignment horizontal="centerContinuous" vertical="center"/>
    </xf>
    <xf numFmtId="0" fontId="2" fillId="0" borderId="140" xfId="0" applyFont="1" applyBorder="1" applyAlignment="1">
      <alignment horizontal="center" vertical="center"/>
    </xf>
    <xf numFmtId="0" fontId="2" fillId="0" borderId="141" xfId="0" applyFont="1" applyBorder="1" applyAlignment="1">
      <alignment horizontal="center" vertical="center"/>
    </xf>
    <xf numFmtId="0" fontId="2" fillId="0" borderId="141" xfId="0" quotePrefix="1" applyFont="1" applyBorder="1" applyAlignment="1">
      <alignment horizontal="center" vertical="center"/>
    </xf>
    <xf numFmtId="9" fontId="2" fillId="0" borderId="141" xfId="0" applyNumberFormat="1" applyFont="1" applyBorder="1" applyAlignment="1">
      <alignment horizontal="center" vertical="center"/>
    </xf>
    <xf numFmtId="164" fontId="2" fillId="0" borderId="141" xfId="0" applyNumberFormat="1" applyFont="1" applyFill="1" applyBorder="1" applyAlignment="1">
      <alignment horizontal="center" vertical="center"/>
    </xf>
    <xf numFmtId="0" fontId="2" fillId="0" borderId="145" xfId="0" applyFont="1" applyBorder="1" applyAlignment="1">
      <alignment horizontal="center" vertical="center"/>
    </xf>
    <xf numFmtId="0" fontId="2" fillId="0" borderId="146" xfId="0" applyFont="1" applyBorder="1" applyAlignment="1">
      <alignment horizontal="center" vertical="center"/>
    </xf>
    <xf numFmtId="0" fontId="2" fillId="0" borderId="146" xfId="0" quotePrefix="1" applyFont="1" applyBorder="1" applyAlignment="1">
      <alignment horizontal="center" vertical="center"/>
    </xf>
    <xf numFmtId="9" fontId="2" fillId="0" borderId="146" xfId="0" applyNumberFormat="1" applyFont="1" applyBorder="1" applyAlignment="1">
      <alignment horizontal="center" vertical="center"/>
    </xf>
    <xf numFmtId="164" fontId="2" fillId="0" borderId="146" xfId="0" applyNumberFormat="1" applyFont="1" applyFill="1" applyBorder="1" applyAlignment="1">
      <alignment horizontal="center" vertical="center"/>
    </xf>
    <xf numFmtId="164" fontId="2" fillId="0" borderId="147" xfId="0" applyNumberFormat="1" applyFont="1" applyFill="1" applyBorder="1" applyAlignment="1">
      <alignment horizontal="centerContinuous" vertical="center"/>
    </xf>
    <xf numFmtId="164" fontId="5" fillId="0" borderId="127" xfId="0" applyNumberFormat="1" applyFont="1" applyFill="1" applyBorder="1" applyAlignment="1">
      <alignment horizontal="centerContinuous" vertical="center"/>
    </xf>
    <xf numFmtId="0" fontId="5" fillId="0" borderId="148" xfId="0" quotePrefix="1" applyFont="1" applyFill="1" applyBorder="1" applyAlignment="1">
      <alignment horizontal="centerContinuous" vertical="center"/>
    </xf>
    <xf numFmtId="0" fontId="67" fillId="0" borderId="34" xfId="0" applyFont="1" applyBorder="1" applyAlignment="1">
      <alignment horizontal="centerContinuous" vertical="center" wrapText="1"/>
    </xf>
    <xf numFmtId="0" fontId="7" fillId="8" borderId="27" xfId="0" quotePrefix="1" applyNumberFormat="1" applyFont="1" applyFill="1" applyBorder="1" applyAlignment="1">
      <alignment horizontal="center" vertical="center"/>
    </xf>
    <xf numFmtId="0" fontId="68" fillId="21" borderId="3" xfId="0" quotePrefix="1" applyFont="1" applyFill="1" applyBorder="1" applyAlignment="1">
      <alignment horizontal="center" vertical="center"/>
    </xf>
    <xf numFmtId="0" fontId="68" fillId="21" borderId="24" xfId="0" quotePrefix="1" applyFont="1" applyFill="1" applyBorder="1" applyAlignment="1">
      <alignment horizontal="center" vertical="center"/>
    </xf>
    <xf numFmtId="0" fontId="50" fillId="21" borderId="44" xfId="0" applyFont="1" applyFill="1" applyBorder="1" applyAlignment="1">
      <alignment horizontal="center" vertical="center" wrapText="1"/>
    </xf>
    <xf numFmtId="1" fontId="44" fillId="21" borderId="25" xfId="0" applyNumberFormat="1" applyFont="1" applyFill="1" applyBorder="1" applyAlignment="1">
      <alignment horizontal="center" vertical="center" wrapText="1"/>
    </xf>
    <xf numFmtId="1" fontId="44" fillId="21" borderId="54" xfId="0" applyNumberFormat="1" applyFont="1" applyFill="1" applyBorder="1" applyAlignment="1">
      <alignment horizontal="center" vertical="center" wrapText="1"/>
    </xf>
    <xf numFmtId="49" fontId="7" fillId="14" borderId="25" xfId="0" applyNumberFormat="1" applyFont="1" applyFill="1" applyBorder="1" applyAlignment="1">
      <alignment horizontal="center" vertical="center" wrapText="1"/>
    </xf>
    <xf numFmtId="0" fontId="14" fillId="22" borderId="1" xfId="0" applyFont="1" applyFill="1" applyBorder="1" applyAlignment="1">
      <alignment vertical="center"/>
    </xf>
    <xf numFmtId="0" fontId="7" fillId="22" borderId="25" xfId="0" applyNumberFormat="1" applyFont="1" applyFill="1" applyBorder="1" applyAlignment="1">
      <alignment horizontal="center" vertical="center"/>
    </xf>
    <xf numFmtId="49" fontId="23" fillId="22" borderId="25" xfId="0" applyNumberFormat="1" applyFont="1" applyFill="1" applyBorder="1" applyAlignment="1">
      <alignment horizontal="center" vertical="center"/>
    </xf>
    <xf numFmtId="0" fontId="23" fillId="22" borderId="26" xfId="0" applyNumberFormat="1" applyFont="1" applyFill="1" applyBorder="1" applyAlignment="1">
      <alignment horizontal="center" vertical="center"/>
    </xf>
    <xf numFmtId="0" fontId="14" fillId="22" borderId="26" xfId="0" applyNumberFormat="1" applyFont="1" applyFill="1" applyBorder="1" applyAlignment="1">
      <alignment horizontal="center" vertical="center"/>
    </xf>
    <xf numFmtId="49" fontId="7" fillId="22" borderId="26" xfId="0" applyNumberFormat="1" applyFont="1" applyFill="1" applyBorder="1" applyAlignment="1">
      <alignment horizontal="center" vertical="center"/>
    </xf>
    <xf numFmtId="0" fontId="7" fillId="22" borderId="27" xfId="0" quotePrefix="1" applyNumberFormat="1" applyFont="1" applyFill="1" applyBorder="1" applyAlignment="1">
      <alignment horizontal="center" vertical="center"/>
    </xf>
    <xf numFmtId="0" fontId="10" fillId="14" borderId="1" xfId="0" applyFont="1" applyFill="1" applyBorder="1" applyAlignment="1">
      <alignment vertical="center"/>
    </xf>
    <xf numFmtId="49" fontId="27" fillId="14" borderId="25" xfId="0" applyNumberFormat="1" applyFont="1" applyFill="1" applyBorder="1" applyAlignment="1">
      <alignment horizontal="center" vertical="center"/>
    </xf>
    <xf numFmtId="0" fontId="27" fillId="14" borderId="26" xfId="0" applyNumberFormat="1" applyFont="1" applyFill="1" applyBorder="1" applyAlignment="1">
      <alignment horizontal="center" vertical="center"/>
    </xf>
    <xf numFmtId="9" fontId="7" fillId="0" borderId="25" xfId="7" applyFont="1" applyFill="1" applyBorder="1" applyAlignment="1">
      <alignment horizontal="center" vertical="center" shrinkToFit="1"/>
    </xf>
    <xf numFmtId="9" fontId="7" fillId="0" borderId="26" xfId="7" applyFont="1" applyFill="1" applyBorder="1" applyAlignment="1">
      <alignment horizontal="center" vertical="center" shrinkToFit="1"/>
    </xf>
    <xf numFmtId="0" fontId="7" fillId="0" borderId="26" xfId="7" applyNumberFormat="1" applyFont="1" applyFill="1" applyBorder="1" applyAlignment="1">
      <alignment horizontal="center" vertical="center" shrinkToFit="1"/>
    </xf>
    <xf numFmtId="0" fontId="7" fillId="0" borderId="27" xfId="6" applyNumberFormat="1" applyFont="1" applyFill="1" applyBorder="1" applyAlignment="1">
      <alignment horizontal="center" vertical="center" wrapText="1"/>
    </xf>
    <xf numFmtId="0" fontId="7" fillId="0" borderId="27" xfId="0" applyNumberFormat="1" applyFont="1" applyFill="1" applyBorder="1" applyAlignment="1">
      <alignment horizontal="center" vertical="center" shrinkToFit="1"/>
    </xf>
    <xf numFmtId="0" fontId="7" fillId="0" borderId="38" xfId="0" applyNumberFormat="1" applyFont="1" applyFill="1" applyBorder="1" applyAlignment="1">
      <alignment horizontal="center" vertical="center" wrapText="1"/>
    </xf>
    <xf numFmtId="0" fontId="7" fillId="0" borderId="26" xfId="6" applyNumberFormat="1" applyFont="1" applyFill="1" applyBorder="1" applyAlignment="1">
      <alignment horizontal="center" vertical="center"/>
    </xf>
    <xf numFmtId="0" fontId="7" fillId="0" borderId="25" xfId="6"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6" xfId="2" applyNumberFormat="1" applyFont="1" applyBorder="1" applyAlignment="1">
      <alignment horizontal="center" vertical="center" shrinkToFit="1"/>
    </xf>
    <xf numFmtId="0" fontId="7" fillId="0" borderId="27" xfId="6" applyNumberFormat="1" applyFont="1" applyBorder="1" applyAlignment="1">
      <alignment horizontal="center" vertical="center" wrapText="1"/>
    </xf>
    <xf numFmtId="0" fontId="27" fillId="0" borderId="40" xfId="0" applyFont="1" applyBorder="1" applyAlignment="1">
      <alignment horizontal="centerContinuous"/>
    </xf>
    <xf numFmtId="0" fontId="2" fillId="19" borderId="50" xfId="0" applyFont="1" applyFill="1" applyBorder="1" applyAlignment="1">
      <alignment horizontal="left" vertical="center"/>
    </xf>
    <xf numFmtId="164" fontId="2" fillId="0" borderId="142" xfId="0" applyNumberFormat="1" applyFont="1" applyFill="1" applyBorder="1" applyAlignment="1">
      <alignment horizontal="centerContinuous" vertical="center"/>
    </xf>
    <xf numFmtId="164" fontId="5" fillId="0" borderId="143" xfId="0" applyNumberFormat="1" applyFont="1" applyFill="1" applyBorder="1" applyAlignment="1">
      <alignment horizontal="centerContinuous" vertical="center"/>
    </xf>
    <xf numFmtId="0" fontId="5" fillId="0" borderId="144" xfId="0" quotePrefix="1" applyFont="1" applyFill="1" applyBorder="1" applyAlignment="1">
      <alignment horizontal="centerContinuous" vertical="center"/>
    </xf>
    <xf numFmtId="0" fontId="5" fillId="0" borderId="0" xfId="0" applyFont="1" applyFill="1" applyBorder="1" applyAlignment="1">
      <alignment vertical="center"/>
    </xf>
    <xf numFmtId="0" fontId="6" fillId="4" borderId="137" xfId="0" applyFont="1" applyFill="1" applyBorder="1" applyAlignment="1">
      <alignment horizontal="right" vertical="center"/>
    </xf>
    <xf numFmtId="3" fontId="7" fillId="0" borderId="29" xfId="0" applyNumberFormat="1" applyFont="1" applyFill="1" applyBorder="1" applyAlignment="1">
      <alignment horizontal="center" vertical="center"/>
    </xf>
    <xf numFmtId="49" fontId="26" fillId="0" borderId="24" xfId="0" applyNumberFormat="1" applyFont="1" applyFill="1" applyBorder="1" applyAlignment="1">
      <alignment horizontal="center" vertical="center"/>
    </xf>
    <xf numFmtId="1" fontId="7" fillId="19" borderId="58" xfId="0" applyNumberFormat="1" applyFont="1" applyFill="1" applyBorder="1" applyAlignment="1">
      <alignment horizontal="centerContinuous" vertical="center"/>
    </xf>
    <xf numFmtId="0" fontId="64" fillId="19" borderId="110" xfId="0" applyNumberFormat="1" applyFont="1" applyFill="1" applyBorder="1" applyAlignment="1">
      <alignment horizontal="centerContinuous" vertical="center"/>
    </xf>
    <xf numFmtId="1" fontId="7" fillId="19" borderId="28" xfId="0" applyNumberFormat="1" applyFont="1" applyFill="1" applyBorder="1" applyAlignment="1">
      <alignment horizontal="center" vertical="center"/>
    </xf>
    <xf numFmtId="1" fontId="7" fillId="19" borderId="29" xfId="0" applyNumberFormat="1" applyFont="1" applyFill="1" applyBorder="1" applyAlignment="1">
      <alignment horizontal="center" vertical="center"/>
    </xf>
    <xf numFmtId="0" fontId="4" fillId="0" borderId="89" xfId="0" applyFont="1" applyBorder="1" applyAlignment="1">
      <alignment horizontal="center" vertical="center"/>
    </xf>
    <xf numFmtId="49" fontId="49" fillId="17" borderId="126" xfId="0" applyNumberFormat="1" applyFont="1" applyFill="1" applyBorder="1" applyAlignment="1">
      <alignment horizontal="center" vertical="center"/>
    </xf>
    <xf numFmtId="49" fontId="4" fillId="0" borderId="89" xfId="0" applyNumberFormat="1" applyFont="1" applyFill="1" applyBorder="1" applyAlignment="1">
      <alignment horizontal="center" vertical="center"/>
    </xf>
    <xf numFmtId="0" fontId="49" fillId="17" borderId="89" xfId="0" applyNumberFormat="1" applyFont="1" applyFill="1" applyBorder="1" applyAlignment="1">
      <alignment horizontal="center" vertical="center"/>
    </xf>
    <xf numFmtId="0" fontId="4" fillId="0" borderId="89" xfId="0" applyNumberFormat="1" applyFont="1" applyFill="1" applyBorder="1" applyAlignment="1">
      <alignment horizontal="center" vertical="center"/>
    </xf>
    <xf numFmtId="49" fontId="4" fillId="0" borderId="49" xfId="0" applyNumberFormat="1" applyFont="1" applyFill="1" applyBorder="1" applyAlignment="1">
      <alignment horizontal="center" vertical="center"/>
    </xf>
    <xf numFmtId="0" fontId="7" fillId="0" borderId="12" xfId="0" applyFont="1" applyFill="1" applyBorder="1" applyAlignment="1">
      <alignment horizontal="center" vertical="center"/>
    </xf>
    <xf numFmtId="0" fontId="7" fillId="0" borderId="75" xfId="0" applyNumberFormat="1" applyFont="1" applyBorder="1" applyAlignment="1">
      <alignment horizontal="center" vertical="center"/>
    </xf>
    <xf numFmtId="0" fontId="69" fillId="2" borderId="73" xfId="0" applyFont="1" applyFill="1" applyBorder="1" applyAlignment="1">
      <alignment horizontal="right" vertical="center"/>
    </xf>
    <xf numFmtId="0" fontId="69" fillId="2" borderId="71" xfId="0" applyFont="1" applyFill="1" applyBorder="1" applyAlignment="1">
      <alignment horizontal="left" vertical="center"/>
    </xf>
    <xf numFmtId="0" fontId="5" fillId="0" borderId="0" xfId="0" applyFont="1" applyBorder="1" applyAlignment="1">
      <alignment horizontal="center" vertical="center" wrapText="1"/>
    </xf>
  </cellXfs>
  <cellStyles count="11">
    <cellStyle name="Excel Built-in Normal" xfId="4"/>
    <cellStyle name="Hyperlink" xfId="1" builtinId="8"/>
    <cellStyle name="Normal" xfId="0" builtinId="0"/>
    <cellStyle name="Normal 2" xfId="5"/>
    <cellStyle name="Normal 2 2" xfId="6"/>
    <cellStyle name="Normal 3" xfId="9"/>
    <cellStyle name="Normal 4" xfId="3"/>
    <cellStyle name="Normal 5" xfId="10"/>
    <cellStyle name="Percent" xfId="2" builtinId="5"/>
    <cellStyle name="Percent 2" xfId="7"/>
    <cellStyle name="Percent 2 2" xfId="8"/>
  </cellStyles>
  <dxfs count="44">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9966FF"/>
      <color rgb="FF9933FF"/>
      <color rgb="FF0000FF"/>
      <color rgb="FFFF0000"/>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53340</xdr:colOff>
      <xdr:row>1</xdr:row>
      <xdr:rowOff>38100</xdr:rowOff>
    </xdr:from>
    <xdr:to>
      <xdr:col>6</xdr:col>
      <xdr:colOff>1196339</xdr:colOff>
      <xdr:row>12</xdr:row>
      <xdr:rowOff>187379</xdr:rowOff>
    </xdr:to>
    <xdr:pic>
      <xdr:nvPicPr>
        <xdr:cNvPr id="6" name="Picture 5" descr="https://s-media-cache-ak0.pinimg.com/originals/6a/21/31/6a2131638212fce66512122be1702a65.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2920" y="411480"/>
          <a:ext cx="2392679" cy="2534339"/>
        </a:xfrm>
        <a:prstGeom prst="rect">
          <a:avLst/>
        </a:prstGeom>
        <a:noFill/>
        <a:ln w="31750" cmpd="dbl">
          <a:solidFill>
            <a:srgbClr val="FF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38100</xdr:colOff>
      <xdr:row>16</xdr:row>
      <xdr:rowOff>30480</xdr:rowOff>
    </xdr:from>
    <xdr:to>
      <xdr:col>7</xdr:col>
      <xdr:colOff>0</xdr:colOff>
      <xdr:row>27</xdr:row>
      <xdr:rowOff>106680</xdr:rowOff>
    </xdr:to>
    <xdr:sp macro="" textlink="">
      <xdr:nvSpPr>
        <xdr:cNvPr id="3" name="TextBox 2"/>
        <xdr:cNvSpPr txBox="1"/>
      </xdr:nvSpPr>
      <xdr:spPr>
        <a:xfrm>
          <a:off x="38100" y="3413760"/>
          <a:ext cx="6720840" cy="2255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a:latin typeface="Times New Roman" panose="02020603050405020304" pitchFamily="18" charset="0"/>
              <a:cs typeface="Times New Roman" panose="02020603050405020304" pitchFamily="18" charset="0"/>
            </a:rPr>
            <a:t>Faith is a human woman with blond hair often tied back in a braid and intense blue eyes that seem to see more than you would like. She is well muscled, and usually armored in full plate.  She even sleeps in her armor and it does not seem to bother her.  A shield floats</a:t>
          </a:r>
          <a:r>
            <a:rPr lang="en-US" sz="1200" baseline="0">
              <a:latin typeface="Times New Roman" panose="02020603050405020304" pitchFamily="18" charset="0"/>
              <a:cs typeface="Times New Roman" panose="02020603050405020304" pitchFamily="18" charset="0"/>
            </a:rPr>
            <a:t> </a:t>
          </a:r>
          <a:r>
            <a:rPr lang="en-US" sz="1200">
              <a:latin typeface="Times New Roman" panose="02020603050405020304" pitchFamily="18" charset="0"/>
              <a:cs typeface="Times New Roman" panose="02020603050405020304" pitchFamily="18" charset="0"/>
            </a:rPr>
            <a:t>by her right arm, emblazoned with the red silhouette</a:t>
          </a:r>
          <a:r>
            <a:rPr lang="en-US" sz="1200" baseline="0">
              <a:latin typeface="Times New Roman" panose="02020603050405020304" pitchFamily="18" charset="0"/>
              <a:cs typeface="Times New Roman" panose="02020603050405020304" pitchFamily="18" charset="0"/>
            </a:rPr>
            <a:t> of a long-haired woman</a:t>
          </a:r>
          <a:r>
            <a:rPr lang="en-US" sz="1200">
              <a:latin typeface="Times New Roman" panose="02020603050405020304" pitchFamily="18" charset="0"/>
              <a:cs typeface="Times New Roman" panose="02020603050405020304" pitchFamily="18" charset="0"/>
            </a:rPr>
            <a:t> facing out.  She wears a silver holy symbol around her neck with a similar, redhaired crest upon it.  The greatsword on her back seems polished and well cared for.  She also carries a bow and heavy flail made of silver.  Her backpack seems to hold much more than it ought to.</a:t>
          </a:r>
        </a:p>
        <a:p>
          <a:pPr algn="just"/>
          <a:endParaRPr lang="en-US" sz="1200">
            <a:latin typeface="Times New Roman" panose="02020603050405020304" pitchFamily="18" charset="0"/>
            <a:cs typeface="Times New Roman" panose="02020603050405020304" pitchFamily="18" charset="0"/>
          </a:endParaRPr>
        </a:p>
        <a:p>
          <a:pPr algn="just"/>
          <a:r>
            <a:rPr lang="en-US" sz="1200">
              <a:latin typeface="Times New Roman" panose="02020603050405020304" pitchFamily="18" charset="0"/>
              <a:cs typeface="Times New Roman" panose="02020603050405020304" pitchFamily="18" charset="0"/>
            </a:rPr>
            <a:t>Faith does not hide the fact that she is a Templar of Sune.  She does not remember how she got to the Gauntlet, but has found her way free and found her footing in this strange new place.  She is content to travel around helping those who need it and she works hard to put down evil outsiders when she can.  She is mostly serious, seldom laughing or joking, but knows how to speak well and convincing others of doing the right thing.</a:t>
          </a:r>
        </a:p>
      </xdr:txBody>
    </xdr:sp>
    <xdr:clientData/>
  </xdr:twoCellAnchor>
  <xdr:twoCellAnchor>
    <xdr:from>
      <xdr:col>0</xdr:col>
      <xdr:colOff>45720</xdr:colOff>
      <xdr:row>13</xdr:row>
      <xdr:rowOff>45720</xdr:rowOff>
    </xdr:from>
    <xdr:to>
      <xdr:col>6</xdr:col>
      <xdr:colOff>1242060</xdr:colOff>
      <xdr:row>15</xdr:row>
      <xdr:rowOff>175260</xdr:rowOff>
    </xdr:to>
    <xdr:sp macro="" textlink="">
      <xdr:nvSpPr>
        <xdr:cNvPr id="2" name="TextBox 1"/>
        <xdr:cNvSpPr txBox="1"/>
      </xdr:nvSpPr>
      <xdr:spPr>
        <a:xfrm>
          <a:off x="45720" y="3025140"/>
          <a:ext cx="6705600" cy="335280"/>
        </a:xfrm>
        <a:prstGeom prst="rect">
          <a:avLst/>
        </a:prstGeom>
        <a:solidFill>
          <a:srgbClr val="0000FF">
            <a:alpha val="61000"/>
          </a:srgbClr>
        </a:solidFill>
        <a:ln w="44450" cmpd="dbl">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US" sz="1200" b="1" baseline="0">
              <a:solidFill>
                <a:schemeClr val="bg1"/>
              </a:solidFill>
              <a:latin typeface="Times New Roman" panose="02020603050405020304" pitchFamily="18" charset="0"/>
              <a:cs typeface="Times New Roman" panose="02020603050405020304" pitchFamily="18" charset="0"/>
            </a:rPr>
            <a:t>Current Effects:   </a:t>
          </a:r>
          <a:r>
            <a:rPr lang="en-US" sz="1200" b="0" i="1" baseline="0">
              <a:solidFill>
                <a:schemeClr val="bg1"/>
              </a:solidFill>
              <a:latin typeface="Times New Roman" panose="02020603050405020304" pitchFamily="18" charset="0"/>
              <a:cs typeface="Times New Roman" panose="02020603050405020304" pitchFamily="18" charset="0"/>
            </a:rPr>
            <a:t>Protection from Evil +2</a:t>
          </a:r>
          <a:endParaRPr lang="en-US" sz="1200" b="1" i="1" baseline="0">
            <a:solidFill>
              <a:schemeClr val="bg1"/>
            </a:solidFill>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9</xdr:col>
      <xdr:colOff>15240</xdr:colOff>
      <xdr:row>5</xdr:row>
      <xdr:rowOff>15240</xdr:rowOff>
    </xdr:from>
    <xdr:to>
      <xdr:col>9</xdr:col>
      <xdr:colOff>2872988</xdr:colOff>
      <xdr:row>22</xdr:row>
      <xdr:rowOff>53658</xdr:rowOff>
    </xdr:to>
    <xdr:pic>
      <xdr:nvPicPr>
        <xdr:cNvPr id="3" name="Picture 2"/>
        <xdr:cNvPicPr>
          <a:picLocks noChangeAspect="1"/>
        </xdr:cNvPicPr>
      </xdr:nvPicPr>
      <xdr:blipFill>
        <a:blip xmlns:r="http://schemas.openxmlformats.org/officeDocument/2006/relationships" r:embed="rId1"/>
        <a:stretch>
          <a:fillRect/>
        </a:stretch>
      </xdr:blipFill>
      <xdr:spPr>
        <a:xfrm>
          <a:off x="4678680" y="1386840"/>
          <a:ext cx="2857748" cy="3665538"/>
        </a:xfrm>
        <a:prstGeom prst="rect">
          <a:avLst/>
        </a:prstGeom>
      </xdr:spPr>
    </xdr:pic>
    <xdr:clientData/>
  </xdr:twoCellAnchor>
  <xdr:twoCellAnchor>
    <xdr:from>
      <xdr:col>9</xdr:col>
      <xdr:colOff>0</xdr:colOff>
      <xdr:row>2</xdr:row>
      <xdr:rowOff>0</xdr:rowOff>
    </xdr:from>
    <xdr:to>
      <xdr:col>9</xdr:col>
      <xdr:colOff>2849880</xdr:colOff>
      <xdr:row>4</xdr:row>
      <xdr:rowOff>190500</xdr:rowOff>
    </xdr:to>
    <xdr:sp macro="" textlink="">
      <xdr:nvSpPr>
        <xdr:cNvPr id="4" name="TextBox 3"/>
        <xdr:cNvSpPr txBox="1"/>
      </xdr:nvSpPr>
      <xdr:spPr>
        <a:xfrm>
          <a:off x="4663440" y="731520"/>
          <a:ext cx="2849880" cy="617220"/>
        </a:xfrm>
        <a:prstGeom prst="rect">
          <a:avLst/>
        </a:prstGeom>
        <a:solidFill>
          <a:srgbClr val="0000FF">
            <a:alpha val="61000"/>
          </a:srgbClr>
        </a:solidFill>
        <a:ln w="44450" cmpd="dbl">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en-US" sz="1200" b="0" i="1" baseline="0">
              <a:solidFill>
                <a:schemeClr val="bg1"/>
              </a:solidFill>
              <a:latin typeface="Times New Roman" panose="02020603050405020304" pitchFamily="18" charset="0"/>
              <a:cs typeface="Times New Roman" panose="02020603050405020304" pitchFamily="18" charset="0"/>
            </a:rPr>
            <a:t>Protection from Evil +2</a:t>
          </a:r>
          <a:endParaRPr lang="en-US" sz="1200" b="1" i="1" baseline="0">
            <a:solidFill>
              <a:schemeClr val="bg1"/>
            </a:solidFill>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0</xdr:colOff>
      <xdr:row>0</xdr:row>
      <xdr:rowOff>0</xdr:rowOff>
    </xdr:to>
    <xdr:sp macro="" textlink="">
      <xdr:nvSpPr>
        <xdr:cNvPr id="18457" name="Rectangle 1"/>
        <xdr:cNvSpPr>
          <a:spLocks noChangeArrowheads="1"/>
        </xdr:cNvSpPr>
      </xdr:nvSpPr>
      <xdr:spPr bwMode="auto">
        <a:xfrm>
          <a:off x="60674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
        <xdr:cNvSpPr>
          <a:spLocks noChangeArrowheads="1"/>
        </xdr:cNvSpPr>
      </xdr:nvSpPr>
      <xdr:spPr bwMode="auto">
        <a:xfrm>
          <a:off x="839724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2478405</xdr:colOff>
      <xdr:row>1</xdr:row>
      <xdr:rowOff>123825</xdr:rowOff>
    </xdr:from>
    <xdr:to>
      <xdr:col>1</xdr:col>
      <xdr:colOff>291465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2" name="Text Box 1"/>
        <xdr:cNvSpPr txBox="1">
          <a:spLocks noChangeArrowheads="1"/>
        </xdr:cNvSpPr>
      </xdr:nvSpPr>
      <xdr:spPr bwMode="auto">
        <a:xfrm>
          <a:off x="0" y="2114550"/>
          <a:ext cx="4295775" cy="638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Listen 5, Spot 4.</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2 hooves +8/+8 (1d6+4) and bite +3 (1d4+2); grapple +13</a:t>
          </a:r>
        </a:p>
      </xdr:txBody>
    </xdr:sp>
    <xdr:clientData/>
  </xdr:twoCellAnchor>
  <xdr:twoCellAnchor>
    <xdr:from>
      <xdr:col>5</xdr:col>
      <xdr:colOff>9525</xdr:colOff>
      <xdr:row>5</xdr:row>
      <xdr:rowOff>9525</xdr:rowOff>
    </xdr:from>
    <xdr:to>
      <xdr:col>6</xdr:col>
      <xdr:colOff>1333500</xdr:colOff>
      <xdr:row>11</xdr:row>
      <xdr:rowOff>209550</xdr:rowOff>
    </xdr:to>
    <xdr:sp macro="" textlink="">
      <xdr:nvSpPr>
        <xdr:cNvPr id="3" name="Text Box 2"/>
        <xdr:cNvSpPr txBox="1">
          <a:spLocks noChangeArrowheads="1"/>
        </xdr:cNvSpPr>
      </xdr:nvSpPr>
      <xdr:spPr bwMode="auto">
        <a:xfrm>
          <a:off x="4314825" y="1257300"/>
          <a:ext cx="2457450" cy="14859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Equipment:  </a:t>
          </a:r>
          <a:r>
            <a:rPr lang="en-US" sz="1200" b="0" i="0" u="none" strike="noStrike" baseline="0">
              <a:solidFill>
                <a:srgbClr val="000000"/>
              </a:solidFill>
              <a:latin typeface="Times New Roman" pitchFamily="18" charset="0"/>
              <a:cs typeface="Times New Roman" pitchFamily="18" charset="0"/>
            </a:rPr>
            <a:t>Chainmail barding, military saddle, bit and bridle.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ptalan@ymail.com?subject=Nexu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4"/>
  <sheetViews>
    <sheetView showGridLines="0" tabSelected="1" workbookViewId="0"/>
  </sheetViews>
  <sheetFormatPr defaultColWidth="13" defaultRowHeight="15.6" x14ac:dyDescent="0.3"/>
  <cols>
    <col min="1" max="1" width="14.3984375" style="191" bestFit="1" customWidth="1"/>
    <col min="2" max="2" width="12" style="80" customWidth="1"/>
    <col min="3" max="3" width="6.69921875" style="80" customWidth="1"/>
    <col min="4" max="4" width="13.69921875" style="191" bestFit="1" customWidth="1"/>
    <col min="5" max="5" width="10.8984375" style="80" bestFit="1" customWidth="1"/>
    <col min="6" max="6" width="16.3984375" style="191" customWidth="1"/>
    <col min="7" max="7" width="16.3984375" style="80" customWidth="1"/>
    <col min="8" max="16384" width="13" style="19"/>
  </cols>
  <sheetData>
    <row r="1" spans="1:7" ht="29.4" thickTop="1" thickBot="1" x14ac:dyDescent="0.35">
      <c r="A1" s="583" t="s">
        <v>170</v>
      </c>
      <c r="B1" s="584" t="s">
        <v>171</v>
      </c>
      <c r="C1" s="197"/>
      <c r="D1" s="198"/>
      <c r="E1" s="199"/>
      <c r="F1" s="198"/>
      <c r="G1" s="200" t="s">
        <v>313</v>
      </c>
    </row>
    <row r="2" spans="1:7" ht="17.399999999999999" thickTop="1" x14ac:dyDescent="0.3">
      <c r="A2" s="201" t="s">
        <v>0</v>
      </c>
      <c r="B2" s="202" t="s">
        <v>88</v>
      </c>
      <c r="C2" s="202"/>
      <c r="D2" s="203" t="s">
        <v>1</v>
      </c>
      <c r="E2" s="204" t="s">
        <v>152</v>
      </c>
      <c r="F2" s="205"/>
      <c r="G2" s="206"/>
    </row>
    <row r="3" spans="1:7" ht="16.8" x14ac:dyDescent="0.3">
      <c r="A3" s="201" t="s">
        <v>65</v>
      </c>
      <c r="B3" s="202" t="s">
        <v>386</v>
      </c>
      <c r="C3" s="202"/>
      <c r="D3" s="203" t="s">
        <v>66</v>
      </c>
      <c r="E3" s="204">
        <v>5</v>
      </c>
      <c r="F3" s="203"/>
      <c r="G3" s="206"/>
    </row>
    <row r="4" spans="1:7" ht="16.8" x14ac:dyDescent="0.3">
      <c r="A4" s="201" t="s">
        <v>65</v>
      </c>
      <c r="B4" s="202" t="s">
        <v>172</v>
      </c>
      <c r="C4" s="202"/>
      <c r="D4" s="203" t="s">
        <v>66</v>
      </c>
      <c r="E4" s="204">
        <v>6</v>
      </c>
      <c r="F4" s="203"/>
      <c r="G4" s="206"/>
    </row>
    <row r="5" spans="1:7" ht="17.399999999999999" thickBot="1" x14ac:dyDescent="0.35">
      <c r="A5" s="201" t="s">
        <v>67</v>
      </c>
      <c r="B5" s="202" t="s">
        <v>385</v>
      </c>
      <c r="C5" s="202"/>
      <c r="D5" s="203" t="s">
        <v>196</v>
      </c>
      <c r="E5" s="204" t="s">
        <v>384</v>
      </c>
      <c r="F5" s="203"/>
      <c r="G5" s="206"/>
    </row>
    <row r="6" spans="1:7" ht="17.399999999999999" thickTop="1" x14ac:dyDescent="0.3">
      <c r="A6" s="207" t="s">
        <v>96</v>
      </c>
      <c r="B6" s="571">
        <f>E3+E4+1</f>
        <v>12</v>
      </c>
      <c r="C6" s="572"/>
      <c r="D6" s="244" t="s">
        <v>397</v>
      </c>
      <c r="E6" s="582" t="str">
        <f>Martial!F26</f>
        <v>20’</v>
      </c>
      <c r="F6" s="208"/>
      <c r="G6" s="206"/>
    </row>
    <row r="7" spans="1:7" ht="17.399999999999999" thickBot="1" x14ac:dyDescent="0.35">
      <c r="A7" s="473" t="s">
        <v>198</v>
      </c>
      <c r="B7" s="474" t="str">
        <f>C9</f>
        <v>+1</v>
      </c>
      <c r="C7" s="475"/>
      <c r="D7" s="568" t="s">
        <v>392</v>
      </c>
      <c r="E7" s="569">
        <v>66000</v>
      </c>
      <c r="F7" s="208"/>
      <c r="G7" s="206"/>
    </row>
    <row r="8" spans="1:7" ht="17.399999999999999" thickTop="1" x14ac:dyDescent="0.3">
      <c r="A8" s="209" t="s">
        <v>2</v>
      </c>
      <c r="B8" s="581">
        <f>16</f>
        <v>16</v>
      </c>
      <c r="C8" s="210" t="str">
        <f t="shared" ref="C8:C13" si="0">IF(B8&gt;9.9,CONCATENATE("+",ROUNDDOWN((B8-10)/2,0)),ROUNDUP((B8-10)/2,0))</f>
        <v>+3</v>
      </c>
      <c r="D8" s="211" t="s">
        <v>75</v>
      </c>
      <c r="E8" s="243" t="s">
        <v>174</v>
      </c>
      <c r="F8" s="208"/>
      <c r="G8" s="206"/>
    </row>
    <row r="9" spans="1:7" ht="16.8" x14ac:dyDescent="0.3">
      <c r="A9" s="212" t="s">
        <v>3</v>
      </c>
      <c r="B9" s="535">
        <f>10+2</f>
        <v>12</v>
      </c>
      <c r="C9" s="213" t="str">
        <f t="shared" si="0"/>
        <v>+1</v>
      </c>
      <c r="D9" s="214" t="s">
        <v>76</v>
      </c>
      <c r="E9" s="215">
        <f>SUM(Martial!G3:G33,Equipment!C3:C15)</f>
        <v>93.2</v>
      </c>
      <c r="F9" s="208"/>
      <c r="G9" s="206"/>
    </row>
    <row r="10" spans="1:7" ht="16.8" x14ac:dyDescent="0.3">
      <c r="A10" s="216" t="s">
        <v>14</v>
      </c>
      <c r="B10" s="217">
        <f>14-1</f>
        <v>13</v>
      </c>
      <c r="C10" s="218" t="str">
        <f t="shared" si="0"/>
        <v>+1</v>
      </c>
      <c r="D10" s="219" t="s">
        <v>16</v>
      </c>
      <c r="E10" s="242">
        <f>ROUNDUP(((E3*10)*0.75)+((E4*10)*0.75)+((E3+E4)*C10),0)+(E3+E4)+11</f>
        <v>116</v>
      </c>
      <c r="F10" s="208"/>
      <c r="G10" s="206"/>
    </row>
    <row r="11" spans="1:7" ht="16.8" x14ac:dyDescent="0.3">
      <c r="A11" s="220" t="s">
        <v>15</v>
      </c>
      <c r="B11" s="217">
        <v>10</v>
      </c>
      <c r="C11" s="213" t="str">
        <f t="shared" si="0"/>
        <v>+0</v>
      </c>
      <c r="D11" s="222" t="s">
        <v>95</v>
      </c>
      <c r="E11" s="573">
        <f>10+C9+1</f>
        <v>12</v>
      </c>
      <c r="F11" s="201"/>
      <c r="G11" s="206"/>
    </row>
    <row r="12" spans="1:7" ht="16.8" x14ac:dyDescent="0.3">
      <c r="A12" s="221" t="s">
        <v>17</v>
      </c>
      <c r="B12" s="535">
        <f>14+2</f>
        <v>16</v>
      </c>
      <c r="C12" s="213" t="str">
        <f t="shared" si="0"/>
        <v>+3</v>
      </c>
      <c r="D12" s="222" t="s">
        <v>173</v>
      </c>
      <c r="E12" s="573">
        <f>E13-C9</f>
        <v>25</v>
      </c>
      <c r="F12" s="208"/>
      <c r="G12" s="206"/>
    </row>
    <row r="13" spans="1:7" ht="17.399999999999999" thickBot="1" x14ac:dyDescent="0.35">
      <c r="A13" s="223" t="s">
        <v>13</v>
      </c>
      <c r="B13" s="536">
        <f>14+2</f>
        <v>16</v>
      </c>
      <c r="C13" s="570" t="str">
        <f t="shared" si="0"/>
        <v>+3</v>
      </c>
      <c r="D13" s="224" t="s">
        <v>393</v>
      </c>
      <c r="E13" s="574">
        <f>E11+SUM(Martial!B26:B29)</f>
        <v>26</v>
      </c>
      <c r="F13" s="227"/>
      <c r="G13" s="228"/>
    </row>
    <row r="14" spans="1:7" ht="16.2" thickTop="1" x14ac:dyDescent="0.3"/>
  </sheetData>
  <phoneticPr fontId="0" type="noConversion"/>
  <conditionalFormatting sqref="E9">
    <cfRule type="cellIs" dxfId="43" priority="4" stopIfTrue="1" operator="greaterThan">
      <formula>763</formula>
    </cfRule>
    <cfRule type="cellIs" dxfId="42" priority="5" stopIfTrue="1" operator="between">
      <formula>43</formula>
      <formula>86</formula>
    </cfRule>
  </conditionalFormatting>
  <hyperlinks>
    <hyperlink ref="G1" r:id="rId1"/>
  </hyperlinks>
  <printOptions gridLinesSet="0"/>
  <pageMargins left="0.25" right="0.25"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8"/>
  <sheetViews>
    <sheetView showGridLines="0" workbookViewId="0">
      <pane ySplit="2" topLeftCell="A3" activePane="bottomLeft" state="frozen"/>
      <selection pane="bottomLeft" activeCell="A3" sqref="A3"/>
    </sheetView>
  </sheetViews>
  <sheetFormatPr defaultColWidth="13" defaultRowHeight="15.6" x14ac:dyDescent="0.3"/>
  <cols>
    <col min="1" max="1" width="21.3984375" style="2" bestFit="1" customWidth="1"/>
    <col min="2" max="2" width="5.8984375" style="2" bestFit="1" customWidth="1"/>
    <col min="3" max="3" width="7.59765625" style="3" hidden="1" customWidth="1"/>
    <col min="4" max="4" width="5.8984375" style="3" hidden="1" customWidth="1"/>
    <col min="5" max="5" width="9.09765625" style="3" bestFit="1" customWidth="1"/>
    <col min="6" max="6" width="6.69921875" style="3" bestFit="1" customWidth="1"/>
    <col min="7" max="7" width="6" style="9" bestFit="1" customWidth="1"/>
    <col min="8" max="8" width="5.19921875" style="9" bestFit="1" customWidth="1"/>
    <col min="9" max="9" width="6.8984375" style="9" bestFit="1" customWidth="1"/>
    <col min="10" max="10" width="37.796875" style="2" customWidth="1"/>
    <col min="11" max="16384" width="13" style="1"/>
  </cols>
  <sheetData>
    <row r="1" spans="1:10" ht="23.4" thickBot="1" x14ac:dyDescent="0.35">
      <c r="A1" s="89" t="s">
        <v>12</v>
      </c>
      <c r="B1" s="90"/>
      <c r="C1" s="90"/>
      <c r="D1" s="90"/>
      <c r="E1" s="90"/>
      <c r="F1" s="90"/>
      <c r="G1" s="91"/>
      <c r="H1" s="91"/>
      <c r="I1" s="91"/>
      <c r="J1" s="90"/>
    </row>
    <row r="2" spans="1:10" s="16" customFormat="1" ht="34.200000000000003" thickBot="1" x14ac:dyDescent="0.35">
      <c r="A2" s="13" t="s">
        <v>255</v>
      </c>
      <c r="B2" s="14" t="s">
        <v>30</v>
      </c>
      <c r="C2" s="14" t="s">
        <v>37</v>
      </c>
      <c r="D2" s="14" t="s">
        <v>29</v>
      </c>
      <c r="E2" s="14" t="s">
        <v>63</v>
      </c>
      <c r="F2" s="14" t="s">
        <v>38</v>
      </c>
      <c r="G2" s="15" t="s">
        <v>68</v>
      </c>
      <c r="H2" s="10" t="s">
        <v>159</v>
      </c>
      <c r="I2" s="11" t="s">
        <v>85</v>
      </c>
      <c r="J2" s="12" t="s">
        <v>83</v>
      </c>
    </row>
    <row r="3" spans="1:10" s="4" customFormat="1" ht="16.8" x14ac:dyDescent="0.3">
      <c r="A3" s="92" t="s">
        <v>70</v>
      </c>
      <c r="B3" s="93">
        <v>8</v>
      </c>
      <c r="C3" s="93" t="s">
        <v>32</v>
      </c>
      <c r="D3" s="94" t="str">
        <f>IF(C3="Str",'Personal File'!$C$8,IF(C3="Dex",'Personal File'!$C$9,IF(C3="Con",'Personal File'!$C$10,IF(C3="Int",'Personal File'!$C$11,IF(C3="Wis",'Personal File'!$C$12,IF(C3="Cha",'Personal File'!$C$13))))))</f>
        <v>+1</v>
      </c>
      <c r="E3" s="94" t="str">
        <f t="shared" ref="E3" si="0">CONCATENATE(C3," (",D3,")")</f>
        <v>Con (+1)</v>
      </c>
      <c r="F3" s="538">
        <f>'Personal File'!C$13+2</f>
        <v>5</v>
      </c>
      <c r="G3" s="96">
        <f t="shared" ref="G3:G43" si="1">B3+D3+F3</f>
        <v>14</v>
      </c>
      <c r="H3" s="97">
        <f t="shared" ref="H3:H5" ca="1" si="2">RANDBETWEEN(1,20)</f>
        <v>16</v>
      </c>
      <c r="I3" s="95">
        <f t="shared" ref="I3" ca="1" si="3">SUM(G3:H3)</f>
        <v>30</v>
      </c>
      <c r="J3" s="326" t="s">
        <v>243</v>
      </c>
    </row>
    <row r="4" spans="1:10" s="4" customFormat="1" ht="16.8" x14ac:dyDescent="0.3">
      <c r="A4" s="98" t="s">
        <v>71</v>
      </c>
      <c r="B4" s="93">
        <v>2</v>
      </c>
      <c r="C4" s="93" t="s">
        <v>35</v>
      </c>
      <c r="D4" s="99" t="str">
        <f>IF(C4="Str",'Personal File'!$C$8,IF(C4="Dex",'Personal File'!$C$9,IF(C4="Con",'Personal File'!$C$10,IF(C4="Int",'Personal File'!$C$11,IF(C4="Wis",'Personal File'!$C$12,IF(C4="Cha",'Personal File'!$C$13))))))</f>
        <v>+1</v>
      </c>
      <c r="E4" s="100" t="str">
        <f t="shared" ref="E4:E5" si="4">CONCATENATE(C4," (",D4,")")</f>
        <v>Dex (+1)</v>
      </c>
      <c r="F4" s="538">
        <f>'Personal File'!C$13+2</f>
        <v>5</v>
      </c>
      <c r="G4" s="96">
        <f t="shared" si="1"/>
        <v>8</v>
      </c>
      <c r="H4" s="97">
        <f t="shared" ca="1" si="2"/>
        <v>14</v>
      </c>
      <c r="I4" s="101">
        <f t="shared" ref="I4:I43" ca="1" si="5">SUM(G4:H4)</f>
        <v>22</v>
      </c>
      <c r="J4" s="102" t="s">
        <v>243</v>
      </c>
    </row>
    <row r="5" spans="1:10" s="4" customFormat="1" ht="16.8" x14ac:dyDescent="0.3">
      <c r="A5" s="103" t="s">
        <v>72</v>
      </c>
      <c r="B5" s="104">
        <v>5</v>
      </c>
      <c r="C5" s="104" t="s">
        <v>34</v>
      </c>
      <c r="D5" s="105" t="str">
        <f>IF(C5="Str",'Personal File'!$C$8,IF(C5="Dex",'Personal File'!$C$9,IF(C5="Con",'Personal File'!$C$10,IF(C5="Int",'Personal File'!$C$11,IF(C5="Wis",'Personal File'!$C$12,IF(C5="Cha",'Personal File'!$C$13))))))</f>
        <v>+3</v>
      </c>
      <c r="E5" s="106" t="str">
        <f t="shared" si="4"/>
        <v>Wis (+3)</v>
      </c>
      <c r="F5" s="539">
        <f>'Personal File'!C$13+2</f>
        <v>5</v>
      </c>
      <c r="G5" s="108">
        <f t="shared" si="1"/>
        <v>13</v>
      </c>
      <c r="H5" s="109">
        <f t="shared" ca="1" si="2"/>
        <v>4</v>
      </c>
      <c r="I5" s="107">
        <f t="shared" ca="1" si="5"/>
        <v>17</v>
      </c>
      <c r="J5" s="363" t="s">
        <v>243</v>
      </c>
    </row>
    <row r="6" spans="1:10" s="4" customFormat="1" ht="16.8" x14ac:dyDescent="0.3">
      <c r="A6" s="110" t="s">
        <v>39</v>
      </c>
      <c r="B6" s="111">
        <v>0</v>
      </c>
      <c r="C6" s="112" t="s">
        <v>33</v>
      </c>
      <c r="D6" s="113" t="str">
        <f>IF(C6="Str",'Personal File'!$C$8,IF(C6="Dex",'Personal File'!$C$9,IF(C6="Con",'Personal File'!$C$10,IF(C6="Int",'Personal File'!$C$11,IF(C6="Wis",'Personal File'!$C$12,IF(C6="Cha",'Personal File'!$C$13))))))</f>
        <v>+0</v>
      </c>
      <c r="E6" s="113" t="str">
        <f t="shared" ref="E6" si="6">CONCATENATE(C6," (",D6,")")</f>
        <v>Int (+0)</v>
      </c>
      <c r="F6" s="114" t="s">
        <v>64</v>
      </c>
      <c r="G6" s="115">
        <f t="shared" si="1"/>
        <v>0</v>
      </c>
      <c r="H6" s="97">
        <f ca="1">RANDBETWEEN(1,20)</f>
        <v>15</v>
      </c>
      <c r="I6" s="101">
        <f t="shared" ca="1" si="5"/>
        <v>15</v>
      </c>
      <c r="J6" s="177"/>
    </row>
    <row r="7" spans="1:10" s="8" customFormat="1" ht="16.8" x14ac:dyDescent="0.3">
      <c r="A7" s="116" t="s">
        <v>40</v>
      </c>
      <c r="B7" s="111">
        <v>0</v>
      </c>
      <c r="C7" s="117" t="s">
        <v>35</v>
      </c>
      <c r="D7" s="99" t="str">
        <f>IF(C7="Str",'Personal File'!$C$8,IF(C7="Dex",'Personal File'!$C$9,IF(C7="Con",'Personal File'!$C$10,IF(C7="Int",'Personal File'!$C$11,IF(C7="Wis",'Personal File'!$C$12,IF(C7="Cha",'Personal File'!$C$13))))))</f>
        <v>+1</v>
      </c>
      <c r="E7" s="99" t="str">
        <f t="shared" ref="E7:E43" si="7">CONCATENATE(C7," (",D7,")")</f>
        <v>Dex (+1)</v>
      </c>
      <c r="F7" s="467">
        <f>SUM(Martial!$D$26:$D$29)</f>
        <v>-5</v>
      </c>
      <c r="G7" s="115">
        <f t="shared" si="1"/>
        <v>-4</v>
      </c>
      <c r="H7" s="97">
        <f ca="1">RANDBETWEEN(1,20)</f>
        <v>14</v>
      </c>
      <c r="I7" s="101">
        <f t="shared" ca="1" si="5"/>
        <v>10</v>
      </c>
      <c r="J7" s="177"/>
    </row>
    <row r="8" spans="1:10" s="6" customFormat="1" ht="16.8" x14ac:dyDescent="0.3">
      <c r="A8" s="134" t="s">
        <v>41</v>
      </c>
      <c r="B8" s="125">
        <v>7</v>
      </c>
      <c r="C8" s="135" t="s">
        <v>31</v>
      </c>
      <c r="D8" s="136" t="str">
        <f>IF(C8="Str",'Personal File'!$C$8,IF(C8="Dex",'Personal File'!$C$9,IF(C8="Con",'Personal File'!$C$10,IF(C8="Int",'Personal File'!$C$11,IF(C8="Wis",'Personal File'!$C$12,IF(C8="Cha",'Personal File'!$C$13))))))</f>
        <v>+3</v>
      </c>
      <c r="E8" s="137" t="str">
        <f t="shared" si="7"/>
        <v>Cha (+3)</v>
      </c>
      <c r="F8" s="126" t="s">
        <v>64</v>
      </c>
      <c r="G8" s="126">
        <f t="shared" si="1"/>
        <v>10</v>
      </c>
      <c r="H8" s="97">
        <f t="shared" ref="H8:H43" ca="1" si="8">RANDBETWEEN(1,20)</f>
        <v>5</v>
      </c>
      <c r="I8" s="540">
        <f t="shared" ca="1" si="5"/>
        <v>15</v>
      </c>
      <c r="J8" s="438"/>
    </row>
    <row r="9" spans="1:10" s="5" customFormat="1" ht="16.8" x14ac:dyDescent="0.3">
      <c r="A9" s="122" t="s">
        <v>42</v>
      </c>
      <c r="B9" s="111">
        <v>0</v>
      </c>
      <c r="C9" s="123" t="s">
        <v>36</v>
      </c>
      <c r="D9" s="124" t="str">
        <f>IF(C9="Str",'Personal File'!$C$8,IF(C9="Dex",'Personal File'!$C$9,IF(C9="Con",'Personal File'!$C$10,IF(C9="Int",'Personal File'!$C$11,IF(C9="Wis",'Personal File'!$C$12,IF(C9="Cha",'Personal File'!$C$13))))))</f>
        <v>+3</v>
      </c>
      <c r="E9" s="124" t="str">
        <f t="shared" si="7"/>
        <v>Str (+3)</v>
      </c>
      <c r="F9" s="467">
        <f>SUM(Martial!$D$26:$D$29)</f>
        <v>-5</v>
      </c>
      <c r="G9" s="115">
        <f t="shared" si="1"/>
        <v>-2</v>
      </c>
      <c r="H9" s="97">
        <f t="shared" ca="1" si="8"/>
        <v>12</v>
      </c>
      <c r="I9" s="101">
        <f t="shared" ca="1" si="5"/>
        <v>10</v>
      </c>
      <c r="J9" s="177"/>
    </row>
    <row r="10" spans="1:10" s="5" customFormat="1" ht="16.8" x14ac:dyDescent="0.3">
      <c r="A10" s="548" t="s">
        <v>18</v>
      </c>
      <c r="B10" s="125">
        <v>7</v>
      </c>
      <c r="C10" s="549" t="s">
        <v>32</v>
      </c>
      <c r="D10" s="550" t="str">
        <f>IF(C10="Str",'Personal File'!$C$8,IF(C10="Dex",'Personal File'!$C$9,IF(C10="Con",'Personal File'!$C$10,IF(C10="Int",'Personal File'!$C$11,IF(C10="Wis",'Personal File'!$C$12,IF(C10="Cha",'Personal File'!$C$13))))))</f>
        <v>+1</v>
      </c>
      <c r="E10" s="550" t="str">
        <f t="shared" si="7"/>
        <v>Con (+1)</v>
      </c>
      <c r="F10" s="126" t="s">
        <v>64</v>
      </c>
      <c r="G10" s="126">
        <f t="shared" si="1"/>
        <v>8</v>
      </c>
      <c r="H10" s="97">
        <f t="shared" ca="1" si="8"/>
        <v>1</v>
      </c>
      <c r="I10" s="540">
        <f t="shared" ca="1" si="5"/>
        <v>9</v>
      </c>
      <c r="J10" s="438"/>
    </row>
    <row r="11" spans="1:10" s="4" customFormat="1" ht="16.8" x14ac:dyDescent="0.3">
      <c r="A11" s="110" t="s">
        <v>89</v>
      </c>
      <c r="B11" s="111">
        <v>0</v>
      </c>
      <c r="C11" s="112" t="s">
        <v>33</v>
      </c>
      <c r="D11" s="113" t="str">
        <f>IF(C11="Str",'Personal File'!$C$8,IF(C11="Dex",'Personal File'!$C$9,IF(C11="Con",'Personal File'!$C$10,IF(C11="Int",'Personal File'!$C$11,IF(C11="Wis",'Personal File'!$C$12,IF(C11="Cha",'Personal File'!$C$13))))))</f>
        <v>+0</v>
      </c>
      <c r="E11" s="113" t="str">
        <f t="shared" si="7"/>
        <v>Int (+0)</v>
      </c>
      <c r="F11" s="115" t="s">
        <v>64</v>
      </c>
      <c r="G11" s="115">
        <f t="shared" si="1"/>
        <v>0</v>
      </c>
      <c r="H11" s="97">
        <f t="shared" ca="1" si="8"/>
        <v>18</v>
      </c>
      <c r="I11" s="101">
        <f t="shared" ca="1" si="5"/>
        <v>18</v>
      </c>
      <c r="J11" s="177"/>
    </row>
    <row r="12" spans="1:10" s="7" customFormat="1" ht="16.8" x14ac:dyDescent="0.3">
      <c r="A12" s="128" t="s">
        <v>43</v>
      </c>
      <c r="B12" s="129">
        <v>0</v>
      </c>
      <c r="C12" s="130" t="s">
        <v>33</v>
      </c>
      <c r="D12" s="131" t="str">
        <f>IF(C12="Str",'Personal File'!$C$8,IF(C12="Dex",'Personal File'!$C$9,IF(C12="Con",'Personal File'!$C$10,IF(C12="Int",'Personal File'!$C$11,IF(C12="Wis",'Personal File'!$C$12,IF(C12="Cha",'Personal File'!$C$13))))))</f>
        <v>+0</v>
      </c>
      <c r="E12" s="131" t="str">
        <f t="shared" si="7"/>
        <v>Int (+0)</v>
      </c>
      <c r="F12" s="132" t="s">
        <v>64</v>
      </c>
      <c r="G12" s="132">
        <f t="shared" si="1"/>
        <v>0</v>
      </c>
      <c r="H12" s="97">
        <f t="shared" ca="1" si="8"/>
        <v>6</v>
      </c>
      <c r="I12" s="132">
        <f t="shared" ca="1" si="5"/>
        <v>6</v>
      </c>
      <c r="J12" s="437"/>
    </row>
    <row r="13" spans="1:10" s="8" customFormat="1" ht="16.8" x14ac:dyDescent="0.3">
      <c r="A13" s="541" t="s">
        <v>44</v>
      </c>
      <c r="B13" s="542">
        <v>0</v>
      </c>
      <c r="C13" s="543" t="s">
        <v>31</v>
      </c>
      <c r="D13" s="544" t="str">
        <f>IF(C13="Str",'Personal File'!$C$8,IF(C13="Dex",'Personal File'!$C$9,IF(C13="Con",'Personal File'!$C$10,IF(C13="Int",'Personal File'!$C$11,IF(C13="Wis",'Personal File'!$C$12,IF(C13="Cha",'Personal File'!$C$13))))))</f>
        <v>+3</v>
      </c>
      <c r="E13" s="545" t="str">
        <f t="shared" si="7"/>
        <v>Cha (+3)</v>
      </c>
      <c r="F13" s="546" t="s">
        <v>151</v>
      </c>
      <c r="G13" s="546">
        <f t="shared" si="1"/>
        <v>5</v>
      </c>
      <c r="H13" s="97">
        <f t="shared" ca="1" si="8"/>
        <v>2</v>
      </c>
      <c r="I13" s="546">
        <f t="shared" ca="1" si="5"/>
        <v>7</v>
      </c>
      <c r="J13" s="547"/>
    </row>
    <row r="14" spans="1:10" s="8" customFormat="1" ht="16.8" x14ac:dyDescent="0.3">
      <c r="A14" s="128" t="s">
        <v>45</v>
      </c>
      <c r="B14" s="129">
        <v>0</v>
      </c>
      <c r="C14" s="130" t="s">
        <v>33</v>
      </c>
      <c r="D14" s="131" t="str">
        <f>IF(C14="Str",'Personal File'!$C$8,IF(C14="Dex",'Personal File'!$C$9,IF(C14="Con",'Personal File'!$C$10,IF(C14="Int",'Personal File'!$C$11,IF(C14="Wis",'Personal File'!$C$12,IF(C14="Cha",'Personal File'!$C$13))))))</f>
        <v>+0</v>
      </c>
      <c r="E14" s="131" t="str">
        <f t="shared" si="7"/>
        <v>Int (+0)</v>
      </c>
      <c r="F14" s="132" t="s">
        <v>64</v>
      </c>
      <c r="G14" s="132">
        <f t="shared" si="1"/>
        <v>0</v>
      </c>
      <c r="H14" s="97">
        <f t="shared" ca="1" si="8"/>
        <v>5</v>
      </c>
      <c r="I14" s="132">
        <f t="shared" ca="1" si="5"/>
        <v>5</v>
      </c>
      <c r="J14" s="437"/>
    </row>
    <row r="15" spans="1:10" s="8" customFormat="1" ht="16.8" x14ac:dyDescent="0.3">
      <c r="A15" s="118" t="s">
        <v>46</v>
      </c>
      <c r="B15" s="111">
        <v>0</v>
      </c>
      <c r="C15" s="119" t="s">
        <v>31</v>
      </c>
      <c r="D15" s="120" t="str">
        <f>IF(C15="Str",'Personal File'!$C$8,IF(C15="Dex",'Personal File'!$C$9,IF(C15="Con",'Personal File'!$C$10,IF(C15="Int",'Personal File'!$C$11,IF(C15="Wis",'Personal File'!$C$12,IF(C15="Cha",'Personal File'!$C$13))))))</f>
        <v>+3</v>
      </c>
      <c r="E15" s="121" t="str">
        <f t="shared" si="7"/>
        <v>Cha (+3)</v>
      </c>
      <c r="F15" s="115" t="s">
        <v>64</v>
      </c>
      <c r="G15" s="115">
        <f t="shared" si="1"/>
        <v>3</v>
      </c>
      <c r="H15" s="97">
        <f t="shared" ca="1" si="8"/>
        <v>4</v>
      </c>
      <c r="I15" s="115">
        <f t="shared" ca="1" si="5"/>
        <v>7</v>
      </c>
      <c r="J15" s="261"/>
    </row>
    <row r="16" spans="1:10" s="8" customFormat="1" ht="16.8" x14ac:dyDescent="0.3">
      <c r="A16" s="116" t="s">
        <v>47</v>
      </c>
      <c r="B16" s="111">
        <v>0</v>
      </c>
      <c r="C16" s="117" t="s">
        <v>35</v>
      </c>
      <c r="D16" s="99" t="str">
        <f>IF(C16="Str",'Personal File'!$C$8,IF(C16="Dex",'Personal File'!$C$9,IF(C16="Con",'Personal File'!$C$10,IF(C16="Int",'Personal File'!$C$11,IF(C16="Wis",'Personal File'!$C$12,IF(C16="Cha",'Personal File'!$C$13))))))</f>
        <v>+1</v>
      </c>
      <c r="E16" s="100" t="str">
        <f t="shared" si="7"/>
        <v>Dex (+1)</v>
      </c>
      <c r="F16" s="467">
        <f>SUM(Martial!$D$26:$D$29)</f>
        <v>-5</v>
      </c>
      <c r="G16" s="115">
        <f t="shared" si="1"/>
        <v>-4</v>
      </c>
      <c r="H16" s="97">
        <f t="shared" ca="1" si="8"/>
        <v>16</v>
      </c>
      <c r="I16" s="115">
        <f t="shared" ca="1" si="5"/>
        <v>12</v>
      </c>
      <c r="J16" s="177"/>
    </row>
    <row r="17" spans="1:10" s="8" customFormat="1" ht="16.8" x14ac:dyDescent="0.3">
      <c r="A17" s="139" t="s">
        <v>48</v>
      </c>
      <c r="B17" s="140">
        <v>0</v>
      </c>
      <c r="C17" s="141" t="s">
        <v>33</v>
      </c>
      <c r="D17" s="142" t="str">
        <f>IF(C17="Str",'Personal File'!$C$8,IF(C17="Dex",'Personal File'!$C$9,IF(C17="Con",'Personal File'!$C$10,IF(C17="Int",'Personal File'!$C$11,IF(C17="Wis",'Personal File'!$C$12,IF(C17="Cha",'Personal File'!$C$13))))))</f>
        <v>+0</v>
      </c>
      <c r="E17" s="142" t="str">
        <f t="shared" si="7"/>
        <v>Int (+0)</v>
      </c>
      <c r="F17" s="143" t="s">
        <v>64</v>
      </c>
      <c r="G17" s="143">
        <f t="shared" si="1"/>
        <v>0</v>
      </c>
      <c r="H17" s="97">
        <f t="shared" ca="1" si="8"/>
        <v>13</v>
      </c>
      <c r="I17" s="143">
        <f t="shared" ca="1" si="5"/>
        <v>13</v>
      </c>
      <c r="J17" s="439"/>
    </row>
    <row r="18" spans="1:10" s="8" customFormat="1" ht="16.8" x14ac:dyDescent="0.3">
      <c r="A18" s="118" t="s">
        <v>49</v>
      </c>
      <c r="B18" s="111">
        <v>0</v>
      </c>
      <c r="C18" s="119" t="s">
        <v>31</v>
      </c>
      <c r="D18" s="120" t="str">
        <f>IF(C18="Str",'Personal File'!$C$8,IF(C18="Dex",'Personal File'!$C$9,IF(C18="Con",'Personal File'!$C$10,IF(C18="Int",'Personal File'!$C$11,IF(C18="Wis",'Personal File'!$C$12,IF(C18="Cha",'Personal File'!$C$13))))))</f>
        <v>+3</v>
      </c>
      <c r="E18" s="121" t="str">
        <f t="shared" si="7"/>
        <v>Cha (+3)</v>
      </c>
      <c r="F18" s="115" t="s">
        <v>64</v>
      </c>
      <c r="G18" s="115">
        <f t="shared" si="1"/>
        <v>3</v>
      </c>
      <c r="H18" s="97">
        <f t="shared" ca="1" si="8"/>
        <v>20</v>
      </c>
      <c r="I18" s="115">
        <f t="shared" ca="1" si="5"/>
        <v>23</v>
      </c>
      <c r="J18" s="177"/>
    </row>
    <row r="19" spans="1:10" s="8" customFormat="1" ht="16.8" x14ac:dyDescent="0.3">
      <c r="A19" s="118" t="s">
        <v>20</v>
      </c>
      <c r="B19" s="111">
        <v>0</v>
      </c>
      <c r="C19" s="119" t="s">
        <v>31</v>
      </c>
      <c r="D19" s="120" t="str">
        <f>IF(C19="Str",'Personal File'!$C$8,IF(C19="Dex",'Personal File'!$C$9,IF(C19="Con",'Personal File'!$C$10,IF(C19="Int",'Personal File'!$C$11,IF(C19="Wis",'Personal File'!$C$12,IF(C19="Cha",'Personal File'!$C$13))))))</f>
        <v>+3</v>
      </c>
      <c r="E19" s="120" t="str">
        <f t="shared" si="7"/>
        <v>Cha (+3)</v>
      </c>
      <c r="F19" s="115" t="s">
        <v>64</v>
      </c>
      <c r="G19" s="115">
        <f t="shared" si="1"/>
        <v>3</v>
      </c>
      <c r="H19" s="97">
        <f t="shared" ca="1" si="8"/>
        <v>19</v>
      </c>
      <c r="I19" s="115">
        <f t="shared" ca="1" si="5"/>
        <v>22</v>
      </c>
      <c r="J19" s="177"/>
    </row>
    <row r="20" spans="1:10" s="8" customFormat="1" ht="16.8" x14ac:dyDescent="0.3">
      <c r="A20" s="476" t="s">
        <v>50</v>
      </c>
      <c r="B20" s="125">
        <v>8</v>
      </c>
      <c r="C20" s="477" t="s">
        <v>34</v>
      </c>
      <c r="D20" s="478" t="str">
        <f>IF(C20="Str",'Personal File'!$C$8,IF(C20="Dex",'Personal File'!$C$9,IF(C20="Con",'Personal File'!$C$10,IF(C20="Int",'Personal File'!$C$11,IF(C20="Wis",'Personal File'!$C$12,IF(C20="Cha",'Personal File'!$C$13))))))</f>
        <v>+3</v>
      </c>
      <c r="E20" s="478" t="str">
        <f t="shared" si="7"/>
        <v>Wis (+3)</v>
      </c>
      <c r="F20" s="126" t="s">
        <v>64</v>
      </c>
      <c r="G20" s="126">
        <f t="shared" si="1"/>
        <v>11</v>
      </c>
      <c r="H20" s="97">
        <f t="shared" ca="1" si="8"/>
        <v>20</v>
      </c>
      <c r="I20" s="126">
        <f t="shared" ca="1" si="5"/>
        <v>31</v>
      </c>
      <c r="J20" s="438"/>
    </row>
    <row r="21" spans="1:10" s="8" customFormat="1" ht="16.8" x14ac:dyDescent="0.3">
      <c r="A21" s="116" t="s">
        <v>51</v>
      </c>
      <c r="B21" s="111">
        <v>0</v>
      </c>
      <c r="C21" s="117" t="s">
        <v>35</v>
      </c>
      <c r="D21" s="99" t="str">
        <f>IF(C21="Str",'Personal File'!$C$8,IF(C21="Dex",'Personal File'!$C$9,IF(C21="Con",'Personal File'!$C$10,IF(C21="Int",'Personal File'!$C$11,IF(C21="Wis",'Personal File'!$C$12,IF(C21="Cha",'Personal File'!$C$13))))))</f>
        <v>+1</v>
      </c>
      <c r="E21" s="99" t="str">
        <f t="shared" si="7"/>
        <v>Dex (+1)</v>
      </c>
      <c r="F21" s="467">
        <f>SUM(Martial!$D$26:$D$29)</f>
        <v>-5</v>
      </c>
      <c r="G21" s="115">
        <f t="shared" si="1"/>
        <v>-4</v>
      </c>
      <c r="H21" s="97">
        <f t="shared" ca="1" si="8"/>
        <v>16</v>
      </c>
      <c r="I21" s="115">
        <f t="shared" ca="1" si="5"/>
        <v>12</v>
      </c>
      <c r="J21" s="439"/>
    </row>
    <row r="22" spans="1:10" s="8" customFormat="1" ht="16.8" x14ac:dyDescent="0.3">
      <c r="A22" s="147" t="s">
        <v>52</v>
      </c>
      <c r="B22" s="140">
        <v>0</v>
      </c>
      <c r="C22" s="148" t="s">
        <v>31</v>
      </c>
      <c r="D22" s="149" t="str">
        <f>IF(C22="Str",'Personal File'!$C$8,IF(C22="Dex",'Personal File'!$C$9,IF(C22="Con",'Personal File'!$C$10,IF(C22="Int",'Personal File'!$C$11,IF(C22="Wis",'Personal File'!$C$12,IF(C22="Cha",'Personal File'!$C$13))))))</f>
        <v>+3</v>
      </c>
      <c r="E22" s="150" t="str">
        <f t="shared" si="7"/>
        <v>Cha (+3)</v>
      </c>
      <c r="F22" s="143" t="s">
        <v>64</v>
      </c>
      <c r="G22" s="143">
        <f t="shared" si="1"/>
        <v>3</v>
      </c>
      <c r="H22" s="97">
        <f t="shared" ca="1" si="8"/>
        <v>8</v>
      </c>
      <c r="I22" s="143">
        <f t="shared" ca="1" si="5"/>
        <v>11</v>
      </c>
      <c r="J22" s="439"/>
    </row>
    <row r="23" spans="1:10" s="8" customFormat="1" ht="16.8" x14ac:dyDescent="0.3">
      <c r="A23" s="122" t="s">
        <v>53</v>
      </c>
      <c r="B23" s="111">
        <v>0</v>
      </c>
      <c r="C23" s="123" t="s">
        <v>36</v>
      </c>
      <c r="D23" s="124" t="str">
        <f>IF(C23="Str",'Personal File'!$C$8,IF(C23="Dex",'Personal File'!$C$9,IF(C23="Con",'Personal File'!$C$10,IF(C23="Int",'Personal File'!$C$11,IF(C23="Wis",'Personal File'!$C$12,IF(C23="Cha",'Personal File'!$C$13))))))</f>
        <v>+3</v>
      </c>
      <c r="E23" s="124" t="str">
        <f t="shared" si="7"/>
        <v>Str (+3)</v>
      </c>
      <c r="F23" s="467">
        <f>SUM(Martial!$D$26:$D$29)</f>
        <v>-5</v>
      </c>
      <c r="G23" s="115">
        <f t="shared" si="1"/>
        <v>-2</v>
      </c>
      <c r="H23" s="97">
        <f t="shared" ca="1" si="8"/>
        <v>16</v>
      </c>
      <c r="I23" s="115">
        <f t="shared" ca="1" si="5"/>
        <v>14</v>
      </c>
      <c r="J23" s="177"/>
    </row>
    <row r="24" spans="1:10" s="8" customFormat="1" ht="16.8" x14ac:dyDescent="0.3">
      <c r="A24" s="151" t="s">
        <v>258</v>
      </c>
      <c r="B24" s="125">
        <v>1</v>
      </c>
      <c r="C24" s="152" t="s">
        <v>33</v>
      </c>
      <c r="D24" s="153" t="str">
        <f>IF(C24="Str",'Personal File'!$C$8,IF(C24="Dex",'Personal File'!$C$9,IF(C24="Con",'Personal File'!$C$10,IF(C24="Int",'Personal File'!$C$11,IF(C24="Wis",'Personal File'!$C$12,IF(C24="Cha",'Personal File'!$C$13))))))</f>
        <v>+0</v>
      </c>
      <c r="E24" s="153" t="str">
        <f>CONCATENATE(C24," (",D24,")")</f>
        <v>Int (+0)</v>
      </c>
      <c r="F24" s="126" t="s">
        <v>64</v>
      </c>
      <c r="G24" s="126">
        <f t="shared" si="1"/>
        <v>1</v>
      </c>
      <c r="H24" s="97">
        <f t="shared" ca="1" si="8"/>
        <v>18</v>
      </c>
      <c r="I24" s="126">
        <f t="shared" ca="1" si="5"/>
        <v>19</v>
      </c>
      <c r="J24" s="127" t="s">
        <v>271</v>
      </c>
    </row>
    <row r="25" spans="1:10" s="8" customFormat="1" ht="16.8" x14ac:dyDescent="0.3">
      <c r="A25" s="151" t="s">
        <v>181</v>
      </c>
      <c r="B25" s="125">
        <v>1</v>
      </c>
      <c r="C25" s="152" t="s">
        <v>33</v>
      </c>
      <c r="D25" s="153" t="str">
        <f>IF(C25="Str",'Personal File'!$C$8,IF(C25="Dex",'Personal File'!$C$9,IF(C25="Con",'Personal File'!$C$10,IF(C25="Int",'Personal File'!$C$11,IF(C25="Wis",'Personal File'!$C$12,IF(C25="Cha",'Personal File'!$C$13))))))</f>
        <v>+0</v>
      </c>
      <c r="E25" s="153" t="str">
        <f>CONCATENATE(C25," (",D25,")")</f>
        <v>Int (+0)</v>
      </c>
      <c r="F25" s="126" t="s">
        <v>64</v>
      </c>
      <c r="G25" s="126">
        <f t="shared" ref="G25" si="9">B25+D25+F25</f>
        <v>1</v>
      </c>
      <c r="H25" s="97">
        <f t="shared" ca="1" si="8"/>
        <v>3</v>
      </c>
      <c r="I25" s="126">
        <f t="shared" ref="I25" ca="1" si="10">SUM(G25:H25)</f>
        <v>4</v>
      </c>
      <c r="J25" s="127"/>
    </row>
    <row r="26" spans="1:10" s="8" customFormat="1" ht="16.8" x14ac:dyDescent="0.3">
      <c r="A26" s="151" t="s">
        <v>91</v>
      </c>
      <c r="B26" s="125">
        <v>8</v>
      </c>
      <c r="C26" s="152" t="s">
        <v>33</v>
      </c>
      <c r="D26" s="153" t="str">
        <f>IF(C26="Str",'Personal File'!$C$8,IF(C26="Dex",'Personal File'!$C$9,IF(C26="Con",'Personal File'!$C$10,IF(C26="Int",'Personal File'!$C$11,IF(C26="Wis",'Personal File'!$C$12,IF(C26="Cha",'Personal File'!$C$13))))))</f>
        <v>+0</v>
      </c>
      <c r="E26" s="153" t="str">
        <f>CONCATENATE(C26," (",D26,")")</f>
        <v>Int (+0)</v>
      </c>
      <c r="F26" s="126" t="s">
        <v>64</v>
      </c>
      <c r="G26" s="126">
        <f t="shared" ref="G26" si="11">B26+D26+F26</f>
        <v>8</v>
      </c>
      <c r="H26" s="97">
        <f t="shared" ca="1" si="8"/>
        <v>11</v>
      </c>
      <c r="I26" s="126">
        <f t="shared" ref="I26" ca="1" si="12">SUM(G26:H26)</f>
        <v>19</v>
      </c>
      <c r="J26" s="127"/>
    </row>
    <row r="27" spans="1:10" s="8" customFormat="1" ht="16.8" x14ac:dyDescent="0.3">
      <c r="A27" s="144" t="s">
        <v>54</v>
      </c>
      <c r="B27" s="111">
        <v>0</v>
      </c>
      <c r="C27" s="145" t="s">
        <v>34</v>
      </c>
      <c r="D27" s="146" t="str">
        <f>IF(C27="Str",'Personal File'!$C$8,IF(C27="Dex",'Personal File'!$C$9,IF(C27="Con",'Personal File'!$C$10,IF(C27="Int",'Personal File'!$C$11,IF(C27="Wis",'Personal File'!$C$12,IF(C27="Cha",'Personal File'!$C$13))))))</f>
        <v>+3</v>
      </c>
      <c r="E27" s="154" t="str">
        <f t="shared" si="7"/>
        <v>Wis (+3)</v>
      </c>
      <c r="F27" s="115" t="s">
        <v>64</v>
      </c>
      <c r="G27" s="115">
        <f t="shared" si="1"/>
        <v>3</v>
      </c>
      <c r="H27" s="97">
        <f t="shared" ca="1" si="8"/>
        <v>13</v>
      </c>
      <c r="I27" s="115">
        <f t="shared" ca="1" si="5"/>
        <v>16</v>
      </c>
      <c r="J27" s="102"/>
    </row>
    <row r="28" spans="1:10" s="8" customFormat="1" ht="16.8" x14ac:dyDescent="0.3">
      <c r="A28" s="116" t="s">
        <v>21</v>
      </c>
      <c r="B28" s="111">
        <v>0</v>
      </c>
      <c r="C28" s="117" t="s">
        <v>35</v>
      </c>
      <c r="D28" s="99" t="str">
        <f>IF(C28="Str",'Personal File'!$C$8,IF(C28="Dex",'Personal File'!$C$9,IF(C28="Con",'Personal File'!$C$10,IF(C28="Int",'Personal File'!$C$11,IF(C28="Wis",'Personal File'!$C$12,IF(C28="Cha",'Personal File'!$C$13))))))</f>
        <v>+1</v>
      </c>
      <c r="E28" s="99" t="str">
        <f t="shared" si="7"/>
        <v>Dex (+1)</v>
      </c>
      <c r="F28" s="467">
        <f>SUM(Martial!$D$26:$D$29)</f>
        <v>-5</v>
      </c>
      <c r="G28" s="115">
        <f t="shared" si="1"/>
        <v>-4</v>
      </c>
      <c r="H28" s="97">
        <f t="shared" ca="1" si="8"/>
        <v>15</v>
      </c>
      <c r="I28" s="115">
        <f t="shared" ca="1" si="5"/>
        <v>11</v>
      </c>
      <c r="J28" s="102"/>
    </row>
    <row r="29" spans="1:10" s="8" customFormat="1" ht="16.8" x14ac:dyDescent="0.3">
      <c r="A29" s="155" t="s">
        <v>55</v>
      </c>
      <c r="B29" s="129">
        <v>0</v>
      </c>
      <c r="C29" s="156" t="s">
        <v>35</v>
      </c>
      <c r="D29" s="157" t="str">
        <f>IF(C29="Str",'Personal File'!$C$8,IF(C29="Dex",'Personal File'!$C$9,IF(C29="Con",'Personal File'!$C$10,IF(C29="Int",'Personal File'!$C$11,IF(C29="Wis",'Personal File'!$C$12,IF(C29="Cha",'Personal File'!$C$13))))))</f>
        <v>+1</v>
      </c>
      <c r="E29" s="157" t="str">
        <f t="shared" si="7"/>
        <v>Dex (+1)</v>
      </c>
      <c r="F29" s="132" t="s">
        <v>64</v>
      </c>
      <c r="G29" s="132">
        <f t="shared" si="1"/>
        <v>1</v>
      </c>
      <c r="H29" s="97">
        <f t="shared" ca="1" si="8"/>
        <v>6</v>
      </c>
      <c r="I29" s="132">
        <f t="shared" ca="1" si="5"/>
        <v>7</v>
      </c>
      <c r="J29" s="133"/>
    </row>
    <row r="30" spans="1:10" ht="16.8" x14ac:dyDescent="0.3">
      <c r="A30" s="118" t="s">
        <v>92</v>
      </c>
      <c r="B30" s="111">
        <v>0</v>
      </c>
      <c r="C30" s="119" t="s">
        <v>31</v>
      </c>
      <c r="D30" s="120" t="str">
        <f>IF(C30="Str",'Personal File'!$C$8,IF(C30="Dex",'Personal File'!$C$9,IF(C30="Con",'Personal File'!$C$10,IF(C30="Int",'Personal File'!$C$11,IF(C30="Wis",'Personal File'!$C$12,IF(C30="Cha",'Personal File'!$C$13))))))</f>
        <v>+3</v>
      </c>
      <c r="E30" s="120" t="str">
        <f t="shared" si="7"/>
        <v>Cha (+3)</v>
      </c>
      <c r="F30" s="115" t="s">
        <v>64</v>
      </c>
      <c r="G30" s="115">
        <f t="shared" si="1"/>
        <v>3</v>
      </c>
      <c r="H30" s="97">
        <f t="shared" ca="1" si="8"/>
        <v>17</v>
      </c>
      <c r="I30" s="115">
        <f t="shared" ca="1" si="5"/>
        <v>20</v>
      </c>
      <c r="J30" s="102"/>
    </row>
    <row r="31" spans="1:10" ht="16.8" x14ac:dyDescent="0.3">
      <c r="A31" s="158" t="s">
        <v>56</v>
      </c>
      <c r="B31" s="129">
        <v>0</v>
      </c>
      <c r="C31" s="159" t="s">
        <v>34</v>
      </c>
      <c r="D31" s="160" t="str">
        <f>IF(C31="Str",'Personal File'!$C$8,IF(C31="Dex",'Personal File'!$C$9,IF(C31="Con",'Personal File'!$C$10,IF(C31="Int",'Personal File'!$C$11,IF(C31="Wis",'Personal File'!$C$12,IF(C31="Cha",'Personal File'!$C$13))))))</f>
        <v>+3</v>
      </c>
      <c r="E31" s="160" t="str">
        <f t="shared" si="7"/>
        <v>Wis (+3)</v>
      </c>
      <c r="F31" s="132" t="s">
        <v>64</v>
      </c>
      <c r="G31" s="132">
        <f t="shared" si="1"/>
        <v>3</v>
      </c>
      <c r="H31" s="97">
        <f t="shared" ca="1" si="8"/>
        <v>5</v>
      </c>
      <c r="I31" s="132">
        <f t="shared" ca="1" si="5"/>
        <v>8</v>
      </c>
      <c r="J31" s="133"/>
    </row>
    <row r="32" spans="1:10" ht="16.8" x14ac:dyDescent="0.3">
      <c r="A32" s="161" t="s">
        <v>22</v>
      </c>
      <c r="B32" s="162">
        <v>4</v>
      </c>
      <c r="C32" s="163" t="s">
        <v>35</v>
      </c>
      <c r="D32" s="164" t="str">
        <f>IF(C32="Str",'Personal File'!$C$8,IF(C32="Dex",'Personal File'!$C$9,IF(C32="Con",'Personal File'!$C$10,IF(C32="Int",'Personal File'!$C$11,IF(C32="Wis",'Personal File'!$C$12,IF(C32="Cha",'Personal File'!$C$13))))))</f>
        <v>+1</v>
      </c>
      <c r="E32" s="165" t="str">
        <f t="shared" si="7"/>
        <v>Dex (+1)</v>
      </c>
      <c r="F32" s="166" t="s">
        <v>64</v>
      </c>
      <c r="G32" s="166">
        <f t="shared" si="1"/>
        <v>5</v>
      </c>
      <c r="H32" s="97">
        <f t="shared" ca="1" si="8"/>
        <v>7</v>
      </c>
      <c r="I32" s="166">
        <f t="shared" ca="1" si="5"/>
        <v>12</v>
      </c>
      <c r="J32" s="534" t="s">
        <v>302</v>
      </c>
    </row>
    <row r="33" spans="1:10" ht="16.8" x14ac:dyDescent="0.3">
      <c r="A33" s="110" t="s">
        <v>23</v>
      </c>
      <c r="B33" s="111">
        <v>0</v>
      </c>
      <c r="C33" s="112" t="s">
        <v>33</v>
      </c>
      <c r="D33" s="113" t="str">
        <f>IF(C33="Str",'Personal File'!$C$8,IF(C33="Dex",'Personal File'!$C$9,IF(C33="Con",'Personal File'!$C$10,IF(C33="Int",'Personal File'!$C$11,IF(C33="Wis",'Personal File'!$C$12,IF(C33="Cha",'Personal File'!$C$13))))))</f>
        <v>+0</v>
      </c>
      <c r="E33" s="113" t="str">
        <f t="shared" si="7"/>
        <v>Int (+0)</v>
      </c>
      <c r="F33" s="115" t="s">
        <v>64</v>
      </c>
      <c r="G33" s="115">
        <f t="shared" si="1"/>
        <v>0</v>
      </c>
      <c r="H33" s="97">
        <f t="shared" ca="1" si="8"/>
        <v>8</v>
      </c>
      <c r="I33" s="115">
        <f t="shared" ca="1" si="5"/>
        <v>8</v>
      </c>
      <c r="J33" s="102"/>
    </row>
    <row r="34" spans="1:10" ht="16.8" x14ac:dyDescent="0.3">
      <c r="A34" s="168" t="s">
        <v>57</v>
      </c>
      <c r="B34" s="162">
        <v>4</v>
      </c>
      <c r="C34" s="169" t="s">
        <v>34</v>
      </c>
      <c r="D34" s="170" t="str">
        <f>IF(C34="Str",'Personal File'!$C$8,IF(C34="Dex",'Personal File'!$C$9,IF(C34="Con",'Personal File'!$C$10,IF(C34="Int",'Personal File'!$C$11,IF(C34="Wis",'Personal File'!$C$12,IF(C34="Cha",'Personal File'!$C$13))))))</f>
        <v>+3</v>
      </c>
      <c r="E34" s="170" t="str">
        <f t="shared" si="7"/>
        <v>Wis (+3)</v>
      </c>
      <c r="F34" s="166" t="s">
        <v>64</v>
      </c>
      <c r="G34" s="166">
        <f t="shared" si="1"/>
        <v>7</v>
      </c>
      <c r="H34" s="97">
        <f t="shared" ca="1" si="8"/>
        <v>12</v>
      </c>
      <c r="I34" s="166">
        <f t="shared" ca="1" si="5"/>
        <v>19</v>
      </c>
      <c r="J34" s="167"/>
    </row>
    <row r="35" spans="1:10" ht="16.8" x14ac:dyDescent="0.3">
      <c r="A35" s="155" t="s">
        <v>93</v>
      </c>
      <c r="B35" s="129">
        <v>0</v>
      </c>
      <c r="C35" s="156" t="s">
        <v>35</v>
      </c>
      <c r="D35" s="157" t="str">
        <f>IF(C35="Str",'Personal File'!$C$8,IF(C35="Dex",'Personal File'!$C$9,IF(C35="Con",'Personal File'!$C$10,IF(C35="Int",'Personal File'!$C$11,IF(C35="Wis",'Personal File'!$C$12,IF(C35="Cha",'Personal File'!$C$13))))))</f>
        <v>+1</v>
      </c>
      <c r="E35" s="157" t="str">
        <f t="shared" si="7"/>
        <v>Dex (+1)</v>
      </c>
      <c r="F35" s="175">
        <f>SUM(Martial!$D$26:$D$29)</f>
        <v>-5</v>
      </c>
      <c r="G35" s="132">
        <f t="shared" si="1"/>
        <v>-4</v>
      </c>
      <c r="H35" s="97">
        <f t="shared" ca="1" si="8"/>
        <v>1</v>
      </c>
      <c r="I35" s="132">
        <f t="shared" ca="1" si="5"/>
        <v>-3</v>
      </c>
      <c r="J35" s="133"/>
    </row>
    <row r="36" spans="1:10" ht="16.8" x14ac:dyDescent="0.3">
      <c r="A36" s="171" t="s">
        <v>90</v>
      </c>
      <c r="B36" s="172">
        <v>0</v>
      </c>
      <c r="C36" s="173" t="s">
        <v>33</v>
      </c>
      <c r="D36" s="174" t="str">
        <f>IF(C36="Str",'Personal File'!$C$8,IF(C36="Dex",'Personal File'!$C$9,IF(C36="Con",'Personal File'!$C$10,IF(C36="Int",'Personal File'!$C$11,IF(C36="Wis",'Personal File'!$C$12,IF(C36="Cha",'Personal File'!$C$13))))))</f>
        <v>+0</v>
      </c>
      <c r="E36" s="174" t="str">
        <f t="shared" si="7"/>
        <v>Int (+0)</v>
      </c>
      <c r="F36" s="175" t="s">
        <v>64</v>
      </c>
      <c r="G36" s="175">
        <f t="shared" si="1"/>
        <v>0</v>
      </c>
      <c r="H36" s="97">
        <f t="shared" ca="1" si="8"/>
        <v>5</v>
      </c>
      <c r="I36" s="175">
        <f t="shared" ca="1" si="5"/>
        <v>5</v>
      </c>
      <c r="J36" s="176"/>
    </row>
    <row r="37" spans="1:10" ht="16.8" x14ac:dyDescent="0.3">
      <c r="A37" s="171" t="s">
        <v>58</v>
      </c>
      <c r="B37" s="172">
        <v>0</v>
      </c>
      <c r="C37" s="173" t="s">
        <v>33</v>
      </c>
      <c r="D37" s="174" t="str">
        <f>IF(C37="Str",'Personal File'!$C$8,IF(C37="Dex",'Personal File'!$C$9,IF(C37="Con",'Personal File'!$C$10,IF(C37="Int",'Personal File'!$C$11,IF(C37="Wis",'Personal File'!$C$12,IF(C37="Cha",'Personal File'!$C$13))))))</f>
        <v>+0</v>
      </c>
      <c r="E37" s="174" t="str">
        <f t="shared" si="7"/>
        <v>Int (+0)</v>
      </c>
      <c r="F37" s="175" t="s">
        <v>64</v>
      </c>
      <c r="G37" s="175">
        <f t="shared" si="1"/>
        <v>0</v>
      </c>
      <c r="H37" s="97">
        <f t="shared" ca="1" si="8"/>
        <v>14</v>
      </c>
      <c r="I37" s="175">
        <f t="shared" ca="1" si="5"/>
        <v>14</v>
      </c>
      <c r="J37" s="176"/>
    </row>
    <row r="38" spans="1:10" ht="16.8" x14ac:dyDescent="0.3">
      <c r="A38" s="144" t="s">
        <v>59</v>
      </c>
      <c r="B38" s="111">
        <v>0</v>
      </c>
      <c r="C38" s="145" t="s">
        <v>34</v>
      </c>
      <c r="D38" s="146" t="str">
        <f>IF(C38="Str",'Personal File'!$C$8,IF(C38="Dex",'Personal File'!$C$9,IF(C38="Con",'Personal File'!$C$10,IF(C38="Int",'Personal File'!$C$11,IF(C38="Wis",'Personal File'!$C$12,IF(C38="Cha",'Personal File'!$C$13))))))</f>
        <v>+3</v>
      </c>
      <c r="E38" s="146" t="str">
        <f t="shared" si="7"/>
        <v>Wis (+3)</v>
      </c>
      <c r="F38" s="115" t="s">
        <v>64</v>
      </c>
      <c r="G38" s="115">
        <f t="shared" si="1"/>
        <v>3</v>
      </c>
      <c r="H38" s="97">
        <f t="shared" ca="1" si="8"/>
        <v>19</v>
      </c>
      <c r="I38" s="115">
        <f t="shared" ca="1" si="5"/>
        <v>22</v>
      </c>
      <c r="J38" s="102"/>
    </row>
    <row r="39" spans="1:10" ht="16.8" x14ac:dyDescent="0.3">
      <c r="A39" s="144" t="s">
        <v>94</v>
      </c>
      <c r="B39" s="111">
        <v>0</v>
      </c>
      <c r="C39" s="145" t="s">
        <v>34</v>
      </c>
      <c r="D39" s="146" t="str">
        <f>IF(C39="Str",'Personal File'!$C$8,IF(C39="Dex",'Personal File'!$C$9,IF(C39="Con",'Personal File'!$C$10,IF(C39="Int",'Personal File'!$C$11,IF(C39="Wis",'Personal File'!$C$12,IF(C39="Cha",'Personal File'!$C$13))))))</f>
        <v>+3</v>
      </c>
      <c r="E39" s="146" t="str">
        <f t="shared" si="7"/>
        <v>Wis (+3)</v>
      </c>
      <c r="F39" s="115" t="s">
        <v>64</v>
      </c>
      <c r="G39" s="115">
        <f t="shared" si="1"/>
        <v>3</v>
      </c>
      <c r="H39" s="97">
        <f t="shared" ca="1" si="8"/>
        <v>12</v>
      </c>
      <c r="I39" s="115">
        <f t="shared" ca="1" si="5"/>
        <v>15</v>
      </c>
      <c r="J39" s="177"/>
    </row>
    <row r="40" spans="1:10" ht="16.8" x14ac:dyDescent="0.3">
      <c r="A40" s="254" t="s">
        <v>24</v>
      </c>
      <c r="B40" s="125">
        <v>1</v>
      </c>
      <c r="C40" s="255" t="s">
        <v>36</v>
      </c>
      <c r="D40" s="256" t="str">
        <f>IF(C40="Str",'Personal File'!$C$8,IF(C40="Dex",'Personal File'!$C$9,IF(C40="Con",'Personal File'!$C$10,IF(C40="Int",'Personal File'!$C$11,IF(C40="Wis",'Personal File'!$C$12,IF(C40="Cha",'Personal File'!$C$13))))))</f>
        <v>+3</v>
      </c>
      <c r="E40" s="256" t="str">
        <f t="shared" si="7"/>
        <v>Str (+3)</v>
      </c>
      <c r="F40" s="126" t="s">
        <v>64</v>
      </c>
      <c r="G40" s="126">
        <f t="shared" si="1"/>
        <v>4</v>
      </c>
      <c r="H40" s="97">
        <f t="shared" ca="1" si="8"/>
        <v>2</v>
      </c>
      <c r="I40" s="126">
        <f t="shared" ca="1" si="5"/>
        <v>6</v>
      </c>
      <c r="J40" s="127"/>
    </row>
    <row r="41" spans="1:10" ht="16.8" x14ac:dyDescent="0.3">
      <c r="A41" s="178" t="s">
        <v>60</v>
      </c>
      <c r="B41" s="172">
        <v>0</v>
      </c>
      <c r="C41" s="179" t="s">
        <v>35</v>
      </c>
      <c r="D41" s="180" t="str">
        <f>IF(C41="Str",'Personal File'!$C$8,IF(C41="Dex",'Personal File'!$C$9,IF(C41="Con",'Personal File'!$C$10,IF(C41="Int",'Personal File'!$C$11,IF(C41="Wis",'Personal File'!$C$12,IF(C41="Cha",'Personal File'!$C$13))))))</f>
        <v>+1</v>
      </c>
      <c r="E41" s="180" t="str">
        <f t="shared" si="7"/>
        <v>Dex (+1)</v>
      </c>
      <c r="F41" s="175">
        <f>SUM(Martial!$D$26:$D$29)</f>
        <v>-5</v>
      </c>
      <c r="G41" s="175">
        <f t="shared" si="1"/>
        <v>-4</v>
      </c>
      <c r="H41" s="97">
        <f t="shared" ca="1" si="8"/>
        <v>13</v>
      </c>
      <c r="I41" s="175">
        <f t="shared" ca="1" si="5"/>
        <v>9</v>
      </c>
      <c r="J41" s="176"/>
    </row>
    <row r="42" spans="1:10" ht="16.8" x14ac:dyDescent="0.3">
      <c r="A42" s="181" t="s">
        <v>61</v>
      </c>
      <c r="B42" s="129">
        <v>0</v>
      </c>
      <c r="C42" s="182" t="s">
        <v>31</v>
      </c>
      <c r="D42" s="183" t="str">
        <f>IF(C42="Str",'Personal File'!$C$8,IF(C42="Dex",'Personal File'!$C$9,IF(C42="Con",'Personal File'!$C$10,IF(C42="Int",'Personal File'!$C$11,IF(C42="Wis",'Personal File'!$C$12,IF(C42="Cha",'Personal File'!$C$13))))))</f>
        <v>+3</v>
      </c>
      <c r="E42" s="183" t="str">
        <f t="shared" si="7"/>
        <v>Cha (+3)</v>
      </c>
      <c r="F42" s="132" t="s">
        <v>64</v>
      </c>
      <c r="G42" s="132">
        <f t="shared" si="1"/>
        <v>3</v>
      </c>
      <c r="H42" s="97">
        <f t="shared" ca="1" si="8"/>
        <v>5</v>
      </c>
      <c r="I42" s="132">
        <f t="shared" ca="1" si="5"/>
        <v>8</v>
      </c>
      <c r="J42" s="133"/>
    </row>
    <row r="43" spans="1:10" ht="17.399999999999999" thickBot="1" x14ac:dyDescent="0.35">
      <c r="A43" s="184" t="s">
        <v>62</v>
      </c>
      <c r="B43" s="185">
        <v>0</v>
      </c>
      <c r="C43" s="186" t="s">
        <v>35</v>
      </c>
      <c r="D43" s="187" t="str">
        <f>IF(C43="Str",'Personal File'!$C$8,IF(C43="Dex",'Personal File'!$C$9,IF(C43="Con",'Personal File'!$C$10,IF(C43="Int",'Personal File'!$C$11,IF(C43="Wis",'Personal File'!$C$12,IF(C43="Cha",'Personal File'!$C$13))))))</f>
        <v>+1</v>
      </c>
      <c r="E43" s="187" t="str">
        <f t="shared" si="7"/>
        <v>Dex (+1)</v>
      </c>
      <c r="F43" s="188" t="s">
        <v>64</v>
      </c>
      <c r="G43" s="188">
        <f t="shared" si="1"/>
        <v>1</v>
      </c>
      <c r="H43" s="189">
        <f t="shared" ca="1" si="8"/>
        <v>14</v>
      </c>
      <c r="I43" s="188">
        <f t="shared" ca="1" si="5"/>
        <v>15</v>
      </c>
      <c r="J43" s="190"/>
    </row>
    <row r="44" spans="1:10" ht="16.2" thickTop="1" x14ac:dyDescent="0.3">
      <c r="A44" s="245"/>
      <c r="B44" s="246">
        <f>SUM(B6:B43,B24)</f>
        <v>42</v>
      </c>
      <c r="C44" s="247"/>
      <c r="D44" s="247"/>
      <c r="E44" s="246">
        <f>SUM(E45:E56)</f>
        <v>42</v>
      </c>
      <c r="F44" s="249" t="s">
        <v>68</v>
      </c>
      <c r="G44" s="247"/>
      <c r="H44" s="247"/>
      <c r="I44" s="247"/>
      <c r="J44" s="245"/>
    </row>
    <row r="45" spans="1:10" x14ac:dyDescent="0.3">
      <c r="A45" s="245"/>
      <c r="B45" s="246"/>
      <c r="C45" s="247"/>
      <c r="D45" s="247"/>
      <c r="E45" s="251">
        <f>4*(2+'Personal File'!$C$11)</f>
        <v>8</v>
      </c>
      <c r="F45" s="250" t="s">
        <v>160</v>
      </c>
      <c r="G45" s="247"/>
      <c r="H45" s="247"/>
      <c r="I45" s="247"/>
      <c r="J45" s="245"/>
    </row>
    <row r="46" spans="1:10" x14ac:dyDescent="0.3">
      <c r="A46" s="245"/>
      <c r="B46" s="246"/>
      <c r="C46" s="247"/>
      <c r="D46" s="247"/>
      <c r="E46" s="251">
        <f>2+'Personal File'!$C$11</f>
        <v>2</v>
      </c>
      <c r="F46" s="250" t="s">
        <v>166</v>
      </c>
      <c r="G46" s="247"/>
      <c r="H46" s="247"/>
      <c r="I46" s="247"/>
      <c r="J46" s="245"/>
    </row>
    <row r="47" spans="1:10" x14ac:dyDescent="0.3">
      <c r="A47" s="245"/>
      <c r="B47" s="246"/>
      <c r="C47" s="247"/>
      <c r="D47" s="247"/>
      <c r="E47" s="251">
        <f>2+'Personal File'!$C$11</f>
        <v>2</v>
      </c>
      <c r="F47" s="250" t="s">
        <v>175</v>
      </c>
      <c r="G47" s="247"/>
      <c r="H47" s="247"/>
      <c r="I47" s="247"/>
      <c r="J47" s="245"/>
    </row>
    <row r="48" spans="1:10" x14ac:dyDescent="0.3">
      <c r="A48" s="245"/>
      <c r="B48" s="246"/>
      <c r="C48" s="247"/>
      <c r="D48" s="247"/>
      <c r="E48" s="251">
        <f>2+'Personal File'!$C$11</f>
        <v>2</v>
      </c>
      <c r="F48" s="250" t="s">
        <v>176</v>
      </c>
      <c r="G48" s="247"/>
      <c r="H48" s="247"/>
      <c r="I48" s="247"/>
      <c r="J48" s="245"/>
    </row>
    <row r="49" spans="1:10" x14ac:dyDescent="0.3">
      <c r="A49" s="245"/>
      <c r="B49" s="246"/>
      <c r="C49" s="247"/>
      <c r="D49" s="247"/>
      <c r="E49" s="251">
        <f>2+'Personal File'!$C$11</f>
        <v>2</v>
      </c>
      <c r="F49" s="250" t="s">
        <v>177</v>
      </c>
      <c r="G49" s="247"/>
      <c r="H49" s="247"/>
      <c r="I49" s="247"/>
      <c r="J49" s="245"/>
    </row>
    <row r="50" spans="1:10" x14ac:dyDescent="0.3">
      <c r="A50" s="245"/>
      <c r="B50" s="246"/>
      <c r="C50" s="247"/>
      <c r="D50" s="247"/>
      <c r="E50" s="251">
        <f>2+'Personal File'!$C$11</f>
        <v>2</v>
      </c>
      <c r="F50" s="250" t="s">
        <v>178</v>
      </c>
      <c r="G50" s="247"/>
      <c r="H50" s="247"/>
      <c r="I50" s="247"/>
      <c r="J50" s="245"/>
    </row>
    <row r="51" spans="1:10" x14ac:dyDescent="0.3">
      <c r="A51" s="245"/>
      <c r="B51" s="246"/>
      <c r="C51" s="247"/>
      <c r="D51" s="247"/>
      <c r="E51" s="251">
        <f>2+'Personal File'!$C$11</f>
        <v>2</v>
      </c>
      <c r="F51" s="250" t="s">
        <v>179</v>
      </c>
      <c r="G51" s="247"/>
      <c r="H51" s="247"/>
      <c r="I51" s="247"/>
      <c r="J51" s="245"/>
    </row>
    <row r="52" spans="1:10" x14ac:dyDescent="0.3">
      <c r="A52" s="245"/>
      <c r="B52" s="246"/>
      <c r="C52" s="247"/>
      <c r="D52" s="247"/>
      <c r="E52" s="251">
        <f>2+'Personal File'!$C$11</f>
        <v>2</v>
      </c>
      <c r="F52" s="250" t="s">
        <v>180</v>
      </c>
      <c r="G52" s="247"/>
      <c r="H52" s="247"/>
      <c r="I52" s="247"/>
      <c r="J52" s="245"/>
    </row>
    <row r="53" spans="1:10" x14ac:dyDescent="0.3">
      <c r="A53" s="245"/>
      <c r="B53" s="246"/>
      <c r="C53" s="247"/>
      <c r="D53" s="247"/>
      <c r="E53" s="251">
        <f>2+'Personal File'!$C$11</f>
        <v>2</v>
      </c>
      <c r="F53" s="250" t="s">
        <v>259</v>
      </c>
      <c r="G53" s="247"/>
      <c r="H53" s="247"/>
      <c r="I53" s="247"/>
      <c r="J53" s="245"/>
    </row>
    <row r="54" spans="1:10" x14ac:dyDescent="0.3">
      <c r="A54" s="245"/>
      <c r="B54" s="246"/>
      <c r="C54" s="247"/>
      <c r="D54" s="247"/>
      <c r="E54" s="251">
        <f>2+'Personal File'!$C$11</f>
        <v>2</v>
      </c>
      <c r="F54" s="250" t="s">
        <v>272</v>
      </c>
      <c r="G54" s="247"/>
      <c r="H54" s="247"/>
      <c r="I54" s="247"/>
      <c r="J54" s="245"/>
    </row>
    <row r="55" spans="1:10" x14ac:dyDescent="0.3">
      <c r="A55" s="245"/>
      <c r="B55" s="246"/>
      <c r="C55" s="247"/>
      <c r="D55" s="247"/>
      <c r="E55" s="251">
        <f>2+'Personal File'!$C$11</f>
        <v>2</v>
      </c>
      <c r="F55" s="250" t="s">
        <v>314</v>
      </c>
      <c r="G55" s="247"/>
      <c r="H55" s="247"/>
      <c r="I55" s="247"/>
      <c r="J55" s="245"/>
    </row>
    <row r="56" spans="1:10" x14ac:dyDescent="0.3">
      <c r="A56" s="245"/>
      <c r="B56" s="245"/>
      <c r="C56" s="247"/>
      <c r="D56" s="247"/>
      <c r="E56" s="248">
        <f>3+'Personal File'!E3+'Personal File'!E4</f>
        <v>14</v>
      </c>
      <c r="F56" s="250" t="s">
        <v>88</v>
      </c>
      <c r="G56" s="247"/>
      <c r="H56" s="247"/>
      <c r="I56" s="247"/>
      <c r="J56" s="245"/>
    </row>
    <row r="57" spans="1:10" x14ac:dyDescent="0.3">
      <c r="A57" s="252"/>
      <c r="B57" s="252"/>
      <c r="C57" s="253"/>
      <c r="D57" s="253"/>
      <c r="E57" s="253"/>
      <c r="F57" s="253"/>
      <c r="G57" s="253"/>
      <c r="H57" s="253"/>
      <c r="I57" s="253"/>
      <c r="J57" s="252"/>
    </row>
    <row r="58" spans="1:10" x14ac:dyDescent="0.3">
      <c r="A58" s="252"/>
      <c r="B58" s="252"/>
      <c r="C58" s="253"/>
      <c r="D58" s="253"/>
      <c r="E58" s="253"/>
      <c r="F58" s="253"/>
      <c r="G58" s="253"/>
      <c r="H58" s="253"/>
      <c r="I58" s="253"/>
      <c r="J58" s="252"/>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9"/>
  <sheetViews>
    <sheetView showGridLines="0" workbookViewId="0">
      <pane ySplit="2" topLeftCell="A3" activePane="bottomLeft" state="frozen"/>
      <selection pane="bottomLeft" activeCell="A3" sqref="A3"/>
    </sheetView>
  </sheetViews>
  <sheetFormatPr defaultColWidth="13" defaultRowHeight="15.6" x14ac:dyDescent="0.3"/>
  <cols>
    <col min="1" max="1" width="26.296875" style="87" bestFit="1" customWidth="1"/>
    <col min="2" max="2" width="6.19921875" style="87" bestFit="1" customWidth="1"/>
    <col min="3" max="3" width="13.59765625" style="86" bestFit="1" customWidth="1"/>
    <col min="4" max="4" width="12.5" style="86" bestFit="1" customWidth="1"/>
    <col min="5" max="5" width="7.296875" style="86" bestFit="1" customWidth="1"/>
    <col min="6" max="7" width="13.19921875" style="86" bestFit="1" customWidth="1"/>
    <col min="8" max="8" width="21.69921875" style="87" bestFit="1" customWidth="1"/>
    <col min="9" max="9" width="5.5" style="76" bestFit="1" customWidth="1"/>
    <col min="10" max="16384" width="13" style="76"/>
  </cols>
  <sheetData>
    <row r="1" spans="1:9" ht="23.4" thickBot="1" x14ac:dyDescent="0.35">
      <c r="A1" s="271" t="s">
        <v>389</v>
      </c>
      <c r="B1" s="192"/>
      <c r="C1" s="192"/>
      <c r="D1" s="192"/>
      <c r="E1" s="192"/>
      <c r="F1" s="192"/>
      <c r="G1" s="192"/>
      <c r="H1" s="192"/>
    </row>
    <row r="2" spans="1:9" s="16" customFormat="1" ht="16.8" x14ac:dyDescent="0.3">
      <c r="A2" s="193" t="s">
        <v>77</v>
      </c>
      <c r="B2" s="194" t="s">
        <v>4</v>
      </c>
      <c r="C2" s="194" t="s">
        <v>101</v>
      </c>
      <c r="D2" s="195" t="s">
        <v>102</v>
      </c>
      <c r="E2" s="195" t="s">
        <v>103</v>
      </c>
      <c r="F2" s="194" t="s">
        <v>104</v>
      </c>
      <c r="G2" s="194" t="s">
        <v>105</v>
      </c>
      <c r="H2" s="194" t="s">
        <v>284</v>
      </c>
      <c r="I2" s="196" t="s">
        <v>285</v>
      </c>
    </row>
    <row r="3" spans="1:9" ht="16.8" x14ac:dyDescent="0.3">
      <c r="A3" s="486" t="s">
        <v>380</v>
      </c>
      <c r="B3" s="257">
        <v>1</v>
      </c>
      <c r="C3" s="258" t="s">
        <v>118</v>
      </c>
      <c r="D3" s="259" t="s">
        <v>108</v>
      </c>
      <c r="E3" s="383" t="s">
        <v>109</v>
      </c>
      <c r="F3" s="260" t="s">
        <v>361</v>
      </c>
      <c r="G3" s="260" t="s">
        <v>111</v>
      </c>
      <c r="H3" s="260" t="s">
        <v>381</v>
      </c>
      <c r="I3" s="138">
        <v>125</v>
      </c>
    </row>
    <row r="4" spans="1:9" ht="16.8" x14ac:dyDescent="0.3">
      <c r="A4" s="486" t="s">
        <v>315</v>
      </c>
      <c r="B4" s="257">
        <v>1</v>
      </c>
      <c r="C4" s="258" t="s">
        <v>238</v>
      </c>
      <c r="D4" s="259" t="s">
        <v>127</v>
      </c>
      <c r="E4" s="383" t="s">
        <v>109</v>
      </c>
      <c r="F4" s="260" t="s">
        <v>128</v>
      </c>
      <c r="G4" s="260" t="s">
        <v>114</v>
      </c>
      <c r="H4" s="260" t="s">
        <v>286</v>
      </c>
      <c r="I4" s="261">
        <v>205</v>
      </c>
    </row>
    <row r="5" spans="1:9" ht="16.8" x14ac:dyDescent="0.3">
      <c r="A5" s="486" t="s">
        <v>316</v>
      </c>
      <c r="B5" s="257">
        <v>1</v>
      </c>
      <c r="C5" s="258" t="s">
        <v>237</v>
      </c>
      <c r="D5" s="259" t="s">
        <v>129</v>
      </c>
      <c r="E5" s="383" t="s">
        <v>109</v>
      </c>
      <c r="F5" s="260" t="s">
        <v>113</v>
      </c>
      <c r="G5" s="260" t="s">
        <v>111</v>
      </c>
      <c r="H5" s="260" t="s">
        <v>286</v>
      </c>
      <c r="I5" s="138">
        <v>205</v>
      </c>
    </row>
    <row r="6" spans="1:9" ht="16.8" x14ac:dyDescent="0.3">
      <c r="A6" s="486" t="s">
        <v>236</v>
      </c>
      <c r="B6" s="257">
        <v>1</v>
      </c>
      <c r="C6" s="258" t="s">
        <v>237</v>
      </c>
      <c r="D6" s="259" t="s">
        <v>108</v>
      </c>
      <c r="E6" s="259" t="s">
        <v>109</v>
      </c>
      <c r="F6" s="260" t="s">
        <v>113</v>
      </c>
      <c r="G6" s="260" t="s">
        <v>114</v>
      </c>
      <c r="H6" s="260" t="s">
        <v>286</v>
      </c>
      <c r="I6" s="261">
        <v>205</v>
      </c>
    </row>
    <row r="7" spans="1:9" ht="16.8" x14ac:dyDescent="0.3">
      <c r="A7" s="486" t="s">
        <v>339</v>
      </c>
      <c r="B7" s="257">
        <v>1</v>
      </c>
      <c r="C7" s="258" t="s">
        <v>237</v>
      </c>
      <c r="D7" s="552" t="s">
        <v>108</v>
      </c>
      <c r="E7" s="383" t="s">
        <v>109</v>
      </c>
      <c r="F7" s="553" t="s">
        <v>122</v>
      </c>
      <c r="G7" s="260" t="s">
        <v>119</v>
      </c>
      <c r="H7" s="260" t="s">
        <v>356</v>
      </c>
      <c r="I7" s="102">
        <v>144</v>
      </c>
    </row>
    <row r="8" spans="1:9" ht="16.8" x14ac:dyDescent="0.3">
      <c r="A8" s="486" t="s">
        <v>106</v>
      </c>
      <c r="B8" s="257">
        <v>1</v>
      </c>
      <c r="C8" s="258" t="s">
        <v>107</v>
      </c>
      <c r="D8" s="259" t="s">
        <v>108</v>
      </c>
      <c r="E8" s="383" t="s">
        <v>109</v>
      </c>
      <c r="F8" s="260" t="s">
        <v>110</v>
      </c>
      <c r="G8" s="260" t="s">
        <v>111</v>
      </c>
      <c r="H8" s="260" t="s">
        <v>286</v>
      </c>
      <c r="I8" s="138">
        <v>215</v>
      </c>
    </row>
    <row r="9" spans="1:9" ht="16.8" x14ac:dyDescent="0.3">
      <c r="A9" s="486" t="s">
        <v>131</v>
      </c>
      <c r="B9" s="257">
        <v>1</v>
      </c>
      <c r="C9" s="258" t="s">
        <v>112</v>
      </c>
      <c r="D9" s="259" t="s">
        <v>108</v>
      </c>
      <c r="E9" s="383" t="s">
        <v>109</v>
      </c>
      <c r="F9" s="260" t="s">
        <v>113</v>
      </c>
      <c r="G9" s="260" t="s">
        <v>111</v>
      </c>
      <c r="H9" s="260" t="s">
        <v>286</v>
      </c>
      <c r="I9" s="138">
        <v>216</v>
      </c>
    </row>
    <row r="10" spans="1:9" ht="16.8" x14ac:dyDescent="0.3">
      <c r="A10" s="486" t="s">
        <v>115</v>
      </c>
      <c r="B10" s="257">
        <v>1</v>
      </c>
      <c r="C10" s="258" t="s">
        <v>116</v>
      </c>
      <c r="D10" s="259" t="s">
        <v>108</v>
      </c>
      <c r="E10" s="383" t="s">
        <v>109</v>
      </c>
      <c r="F10" s="260" t="s">
        <v>110</v>
      </c>
      <c r="G10" s="260" t="s">
        <v>111</v>
      </c>
      <c r="H10" s="260" t="s">
        <v>286</v>
      </c>
      <c r="I10" s="138">
        <v>219</v>
      </c>
    </row>
    <row r="11" spans="1:9" ht="16.8" x14ac:dyDescent="0.3">
      <c r="A11" s="486" t="s">
        <v>137</v>
      </c>
      <c r="B11" s="257">
        <v>1</v>
      </c>
      <c r="C11" s="258" t="s">
        <v>116</v>
      </c>
      <c r="D11" s="259" t="s">
        <v>125</v>
      </c>
      <c r="E11" s="487" t="s">
        <v>109</v>
      </c>
      <c r="F11" s="260" t="s">
        <v>244</v>
      </c>
      <c r="G11" s="260" t="s">
        <v>111</v>
      </c>
      <c r="H11" s="260" t="s">
        <v>286</v>
      </c>
      <c r="I11" s="138">
        <v>220</v>
      </c>
    </row>
    <row r="12" spans="1:9" ht="16.8" x14ac:dyDescent="0.3">
      <c r="A12" s="486" t="s">
        <v>132</v>
      </c>
      <c r="B12" s="257">
        <v>1</v>
      </c>
      <c r="C12" s="258" t="s">
        <v>118</v>
      </c>
      <c r="D12" s="259" t="s">
        <v>127</v>
      </c>
      <c r="E12" s="383" t="s">
        <v>109</v>
      </c>
      <c r="F12" s="260" t="s">
        <v>122</v>
      </c>
      <c r="G12" s="260" t="s">
        <v>117</v>
      </c>
      <c r="H12" s="260" t="s">
        <v>286</v>
      </c>
      <c r="I12" s="261">
        <v>224</v>
      </c>
    </row>
    <row r="13" spans="1:9" ht="16.8" x14ac:dyDescent="0.3">
      <c r="A13" s="486" t="s">
        <v>154</v>
      </c>
      <c r="B13" s="257">
        <v>1</v>
      </c>
      <c r="C13" s="258" t="s">
        <v>118</v>
      </c>
      <c r="D13" s="259" t="s">
        <v>108</v>
      </c>
      <c r="E13" s="259" t="s">
        <v>109</v>
      </c>
      <c r="F13" s="260" t="s">
        <v>122</v>
      </c>
      <c r="G13" s="260" t="s">
        <v>142</v>
      </c>
      <c r="H13" s="260" t="s">
        <v>287</v>
      </c>
      <c r="I13" s="261">
        <v>163</v>
      </c>
    </row>
    <row r="14" spans="1:9" ht="16.8" x14ac:dyDescent="0.3">
      <c r="A14" s="486" t="s">
        <v>133</v>
      </c>
      <c r="B14" s="257">
        <v>1</v>
      </c>
      <c r="C14" s="258" t="s">
        <v>124</v>
      </c>
      <c r="D14" s="259" t="s">
        <v>108</v>
      </c>
      <c r="E14" s="383" t="s">
        <v>109</v>
      </c>
      <c r="F14" s="260" t="s">
        <v>113</v>
      </c>
      <c r="G14" s="260" t="s">
        <v>134</v>
      </c>
      <c r="H14" s="260" t="s">
        <v>286</v>
      </c>
      <c r="I14" s="138">
        <v>226</v>
      </c>
    </row>
    <row r="15" spans="1:9" ht="16.8" x14ac:dyDescent="0.3">
      <c r="A15" s="486" t="s">
        <v>370</v>
      </c>
      <c r="B15" s="257">
        <v>1</v>
      </c>
      <c r="C15" s="258" t="s">
        <v>107</v>
      </c>
      <c r="D15" s="259" t="s">
        <v>357</v>
      </c>
      <c r="E15" s="383" t="s">
        <v>109</v>
      </c>
      <c r="F15" s="260" t="s">
        <v>113</v>
      </c>
      <c r="G15" s="260" t="s">
        <v>334</v>
      </c>
      <c r="H15" s="260" t="s">
        <v>287</v>
      </c>
      <c r="I15" s="138">
        <v>166</v>
      </c>
    </row>
    <row r="16" spans="1:9" ht="16.8" x14ac:dyDescent="0.3">
      <c r="A16" s="486" t="s">
        <v>340</v>
      </c>
      <c r="B16" s="257">
        <v>1</v>
      </c>
      <c r="C16" s="258" t="s">
        <v>116</v>
      </c>
      <c r="D16" s="552" t="s">
        <v>357</v>
      </c>
      <c r="E16" s="383" t="s">
        <v>250</v>
      </c>
      <c r="F16" s="553" t="s">
        <v>122</v>
      </c>
      <c r="G16" s="260" t="s">
        <v>130</v>
      </c>
      <c r="H16" s="260" t="s">
        <v>356</v>
      </c>
      <c r="I16" s="102">
        <v>150</v>
      </c>
    </row>
    <row r="17" spans="1:9" ht="16.8" x14ac:dyDescent="0.3">
      <c r="A17" s="486" t="s">
        <v>366</v>
      </c>
      <c r="B17" s="257">
        <v>1</v>
      </c>
      <c r="C17" s="258" t="s">
        <v>118</v>
      </c>
      <c r="D17" s="552" t="s">
        <v>368</v>
      </c>
      <c r="E17" s="383" t="s">
        <v>109</v>
      </c>
      <c r="F17" s="553" t="s">
        <v>110</v>
      </c>
      <c r="G17" s="260" t="s">
        <v>142</v>
      </c>
      <c r="H17" s="260" t="s">
        <v>359</v>
      </c>
      <c r="I17" s="102">
        <v>101</v>
      </c>
    </row>
    <row r="18" spans="1:9" ht="16.8" x14ac:dyDescent="0.3">
      <c r="A18" s="486" t="s">
        <v>150</v>
      </c>
      <c r="B18" s="257">
        <v>1</v>
      </c>
      <c r="C18" s="258" t="s">
        <v>107</v>
      </c>
      <c r="D18" s="259" t="s">
        <v>108</v>
      </c>
      <c r="E18" s="259" t="s">
        <v>109</v>
      </c>
      <c r="F18" s="260" t="s">
        <v>113</v>
      </c>
      <c r="G18" s="260" t="s">
        <v>111</v>
      </c>
      <c r="H18" s="260" t="s">
        <v>286</v>
      </c>
      <c r="I18" s="138">
        <v>272</v>
      </c>
    </row>
    <row r="19" spans="1:9" ht="16.8" x14ac:dyDescent="0.3">
      <c r="A19" s="486" t="s">
        <v>135</v>
      </c>
      <c r="B19" s="257">
        <v>1</v>
      </c>
      <c r="C19" s="258" t="s">
        <v>237</v>
      </c>
      <c r="D19" s="259" t="s">
        <v>136</v>
      </c>
      <c r="E19" s="383" t="s">
        <v>109</v>
      </c>
      <c r="F19" s="260" t="s">
        <v>113</v>
      </c>
      <c r="G19" s="260" t="s">
        <v>114</v>
      </c>
      <c r="H19" s="260" t="s">
        <v>286</v>
      </c>
      <c r="I19" s="555">
        <v>251</v>
      </c>
    </row>
    <row r="20" spans="1:9" ht="16.8" x14ac:dyDescent="0.3">
      <c r="A20" s="486" t="s">
        <v>308</v>
      </c>
      <c r="B20" s="257">
        <v>1</v>
      </c>
      <c r="C20" s="258" t="s">
        <v>124</v>
      </c>
      <c r="D20" s="259" t="s">
        <v>125</v>
      </c>
      <c r="E20" s="259" t="s">
        <v>109</v>
      </c>
      <c r="F20" s="260" t="s">
        <v>113</v>
      </c>
      <c r="G20" s="260" t="s">
        <v>114</v>
      </c>
      <c r="H20" s="260" t="s">
        <v>286</v>
      </c>
      <c r="I20" s="138">
        <v>266</v>
      </c>
    </row>
    <row r="21" spans="1:9" ht="16.8" x14ac:dyDescent="0.3">
      <c r="A21" s="486" t="s">
        <v>307</v>
      </c>
      <c r="B21" s="257">
        <v>1</v>
      </c>
      <c r="C21" s="258" t="s">
        <v>124</v>
      </c>
      <c r="D21" s="259" t="s">
        <v>125</v>
      </c>
      <c r="E21" s="259" t="s">
        <v>109</v>
      </c>
      <c r="F21" s="260" t="s">
        <v>113</v>
      </c>
      <c r="G21" s="260" t="s">
        <v>114</v>
      </c>
      <c r="H21" s="260" t="s">
        <v>286</v>
      </c>
      <c r="I21" s="138">
        <v>266</v>
      </c>
    </row>
    <row r="22" spans="1:9" ht="16.8" x14ac:dyDescent="0.3">
      <c r="A22" s="486" t="s">
        <v>120</v>
      </c>
      <c r="B22" s="257">
        <v>1</v>
      </c>
      <c r="C22" s="258" t="s">
        <v>112</v>
      </c>
      <c r="D22" s="259" t="s">
        <v>121</v>
      </c>
      <c r="E22" s="259" t="s">
        <v>109</v>
      </c>
      <c r="F22" s="260" t="s">
        <v>122</v>
      </c>
      <c r="G22" s="260" t="s">
        <v>119</v>
      </c>
      <c r="H22" s="260" t="s">
        <v>286</v>
      </c>
      <c r="I22" s="138">
        <v>269</v>
      </c>
    </row>
    <row r="23" spans="1:9" ht="16.8" x14ac:dyDescent="0.3">
      <c r="A23" s="486" t="s">
        <v>341</v>
      </c>
      <c r="B23" s="257">
        <v>1</v>
      </c>
      <c r="C23" s="551" t="s">
        <v>124</v>
      </c>
      <c r="D23" s="552" t="s">
        <v>127</v>
      </c>
      <c r="E23" s="383" t="s">
        <v>109</v>
      </c>
      <c r="F23" s="553" t="s">
        <v>113</v>
      </c>
      <c r="G23" s="553" t="s">
        <v>119</v>
      </c>
      <c r="H23" s="553" t="s">
        <v>358</v>
      </c>
      <c r="I23" s="138">
        <v>104</v>
      </c>
    </row>
    <row r="24" spans="1:9" ht="16.8" x14ac:dyDescent="0.3">
      <c r="A24" s="486" t="s">
        <v>123</v>
      </c>
      <c r="B24" s="257">
        <v>1</v>
      </c>
      <c r="C24" s="258" t="s">
        <v>124</v>
      </c>
      <c r="D24" s="259" t="s">
        <v>125</v>
      </c>
      <c r="E24" s="259" t="s">
        <v>109</v>
      </c>
      <c r="F24" s="260" t="s">
        <v>113</v>
      </c>
      <c r="G24" s="260" t="s">
        <v>117</v>
      </c>
      <c r="H24" s="260" t="s">
        <v>286</v>
      </c>
      <c r="I24" s="138">
        <v>272</v>
      </c>
    </row>
    <row r="25" spans="1:9" ht="16.8" x14ac:dyDescent="0.3">
      <c r="A25" s="486" t="s">
        <v>249</v>
      </c>
      <c r="B25" s="257">
        <v>1</v>
      </c>
      <c r="C25" s="258" t="s">
        <v>237</v>
      </c>
      <c r="D25" s="259" t="s">
        <v>108</v>
      </c>
      <c r="E25" s="487" t="s">
        <v>250</v>
      </c>
      <c r="F25" s="260" t="s">
        <v>122</v>
      </c>
      <c r="G25" s="260" t="s">
        <v>130</v>
      </c>
      <c r="H25" s="260" t="s">
        <v>289</v>
      </c>
      <c r="I25" s="138">
        <v>176</v>
      </c>
    </row>
    <row r="26" spans="1:9" ht="16.8" x14ac:dyDescent="0.3">
      <c r="A26" s="486" t="s">
        <v>342</v>
      </c>
      <c r="B26" s="257">
        <v>1</v>
      </c>
      <c r="C26" s="258" t="s">
        <v>237</v>
      </c>
      <c r="D26" s="259" t="s">
        <v>108</v>
      </c>
      <c r="E26" s="260" t="s">
        <v>109</v>
      </c>
      <c r="F26" s="260" t="s">
        <v>113</v>
      </c>
      <c r="G26" s="260" t="s">
        <v>334</v>
      </c>
      <c r="H26" s="260" t="s">
        <v>359</v>
      </c>
      <c r="I26" s="138">
        <v>106</v>
      </c>
    </row>
    <row r="27" spans="1:9" ht="16.8" x14ac:dyDescent="0.3">
      <c r="A27" s="486" t="s">
        <v>343</v>
      </c>
      <c r="B27" s="257">
        <v>1</v>
      </c>
      <c r="C27" s="258" t="s">
        <v>237</v>
      </c>
      <c r="D27" s="259" t="s">
        <v>108</v>
      </c>
      <c r="E27" s="260" t="s">
        <v>109</v>
      </c>
      <c r="F27" s="260" t="s">
        <v>113</v>
      </c>
      <c r="G27" s="260" t="s">
        <v>142</v>
      </c>
      <c r="H27" s="260" t="s">
        <v>359</v>
      </c>
      <c r="I27" s="138">
        <v>107</v>
      </c>
    </row>
    <row r="28" spans="1:9" ht="16.8" x14ac:dyDescent="0.3">
      <c r="A28" s="486" t="s">
        <v>379</v>
      </c>
      <c r="B28" s="257">
        <v>1</v>
      </c>
      <c r="C28" s="258" t="s">
        <v>237</v>
      </c>
      <c r="D28" s="259" t="s">
        <v>108</v>
      </c>
      <c r="E28" s="383" t="s">
        <v>109</v>
      </c>
      <c r="F28" s="260" t="s">
        <v>122</v>
      </c>
      <c r="G28" s="260" t="s">
        <v>377</v>
      </c>
      <c r="H28" s="260" t="s">
        <v>378</v>
      </c>
      <c r="I28" s="138">
        <v>72</v>
      </c>
    </row>
    <row r="29" spans="1:9" ht="16.8" x14ac:dyDescent="0.3">
      <c r="A29" s="486" t="s">
        <v>143</v>
      </c>
      <c r="B29" s="257">
        <v>1</v>
      </c>
      <c r="C29" s="258" t="s">
        <v>107</v>
      </c>
      <c r="D29" s="259" t="s">
        <v>108</v>
      </c>
      <c r="E29" s="487" t="s">
        <v>109</v>
      </c>
      <c r="F29" s="260" t="s">
        <v>245</v>
      </c>
      <c r="G29" s="260" t="s">
        <v>142</v>
      </c>
      <c r="H29" s="260" t="s">
        <v>288</v>
      </c>
      <c r="I29" s="138">
        <v>128</v>
      </c>
    </row>
    <row r="30" spans="1:9" ht="16.8" x14ac:dyDescent="0.3">
      <c r="A30" s="486" t="s">
        <v>338</v>
      </c>
      <c r="B30" s="257">
        <v>1</v>
      </c>
      <c r="C30" s="258" t="s">
        <v>237</v>
      </c>
      <c r="D30" s="259" t="s">
        <v>108</v>
      </c>
      <c r="E30" s="383" t="s">
        <v>109</v>
      </c>
      <c r="F30" s="260" t="s">
        <v>113</v>
      </c>
      <c r="G30" s="260" t="s">
        <v>334</v>
      </c>
      <c r="H30" s="260" t="s">
        <v>287</v>
      </c>
      <c r="I30" s="138">
        <v>184</v>
      </c>
    </row>
    <row r="31" spans="1:9" ht="16.8" x14ac:dyDescent="0.3">
      <c r="A31" s="267" t="s">
        <v>126</v>
      </c>
      <c r="B31" s="262">
        <v>1</v>
      </c>
      <c r="C31" s="263" t="s">
        <v>237</v>
      </c>
      <c r="D31" s="264" t="s">
        <v>127</v>
      </c>
      <c r="E31" s="264" t="s">
        <v>109</v>
      </c>
      <c r="F31" s="265" t="s">
        <v>113</v>
      </c>
      <c r="G31" s="265" t="s">
        <v>117</v>
      </c>
      <c r="H31" s="265" t="s">
        <v>286</v>
      </c>
      <c r="I31" s="266">
        <v>298</v>
      </c>
    </row>
    <row r="32" spans="1:9" ht="16.8" x14ac:dyDescent="0.3">
      <c r="A32" s="486" t="s">
        <v>148</v>
      </c>
      <c r="B32" s="257">
        <v>2</v>
      </c>
      <c r="C32" s="258" t="s">
        <v>124</v>
      </c>
      <c r="D32" s="259" t="s">
        <v>127</v>
      </c>
      <c r="E32" s="487" t="s">
        <v>149</v>
      </c>
      <c r="F32" s="260" t="s">
        <v>113</v>
      </c>
      <c r="G32" s="260" t="s">
        <v>119</v>
      </c>
      <c r="H32" s="260" t="s">
        <v>288</v>
      </c>
      <c r="I32" s="138">
        <v>116</v>
      </c>
    </row>
    <row r="33" spans="1:9" ht="16.8" x14ac:dyDescent="0.3">
      <c r="A33" s="486" t="s">
        <v>344</v>
      </c>
      <c r="B33" s="257">
        <v>2</v>
      </c>
      <c r="C33" s="258" t="s">
        <v>237</v>
      </c>
      <c r="D33" s="552" t="s">
        <v>129</v>
      </c>
      <c r="E33" s="557" t="s">
        <v>109</v>
      </c>
      <c r="F33" s="553" t="s">
        <v>113</v>
      </c>
      <c r="G33" s="553" t="s">
        <v>142</v>
      </c>
      <c r="H33" s="553" t="s">
        <v>360</v>
      </c>
      <c r="I33" s="102">
        <v>48</v>
      </c>
    </row>
    <row r="34" spans="1:9" ht="16.8" x14ac:dyDescent="0.3">
      <c r="A34" s="486" t="s">
        <v>345</v>
      </c>
      <c r="B34" s="257">
        <v>2</v>
      </c>
      <c r="C34" s="258" t="s">
        <v>116</v>
      </c>
      <c r="D34" s="259" t="s">
        <v>108</v>
      </c>
      <c r="E34" s="383" t="s">
        <v>109</v>
      </c>
      <c r="F34" s="260" t="s">
        <v>361</v>
      </c>
      <c r="G34" s="260" t="s">
        <v>18</v>
      </c>
      <c r="H34" s="260" t="s">
        <v>362</v>
      </c>
      <c r="I34" s="138">
        <v>81</v>
      </c>
    </row>
    <row r="35" spans="1:9" ht="16.8" x14ac:dyDescent="0.3">
      <c r="A35" s="486" t="s">
        <v>251</v>
      </c>
      <c r="B35" s="257">
        <v>2</v>
      </c>
      <c r="C35" s="258" t="s">
        <v>237</v>
      </c>
      <c r="D35" s="259" t="s">
        <v>125</v>
      </c>
      <c r="E35" s="383" t="s">
        <v>109</v>
      </c>
      <c r="F35" s="260" t="s">
        <v>113</v>
      </c>
      <c r="G35" s="260" t="s">
        <v>114</v>
      </c>
      <c r="H35" s="260" t="s">
        <v>286</v>
      </c>
      <c r="I35" s="138">
        <v>207</v>
      </c>
    </row>
    <row r="36" spans="1:9" ht="16.8" x14ac:dyDescent="0.3">
      <c r="A36" s="486" t="s">
        <v>346</v>
      </c>
      <c r="B36" s="257">
        <v>2</v>
      </c>
      <c r="C36" s="258" t="s">
        <v>107</v>
      </c>
      <c r="D36" s="259" t="s">
        <v>108</v>
      </c>
      <c r="E36" s="260" t="s">
        <v>109</v>
      </c>
      <c r="F36" s="260" t="s">
        <v>113</v>
      </c>
      <c r="G36" s="260" t="s">
        <v>114</v>
      </c>
      <c r="H36" s="260" t="s">
        <v>359</v>
      </c>
      <c r="I36" s="138">
        <v>93</v>
      </c>
    </row>
    <row r="37" spans="1:9" ht="16.8" x14ac:dyDescent="0.3">
      <c r="A37" s="486" t="s">
        <v>347</v>
      </c>
      <c r="B37" s="257">
        <v>2</v>
      </c>
      <c r="C37" s="558" t="s">
        <v>124</v>
      </c>
      <c r="D37" s="559" t="s">
        <v>108</v>
      </c>
      <c r="E37" s="560" t="s">
        <v>109</v>
      </c>
      <c r="F37" s="560" t="s">
        <v>361</v>
      </c>
      <c r="G37" s="560" t="s">
        <v>119</v>
      </c>
      <c r="H37" s="560" t="s">
        <v>289</v>
      </c>
      <c r="I37" s="561">
        <v>47</v>
      </c>
    </row>
    <row r="38" spans="1:9" ht="16.8" x14ac:dyDescent="0.3">
      <c r="A38" s="486" t="s">
        <v>139</v>
      </c>
      <c r="B38" s="257">
        <v>2</v>
      </c>
      <c r="C38" s="258" t="s">
        <v>107</v>
      </c>
      <c r="D38" s="259" t="s">
        <v>108</v>
      </c>
      <c r="E38" s="487" t="s">
        <v>109</v>
      </c>
      <c r="F38" s="260" t="s">
        <v>122</v>
      </c>
      <c r="G38" s="260" t="s">
        <v>119</v>
      </c>
      <c r="H38" s="260" t="s">
        <v>288</v>
      </c>
      <c r="I38" s="138">
        <v>118</v>
      </c>
    </row>
    <row r="39" spans="1:9" ht="16.8" x14ac:dyDescent="0.3">
      <c r="A39" s="486" t="s">
        <v>348</v>
      </c>
      <c r="B39" s="257">
        <v>2</v>
      </c>
      <c r="C39" s="258" t="s">
        <v>237</v>
      </c>
      <c r="D39" s="259" t="s">
        <v>108</v>
      </c>
      <c r="E39" s="383" t="s">
        <v>109</v>
      </c>
      <c r="F39" s="260" t="s">
        <v>113</v>
      </c>
      <c r="G39" s="560" t="s">
        <v>142</v>
      </c>
      <c r="H39" s="560" t="s">
        <v>362</v>
      </c>
      <c r="I39" s="138">
        <v>84</v>
      </c>
    </row>
    <row r="40" spans="1:9" ht="16.8" x14ac:dyDescent="0.3">
      <c r="A40" s="486" t="s">
        <v>317</v>
      </c>
      <c r="B40" s="257">
        <v>2</v>
      </c>
      <c r="C40" s="258" t="s">
        <v>107</v>
      </c>
      <c r="D40" s="259" t="s">
        <v>127</v>
      </c>
      <c r="E40" s="383" t="s">
        <v>109</v>
      </c>
      <c r="F40" s="260" t="s">
        <v>113</v>
      </c>
      <c r="G40" s="260" t="s">
        <v>334</v>
      </c>
      <c r="H40" s="260" t="s">
        <v>286</v>
      </c>
      <c r="I40" s="138">
        <v>217</v>
      </c>
    </row>
    <row r="41" spans="1:9" ht="16.8" x14ac:dyDescent="0.3">
      <c r="A41" s="486" t="s">
        <v>349</v>
      </c>
      <c r="B41" s="257">
        <v>2</v>
      </c>
      <c r="C41" s="258" t="s">
        <v>116</v>
      </c>
      <c r="D41" s="259" t="s">
        <v>127</v>
      </c>
      <c r="E41" s="383" t="s">
        <v>109</v>
      </c>
      <c r="F41" s="260" t="s">
        <v>122</v>
      </c>
      <c r="G41" s="260" t="s">
        <v>334</v>
      </c>
      <c r="H41" s="560" t="s">
        <v>356</v>
      </c>
      <c r="I41" s="138">
        <v>146</v>
      </c>
    </row>
    <row r="42" spans="1:9" ht="16.8" x14ac:dyDescent="0.3">
      <c r="A42" s="486" t="s">
        <v>140</v>
      </c>
      <c r="B42" s="257">
        <v>2</v>
      </c>
      <c r="C42" s="258" t="s">
        <v>237</v>
      </c>
      <c r="D42" s="259" t="s">
        <v>108</v>
      </c>
      <c r="E42" s="487" t="s">
        <v>109</v>
      </c>
      <c r="F42" s="260" t="s">
        <v>122</v>
      </c>
      <c r="G42" s="260" t="s">
        <v>119</v>
      </c>
      <c r="H42" s="260" t="s">
        <v>288</v>
      </c>
      <c r="I42" s="138">
        <v>119</v>
      </c>
    </row>
    <row r="43" spans="1:9" ht="16.8" x14ac:dyDescent="0.3">
      <c r="A43" s="486" t="s">
        <v>318</v>
      </c>
      <c r="B43" s="257">
        <v>2</v>
      </c>
      <c r="C43" s="258" t="s">
        <v>237</v>
      </c>
      <c r="D43" s="259" t="s">
        <v>125</v>
      </c>
      <c r="E43" s="383" t="s">
        <v>109</v>
      </c>
      <c r="F43" s="260" t="s">
        <v>113</v>
      </c>
      <c r="G43" s="260" t="s">
        <v>114</v>
      </c>
      <c r="H43" s="260" t="s">
        <v>286</v>
      </c>
      <c r="I43" s="138">
        <v>225</v>
      </c>
    </row>
    <row r="44" spans="1:9" ht="16.8" x14ac:dyDescent="0.3">
      <c r="A44" s="486" t="s">
        <v>350</v>
      </c>
      <c r="B44" s="257">
        <v>2</v>
      </c>
      <c r="C44" s="258" t="s">
        <v>107</v>
      </c>
      <c r="D44" s="259" t="s">
        <v>121</v>
      </c>
      <c r="E44" s="260" t="s">
        <v>149</v>
      </c>
      <c r="F44" s="260" t="s">
        <v>245</v>
      </c>
      <c r="G44" s="260" t="s">
        <v>111</v>
      </c>
      <c r="H44" s="260" t="s">
        <v>359</v>
      </c>
      <c r="I44" s="138">
        <v>99</v>
      </c>
    </row>
    <row r="45" spans="1:9" ht="16.8" x14ac:dyDescent="0.3">
      <c r="A45" s="486" t="s">
        <v>141</v>
      </c>
      <c r="B45" s="257">
        <v>2</v>
      </c>
      <c r="C45" s="258" t="s">
        <v>237</v>
      </c>
      <c r="D45" s="259" t="s">
        <v>108</v>
      </c>
      <c r="E45" s="487" t="s">
        <v>109</v>
      </c>
      <c r="F45" s="260" t="s">
        <v>122</v>
      </c>
      <c r="G45" s="260" t="s">
        <v>142</v>
      </c>
      <c r="H45" s="260" t="s">
        <v>288</v>
      </c>
      <c r="I45" s="138">
        <v>125</v>
      </c>
    </row>
    <row r="46" spans="1:9" ht="16.8" x14ac:dyDescent="0.3">
      <c r="A46" s="486" t="s">
        <v>351</v>
      </c>
      <c r="B46" s="257">
        <v>2</v>
      </c>
      <c r="C46" s="258" t="s">
        <v>124</v>
      </c>
      <c r="D46" s="259" t="s">
        <v>108</v>
      </c>
      <c r="E46" s="260" t="s">
        <v>109</v>
      </c>
      <c r="F46" s="260" t="s">
        <v>113</v>
      </c>
      <c r="G46" s="260" t="s">
        <v>111</v>
      </c>
      <c r="H46" s="260" t="s">
        <v>359</v>
      </c>
      <c r="I46" s="138">
        <v>103</v>
      </c>
    </row>
    <row r="47" spans="1:9" ht="16.8" x14ac:dyDescent="0.3">
      <c r="A47" s="486" t="s">
        <v>319</v>
      </c>
      <c r="B47" s="257">
        <v>2</v>
      </c>
      <c r="C47" s="258" t="s">
        <v>237</v>
      </c>
      <c r="D47" s="259" t="s">
        <v>125</v>
      </c>
      <c r="E47" s="383" t="s">
        <v>109</v>
      </c>
      <c r="F47" s="260" t="s">
        <v>113</v>
      </c>
      <c r="G47" s="260" t="s">
        <v>114</v>
      </c>
      <c r="H47" s="260" t="s">
        <v>286</v>
      </c>
      <c r="I47" s="138">
        <v>259</v>
      </c>
    </row>
    <row r="48" spans="1:9" ht="16.8" x14ac:dyDescent="0.3">
      <c r="A48" s="486" t="s">
        <v>320</v>
      </c>
      <c r="B48" s="257">
        <v>2</v>
      </c>
      <c r="C48" s="258" t="s">
        <v>107</v>
      </c>
      <c r="D48" s="259" t="s">
        <v>108</v>
      </c>
      <c r="E48" s="383" t="s">
        <v>109</v>
      </c>
      <c r="F48" s="260" t="s">
        <v>110</v>
      </c>
      <c r="G48" s="260" t="s">
        <v>111</v>
      </c>
      <c r="H48" s="260" t="s">
        <v>286</v>
      </c>
      <c r="I48" s="138">
        <v>271</v>
      </c>
    </row>
    <row r="49" spans="1:9" ht="16.8" x14ac:dyDescent="0.3">
      <c r="A49" s="486" t="s">
        <v>321</v>
      </c>
      <c r="B49" s="257">
        <v>2</v>
      </c>
      <c r="C49" s="258" t="s">
        <v>124</v>
      </c>
      <c r="D49" s="259" t="s">
        <v>127</v>
      </c>
      <c r="E49" s="383" t="s">
        <v>109</v>
      </c>
      <c r="F49" s="260" t="s">
        <v>113</v>
      </c>
      <c r="G49" s="260" t="s">
        <v>119</v>
      </c>
      <c r="H49" s="260" t="s">
        <v>286</v>
      </c>
      <c r="I49" s="138">
        <v>272</v>
      </c>
    </row>
    <row r="50" spans="1:9" ht="16.8" x14ac:dyDescent="0.3">
      <c r="A50" s="486" t="s">
        <v>371</v>
      </c>
      <c r="B50" s="257">
        <v>2</v>
      </c>
      <c r="C50" s="258" t="s">
        <v>124</v>
      </c>
      <c r="D50" s="259" t="s">
        <v>372</v>
      </c>
      <c r="E50" s="383" t="s">
        <v>109</v>
      </c>
      <c r="F50" s="260" t="s">
        <v>113</v>
      </c>
      <c r="G50" s="260" t="s">
        <v>114</v>
      </c>
      <c r="H50" s="260" t="s">
        <v>373</v>
      </c>
      <c r="I50" s="138">
        <v>115</v>
      </c>
    </row>
    <row r="51" spans="1:9" ht="16.8" x14ac:dyDescent="0.3">
      <c r="A51" s="486" t="s">
        <v>322</v>
      </c>
      <c r="B51" s="257">
        <v>2</v>
      </c>
      <c r="C51" s="258" t="s">
        <v>124</v>
      </c>
      <c r="D51" s="259" t="s">
        <v>121</v>
      </c>
      <c r="E51" s="383" t="s">
        <v>109</v>
      </c>
      <c r="F51" s="260" t="s">
        <v>110</v>
      </c>
      <c r="G51" s="260" t="s">
        <v>334</v>
      </c>
      <c r="H51" s="260" t="s">
        <v>286</v>
      </c>
      <c r="I51" s="138">
        <v>278</v>
      </c>
    </row>
    <row r="52" spans="1:9" ht="16.8" x14ac:dyDescent="0.3">
      <c r="A52" s="486" t="s">
        <v>376</v>
      </c>
      <c r="B52" s="257">
        <v>2</v>
      </c>
      <c r="C52" s="258" t="s">
        <v>237</v>
      </c>
      <c r="D52" s="259" t="s">
        <v>108</v>
      </c>
      <c r="E52" s="383" t="s">
        <v>109</v>
      </c>
      <c r="F52" s="260" t="s">
        <v>122</v>
      </c>
      <c r="G52" s="260" t="s">
        <v>377</v>
      </c>
      <c r="H52" s="260" t="s">
        <v>378</v>
      </c>
      <c r="I52" s="138">
        <v>73</v>
      </c>
    </row>
    <row r="53" spans="1:9" ht="16.8" x14ac:dyDescent="0.3">
      <c r="A53" s="486" t="s">
        <v>144</v>
      </c>
      <c r="B53" s="257">
        <v>2</v>
      </c>
      <c r="C53" s="258" t="s">
        <v>107</v>
      </c>
      <c r="D53" s="259" t="s">
        <v>108</v>
      </c>
      <c r="E53" s="487" t="s">
        <v>109</v>
      </c>
      <c r="F53" s="260" t="s">
        <v>122</v>
      </c>
      <c r="G53" s="260" t="s">
        <v>117</v>
      </c>
      <c r="H53" s="260" t="s">
        <v>288</v>
      </c>
      <c r="I53" s="138">
        <v>129</v>
      </c>
    </row>
    <row r="54" spans="1:9" ht="16.8" x14ac:dyDescent="0.3">
      <c r="A54" s="486" t="s">
        <v>145</v>
      </c>
      <c r="B54" s="257">
        <v>2</v>
      </c>
      <c r="C54" s="258" t="s">
        <v>238</v>
      </c>
      <c r="D54" s="259" t="s">
        <v>127</v>
      </c>
      <c r="E54" s="487" t="s">
        <v>109</v>
      </c>
      <c r="F54" s="260" t="s">
        <v>122</v>
      </c>
      <c r="G54" s="260" t="s">
        <v>146</v>
      </c>
      <c r="H54" s="260" t="s">
        <v>288</v>
      </c>
      <c r="I54" s="138">
        <v>129</v>
      </c>
    </row>
    <row r="55" spans="1:9" ht="16.8" x14ac:dyDescent="0.3">
      <c r="A55" s="486" t="s">
        <v>323</v>
      </c>
      <c r="B55" s="257">
        <v>2</v>
      </c>
      <c r="C55" s="258" t="s">
        <v>124</v>
      </c>
      <c r="D55" s="259" t="s">
        <v>108</v>
      </c>
      <c r="E55" s="383" t="s">
        <v>109</v>
      </c>
      <c r="F55" s="260" t="s">
        <v>110</v>
      </c>
      <c r="G55" s="260" t="s">
        <v>134</v>
      </c>
      <c r="H55" s="260" t="s">
        <v>286</v>
      </c>
      <c r="I55" s="138">
        <v>297</v>
      </c>
    </row>
    <row r="56" spans="1:9" ht="16.8" x14ac:dyDescent="0.3">
      <c r="A56" s="486" t="s">
        <v>365</v>
      </c>
      <c r="B56" s="257">
        <v>2</v>
      </c>
      <c r="C56" s="258" t="s">
        <v>124</v>
      </c>
      <c r="D56" s="259" t="s">
        <v>108</v>
      </c>
      <c r="E56" s="383" t="s">
        <v>109</v>
      </c>
      <c r="F56" s="260" t="s">
        <v>122</v>
      </c>
      <c r="G56" s="260" t="s">
        <v>142</v>
      </c>
      <c r="H56" s="260" t="s">
        <v>362</v>
      </c>
      <c r="I56" s="138">
        <v>92</v>
      </c>
    </row>
    <row r="57" spans="1:9" ht="16.8" x14ac:dyDescent="0.3">
      <c r="A57" s="267" t="s">
        <v>324</v>
      </c>
      <c r="B57" s="262">
        <v>2</v>
      </c>
      <c r="C57" s="263" t="s">
        <v>238</v>
      </c>
      <c r="D57" s="264" t="s">
        <v>127</v>
      </c>
      <c r="E57" s="265" t="s">
        <v>109</v>
      </c>
      <c r="F57" s="265" t="s">
        <v>110</v>
      </c>
      <c r="G57" s="265" t="s">
        <v>114</v>
      </c>
      <c r="H57" s="265" t="s">
        <v>286</v>
      </c>
      <c r="I57" s="556">
        <v>303</v>
      </c>
    </row>
    <row r="58" spans="1:9" ht="16.8" x14ac:dyDescent="0.3">
      <c r="A58" s="486" t="s">
        <v>352</v>
      </c>
      <c r="B58" s="257">
        <v>3</v>
      </c>
      <c r="C58" s="258" t="s">
        <v>116</v>
      </c>
      <c r="D58" s="259" t="s">
        <v>108</v>
      </c>
      <c r="E58" s="383" t="s">
        <v>109</v>
      </c>
      <c r="F58" s="260" t="s">
        <v>122</v>
      </c>
      <c r="G58" s="260" t="s">
        <v>114</v>
      </c>
      <c r="H58" s="260" t="s">
        <v>359</v>
      </c>
      <c r="I58" s="138">
        <v>92</v>
      </c>
    </row>
    <row r="59" spans="1:9" ht="16.8" x14ac:dyDescent="0.3">
      <c r="A59" s="486" t="s">
        <v>326</v>
      </c>
      <c r="B59" s="257">
        <v>3</v>
      </c>
      <c r="C59" s="258" t="s">
        <v>112</v>
      </c>
      <c r="D59" s="259" t="s">
        <v>108</v>
      </c>
      <c r="E59" s="383" t="s">
        <v>109</v>
      </c>
      <c r="F59" s="260" t="s">
        <v>113</v>
      </c>
      <c r="G59" s="260" t="s">
        <v>111</v>
      </c>
      <c r="H59" s="260" t="s">
        <v>286</v>
      </c>
      <c r="I59" s="138">
        <v>216</v>
      </c>
    </row>
    <row r="60" spans="1:9" ht="16.8" x14ac:dyDescent="0.3">
      <c r="A60" s="486" t="s">
        <v>327</v>
      </c>
      <c r="B60" s="257">
        <v>3</v>
      </c>
      <c r="C60" s="258" t="s">
        <v>118</v>
      </c>
      <c r="D60" s="259" t="s">
        <v>108</v>
      </c>
      <c r="E60" s="383" t="s">
        <v>109</v>
      </c>
      <c r="F60" s="260" t="s">
        <v>113</v>
      </c>
      <c r="G60" s="260" t="s">
        <v>119</v>
      </c>
      <c r="H60" s="260" t="s">
        <v>286</v>
      </c>
      <c r="I60" s="138">
        <v>216</v>
      </c>
    </row>
    <row r="61" spans="1:9" ht="16.8" x14ac:dyDescent="0.3">
      <c r="A61" s="486" t="s">
        <v>353</v>
      </c>
      <c r="B61" s="257">
        <v>3</v>
      </c>
      <c r="C61" s="258" t="s">
        <v>237</v>
      </c>
      <c r="D61" s="259" t="s">
        <v>127</v>
      </c>
      <c r="E61" s="383" t="s">
        <v>109</v>
      </c>
      <c r="F61" s="260" t="s">
        <v>113</v>
      </c>
      <c r="G61" s="260" t="s">
        <v>142</v>
      </c>
      <c r="H61" s="260" t="s">
        <v>288</v>
      </c>
      <c r="I61" s="138">
        <v>119</v>
      </c>
    </row>
    <row r="62" spans="1:9" ht="16.8" x14ac:dyDescent="0.3">
      <c r="A62" s="486" t="s">
        <v>328</v>
      </c>
      <c r="B62" s="257">
        <v>3</v>
      </c>
      <c r="C62" s="258" t="s">
        <v>116</v>
      </c>
      <c r="D62" s="259" t="s">
        <v>127</v>
      </c>
      <c r="E62" s="383" t="s">
        <v>109</v>
      </c>
      <c r="F62" s="260" t="s">
        <v>110</v>
      </c>
      <c r="G62" s="260" t="s">
        <v>142</v>
      </c>
      <c r="H62" s="260" t="s">
        <v>286</v>
      </c>
      <c r="I62" s="138">
        <v>221</v>
      </c>
    </row>
    <row r="63" spans="1:9" ht="16.8" x14ac:dyDescent="0.3">
      <c r="A63" s="486" t="s">
        <v>329</v>
      </c>
      <c r="B63" s="257">
        <v>3</v>
      </c>
      <c r="C63" s="258" t="s">
        <v>124</v>
      </c>
      <c r="D63" s="259" t="s">
        <v>108</v>
      </c>
      <c r="E63" s="383" t="s">
        <v>109</v>
      </c>
      <c r="F63" s="260" t="s">
        <v>335</v>
      </c>
      <c r="G63" s="260" t="s">
        <v>111</v>
      </c>
      <c r="H63" s="260" t="s">
        <v>286</v>
      </c>
      <c r="I63" s="138">
        <v>223</v>
      </c>
    </row>
    <row r="64" spans="1:9" ht="16.8" x14ac:dyDescent="0.3">
      <c r="A64" s="486" t="s">
        <v>374</v>
      </c>
      <c r="B64" s="257">
        <v>3</v>
      </c>
      <c r="C64" s="258" t="s">
        <v>237</v>
      </c>
      <c r="D64" s="552" t="s">
        <v>129</v>
      </c>
      <c r="E64" s="383" t="s">
        <v>109</v>
      </c>
      <c r="F64" s="260" t="s">
        <v>113</v>
      </c>
      <c r="G64" s="260" t="s">
        <v>142</v>
      </c>
      <c r="H64" s="260" t="s">
        <v>373</v>
      </c>
      <c r="I64" s="138">
        <v>113</v>
      </c>
    </row>
    <row r="65" spans="1:9" ht="16.8" x14ac:dyDescent="0.3">
      <c r="A65" s="486" t="s">
        <v>375</v>
      </c>
      <c r="B65" s="257">
        <v>3</v>
      </c>
      <c r="C65" s="258" t="s">
        <v>116</v>
      </c>
      <c r="D65" s="259" t="s">
        <v>372</v>
      </c>
      <c r="E65" s="383" t="s">
        <v>109</v>
      </c>
      <c r="F65" s="260" t="s">
        <v>122</v>
      </c>
      <c r="G65" s="260" t="s">
        <v>142</v>
      </c>
      <c r="H65" s="260" t="s">
        <v>373</v>
      </c>
      <c r="I65" s="138">
        <v>113</v>
      </c>
    </row>
    <row r="66" spans="1:9" ht="16.8" x14ac:dyDescent="0.3">
      <c r="A66" s="486" t="s">
        <v>330</v>
      </c>
      <c r="B66" s="257">
        <v>3</v>
      </c>
      <c r="C66" s="258" t="s">
        <v>107</v>
      </c>
      <c r="D66" s="259" t="s">
        <v>108</v>
      </c>
      <c r="E66" s="383" t="s">
        <v>109</v>
      </c>
      <c r="F66" s="260" t="s">
        <v>113</v>
      </c>
      <c r="G66" s="260" t="s">
        <v>111</v>
      </c>
      <c r="H66" s="260" t="s">
        <v>286</v>
      </c>
      <c r="I66" s="138">
        <v>239</v>
      </c>
    </row>
    <row r="67" spans="1:9" ht="16.8" x14ac:dyDescent="0.3">
      <c r="A67" s="486" t="s">
        <v>354</v>
      </c>
      <c r="B67" s="257">
        <v>3</v>
      </c>
      <c r="C67" s="258" t="s">
        <v>118</v>
      </c>
      <c r="D67" s="259" t="s">
        <v>363</v>
      </c>
      <c r="E67" s="383" t="s">
        <v>109</v>
      </c>
      <c r="F67" s="260" t="s">
        <v>213</v>
      </c>
      <c r="G67" s="260" t="s">
        <v>111</v>
      </c>
      <c r="H67" s="260" t="s">
        <v>364</v>
      </c>
      <c r="I67" s="138">
        <v>212</v>
      </c>
    </row>
    <row r="68" spans="1:9" ht="16.8" x14ac:dyDescent="0.3">
      <c r="A68" s="486" t="s">
        <v>325</v>
      </c>
      <c r="B68" s="257">
        <v>3</v>
      </c>
      <c r="C68" s="258" t="s">
        <v>124</v>
      </c>
      <c r="D68" s="259" t="s">
        <v>336</v>
      </c>
      <c r="E68" s="383" t="s">
        <v>109</v>
      </c>
      <c r="F68" s="260" t="s">
        <v>337</v>
      </c>
      <c r="G68" s="260" t="s">
        <v>119</v>
      </c>
      <c r="H68" s="260" t="s">
        <v>286</v>
      </c>
      <c r="I68" s="138">
        <v>250</v>
      </c>
    </row>
    <row r="69" spans="1:9" ht="16.8" x14ac:dyDescent="0.3">
      <c r="A69" s="486" t="s">
        <v>309</v>
      </c>
      <c r="B69" s="257">
        <v>3</v>
      </c>
      <c r="C69" s="258" t="s">
        <v>124</v>
      </c>
      <c r="D69" s="259" t="s">
        <v>336</v>
      </c>
      <c r="E69" s="383" t="s">
        <v>109</v>
      </c>
      <c r="F69" s="260" t="s">
        <v>337</v>
      </c>
      <c r="G69" s="260" t="s">
        <v>119</v>
      </c>
      <c r="H69" s="260" t="s">
        <v>286</v>
      </c>
      <c r="I69" s="138">
        <v>250</v>
      </c>
    </row>
    <row r="70" spans="1:9" ht="16.8" x14ac:dyDescent="0.3">
      <c r="A70" s="486" t="s">
        <v>331</v>
      </c>
      <c r="B70" s="257">
        <v>3</v>
      </c>
      <c r="C70" s="551" t="s">
        <v>237</v>
      </c>
      <c r="D70" s="552" t="s">
        <v>136</v>
      </c>
      <c r="E70" s="553" t="s">
        <v>109</v>
      </c>
      <c r="F70" s="553" t="s">
        <v>110</v>
      </c>
      <c r="G70" s="553" t="s">
        <v>334</v>
      </c>
      <c r="H70" s="260" t="s">
        <v>286</v>
      </c>
      <c r="I70" s="554">
        <v>251</v>
      </c>
    </row>
    <row r="71" spans="1:9" ht="16.8" x14ac:dyDescent="0.3">
      <c r="A71" s="486" t="s">
        <v>367</v>
      </c>
      <c r="B71" s="257">
        <v>3</v>
      </c>
      <c r="C71" s="551" t="s">
        <v>116</v>
      </c>
      <c r="D71" s="552" t="s">
        <v>127</v>
      </c>
      <c r="E71" s="553" t="s">
        <v>109</v>
      </c>
      <c r="F71" s="553" t="s">
        <v>110</v>
      </c>
      <c r="G71" s="553" t="s">
        <v>142</v>
      </c>
      <c r="H71" s="260" t="s">
        <v>359</v>
      </c>
      <c r="I71" s="554">
        <v>102</v>
      </c>
    </row>
    <row r="72" spans="1:9" ht="16.8" x14ac:dyDescent="0.3">
      <c r="A72" s="486" t="s">
        <v>332</v>
      </c>
      <c r="B72" s="257">
        <v>3</v>
      </c>
      <c r="C72" s="258" t="s">
        <v>107</v>
      </c>
      <c r="D72" s="259" t="s">
        <v>127</v>
      </c>
      <c r="E72" s="383" t="s">
        <v>109</v>
      </c>
      <c r="F72" s="260" t="s">
        <v>213</v>
      </c>
      <c r="G72" s="260" t="s">
        <v>142</v>
      </c>
      <c r="H72" s="260" t="s">
        <v>286</v>
      </c>
      <c r="I72" s="261">
        <v>263</v>
      </c>
    </row>
    <row r="73" spans="1:9" ht="16.8" x14ac:dyDescent="0.3">
      <c r="A73" s="486" t="s">
        <v>333</v>
      </c>
      <c r="B73" s="257">
        <v>3</v>
      </c>
      <c r="C73" s="258" t="s">
        <v>107</v>
      </c>
      <c r="D73" s="259" t="s">
        <v>108</v>
      </c>
      <c r="E73" s="383" t="s">
        <v>109</v>
      </c>
      <c r="F73" s="260" t="s">
        <v>113</v>
      </c>
      <c r="G73" s="260" t="s">
        <v>111</v>
      </c>
      <c r="H73" s="260" t="s">
        <v>286</v>
      </c>
      <c r="I73" s="138">
        <v>270</v>
      </c>
    </row>
    <row r="74" spans="1:9" ht="16.8" x14ac:dyDescent="0.3">
      <c r="A74" s="486" t="s">
        <v>310</v>
      </c>
      <c r="B74" s="257">
        <v>3</v>
      </c>
      <c r="C74" s="258" t="s">
        <v>124</v>
      </c>
      <c r="D74" s="259" t="s">
        <v>108</v>
      </c>
      <c r="E74" s="383" t="s">
        <v>109</v>
      </c>
      <c r="F74" s="260" t="s">
        <v>113</v>
      </c>
      <c r="G74" s="260" t="s">
        <v>111</v>
      </c>
      <c r="H74" s="260" t="s">
        <v>286</v>
      </c>
      <c r="I74" s="138">
        <v>270</v>
      </c>
    </row>
    <row r="75" spans="1:9" ht="16.8" x14ac:dyDescent="0.3">
      <c r="A75" s="486" t="s">
        <v>382</v>
      </c>
      <c r="B75" s="257">
        <v>3</v>
      </c>
      <c r="C75" s="258" t="s">
        <v>124</v>
      </c>
      <c r="D75" s="259" t="s">
        <v>127</v>
      </c>
      <c r="E75" s="383" t="s">
        <v>109</v>
      </c>
      <c r="F75" s="553" t="s">
        <v>113</v>
      </c>
      <c r="G75" s="260" t="s">
        <v>119</v>
      </c>
      <c r="H75" s="260" t="s">
        <v>383</v>
      </c>
      <c r="I75" s="138">
        <v>132</v>
      </c>
    </row>
    <row r="76" spans="1:9" ht="16.8" x14ac:dyDescent="0.3">
      <c r="A76" s="486" t="s">
        <v>283</v>
      </c>
      <c r="B76" s="257">
        <v>3</v>
      </c>
      <c r="C76" s="258" t="s">
        <v>237</v>
      </c>
      <c r="D76" s="259" t="s">
        <v>127</v>
      </c>
      <c r="E76" s="487" t="s">
        <v>109</v>
      </c>
      <c r="F76" s="260" t="s">
        <v>122</v>
      </c>
      <c r="G76" s="260" t="s">
        <v>114</v>
      </c>
      <c r="H76" s="260" t="s">
        <v>289</v>
      </c>
      <c r="I76" s="138">
        <v>177</v>
      </c>
    </row>
    <row r="77" spans="1:9" ht="16.8" x14ac:dyDescent="0.3">
      <c r="A77" s="486" t="s">
        <v>355</v>
      </c>
      <c r="B77" s="257">
        <v>3</v>
      </c>
      <c r="C77" s="258" t="s">
        <v>107</v>
      </c>
      <c r="D77" s="259" t="s">
        <v>108</v>
      </c>
      <c r="E77" s="260" t="s">
        <v>109</v>
      </c>
      <c r="F77" s="260" t="s">
        <v>122</v>
      </c>
      <c r="G77" s="260" t="s">
        <v>119</v>
      </c>
      <c r="H77" s="260" t="s">
        <v>359</v>
      </c>
      <c r="I77" s="138">
        <v>107</v>
      </c>
    </row>
    <row r="78" spans="1:9" ht="17.399999999999999" thickBot="1" x14ac:dyDescent="0.35">
      <c r="A78" s="488" t="s">
        <v>147</v>
      </c>
      <c r="B78" s="481">
        <v>3</v>
      </c>
      <c r="C78" s="482" t="s">
        <v>237</v>
      </c>
      <c r="D78" s="483" t="s">
        <v>108</v>
      </c>
      <c r="E78" s="489" t="s">
        <v>109</v>
      </c>
      <c r="F78" s="484" t="s">
        <v>113</v>
      </c>
      <c r="G78" s="484" t="s">
        <v>114</v>
      </c>
      <c r="H78" s="484" t="s">
        <v>288</v>
      </c>
      <c r="I78" s="485">
        <v>129</v>
      </c>
    </row>
    <row r="79" spans="1:9" ht="16.2" thickTop="1" x14ac:dyDescent="0.3"/>
  </sheetData>
  <sortState ref="A3:I67">
    <sortCondition ref="B3:B67"/>
    <sortCondition ref="A3:A67"/>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0"/>
  <sheetViews>
    <sheetView showGridLines="0" workbookViewId="0"/>
  </sheetViews>
  <sheetFormatPr defaultColWidth="13" defaultRowHeight="15.6" x14ac:dyDescent="0.3"/>
  <cols>
    <col min="1" max="1" width="19.5" style="87" bestFit="1" customWidth="1"/>
    <col min="2" max="2" width="6.19921875" style="87" bestFit="1" customWidth="1"/>
    <col min="3" max="3" width="4.09765625" style="87" bestFit="1" customWidth="1"/>
    <col min="4" max="4" width="6.296875" style="86" bestFit="1" customWidth="1"/>
    <col min="5" max="5" width="1.8984375" style="86" customWidth="1"/>
    <col min="6" max="6" width="18.59765625" style="86" bestFit="1" customWidth="1"/>
    <col min="7" max="7" width="3.5" style="86" bestFit="1" customWidth="1"/>
    <col min="8" max="8" width="3.3984375" style="86" bestFit="1" customWidth="1"/>
    <col min="9" max="9" width="3.8984375" style="86" bestFit="1" customWidth="1"/>
    <col min="10" max="10" width="3.59765625" style="86" bestFit="1" customWidth="1"/>
    <col min="11" max="11" width="3.5" style="86" bestFit="1" customWidth="1"/>
    <col min="12" max="16384" width="13" style="76"/>
  </cols>
  <sheetData>
    <row r="1" spans="1:11" ht="24" thickTop="1" thickBot="1" x14ac:dyDescent="0.35">
      <c r="A1" s="73" t="s">
        <v>97</v>
      </c>
      <c r="B1" s="74"/>
      <c r="C1" s="74"/>
      <c r="D1" s="75"/>
      <c r="E1" s="76"/>
      <c r="F1" s="82"/>
      <c r="G1" s="352" t="s">
        <v>231</v>
      </c>
      <c r="H1" s="353"/>
      <c r="I1" s="354"/>
      <c r="J1" s="354"/>
      <c r="K1" s="355"/>
    </row>
    <row r="2" spans="1:11" ht="18" thickTop="1" thickBot="1" x14ac:dyDescent="0.35">
      <c r="A2" s="77" t="s">
        <v>77</v>
      </c>
      <c r="B2" s="78" t="s">
        <v>4</v>
      </c>
      <c r="C2" s="78" t="s">
        <v>100</v>
      </c>
      <c r="D2" s="79" t="s">
        <v>78</v>
      </c>
      <c r="E2" s="80"/>
      <c r="F2" s="82"/>
      <c r="G2" s="356" t="s">
        <v>226</v>
      </c>
      <c r="H2" s="357" t="s">
        <v>226</v>
      </c>
      <c r="I2" s="357" t="s">
        <v>227</v>
      </c>
      <c r="J2" s="357" t="s">
        <v>228</v>
      </c>
      <c r="K2" s="358" t="s">
        <v>229</v>
      </c>
    </row>
    <row r="3" spans="1:11" ht="17.399999999999999" thickTop="1" x14ac:dyDescent="0.3">
      <c r="A3" s="360" t="s">
        <v>236</v>
      </c>
      <c r="B3" s="361">
        <v>1</v>
      </c>
      <c r="C3" s="377">
        <f>SUM(10+B3+'Personal File'!$C$13)</f>
        <v>14</v>
      </c>
      <c r="D3" s="362" t="s">
        <v>398</v>
      </c>
      <c r="E3" s="80"/>
      <c r="F3" s="347" t="s">
        <v>232</v>
      </c>
      <c r="G3" s="348">
        <v>0</v>
      </c>
      <c r="H3" s="366">
        <v>0</v>
      </c>
      <c r="I3" s="366">
        <v>0</v>
      </c>
      <c r="J3" s="366">
        <v>0</v>
      </c>
      <c r="K3" s="368">
        <v>0</v>
      </c>
    </row>
    <row r="4" spans="1:11" ht="16.8" x14ac:dyDescent="0.3">
      <c r="A4" s="372" t="s">
        <v>274</v>
      </c>
      <c r="B4" s="373">
        <v>1</v>
      </c>
      <c r="C4" s="378">
        <f>SUM(10+B4+'Personal File'!$C$13)</f>
        <v>14</v>
      </c>
      <c r="D4" s="374" t="s">
        <v>398</v>
      </c>
      <c r="E4" s="80"/>
      <c r="F4" s="349" t="s">
        <v>234</v>
      </c>
      <c r="G4" s="350">
        <v>1</v>
      </c>
      <c r="H4" s="367">
        <v>0</v>
      </c>
      <c r="I4" s="367">
        <v>0</v>
      </c>
      <c r="J4" s="367">
        <v>0</v>
      </c>
      <c r="K4" s="369">
        <v>0</v>
      </c>
    </row>
    <row r="5" spans="1:11" ht="16.8" x14ac:dyDescent="0.3">
      <c r="A5" s="267" t="s">
        <v>249</v>
      </c>
      <c r="B5" s="104">
        <v>1</v>
      </c>
      <c r="C5" s="379">
        <f>SUM(10+B5+'Personal File'!$C$13)</f>
        <v>14</v>
      </c>
      <c r="D5" s="374" t="s">
        <v>398</v>
      </c>
      <c r="E5" s="80"/>
      <c r="F5" s="349" t="s">
        <v>233</v>
      </c>
      <c r="G5" s="350">
        <v>1</v>
      </c>
      <c r="H5" s="364">
        <v>1</v>
      </c>
      <c r="I5" s="364">
        <v>1</v>
      </c>
      <c r="J5" s="367">
        <v>0</v>
      </c>
      <c r="K5" s="369">
        <v>0</v>
      </c>
    </row>
    <row r="6" spans="1:11" ht="16.8" x14ac:dyDescent="0.3">
      <c r="A6" s="360" t="s">
        <v>251</v>
      </c>
      <c r="B6" s="361">
        <v>2</v>
      </c>
      <c r="C6" s="377">
        <f>SUM(10+B6+'Personal File'!$C$13)</f>
        <v>15</v>
      </c>
      <c r="D6" s="362" t="s">
        <v>398</v>
      </c>
      <c r="E6" s="80"/>
      <c r="F6" s="349" t="s">
        <v>235</v>
      </c>
      <c r="G6" s="350">
        <v>1</v>
      </c>
      <c r="H6" s="364">
        <v>1</v>
      </c>
      <c r="I6" s="537">
        <v>1</v>
      </c>
      <c r="J6" s="367">
        <v>0</v>
      </c>
      <c r="K6" s="369">
        <v>0</v>
      </c>
    </row>
    <row r="7" spans="1:11" ht="17.399999999999999" thickBot="1" x14ac:dyDescent="0.35">
      <c r="A7" s="267" t="s">
        <v>251</v>
      </c>
      <c r="B7" s="104">
        <v>2</v>
      </c>
      <c r="C7" s="379">
        <f>SUM(10+B7+'Personal File'!$C$13)</f>
        <v>15</v>
      </c>
      <c r="D7" s="83" t="s">
        <v>398</v>
      </c>
      <c r="E7" s="80"/>
      <c r="F7" s="351" t="s">
        <v>230</v>
      </c>
      <c r="G7" s="359">
        <f t="shared" ref="G7:K7" si="0">SUM(G3:G6)</f>
        <v>3</v>
      </c>
      <c r="H7" s="365">
        <f t="shared" si="0"/>
        <v>2</v>
      </c>
      <c r="I7" s="365">
        <f t="shared" ref="I7" si="1">SUM(I3:I6)</f>
        <v>2</v>
      </c>
      <c r="J7" s="370">
        <f t="shared" si="0"/>
        <v>0</v>
      </c>
      <c r="K7" s="371">
        <f t="shared" si="0"/>
        <v>0</v>
      </c>
    </row>
    <row r="8" spans="1:11" ht="17.399999999999999" thickTop="1" x14ac:dyDescent="0.3">
      <c r="A8" s="360" t="s">
        <v>283</v>
      </c>
      <c r="B8" s="361">
        <v>3</v>
      </c>
      <c r="C8" s="377">
        <f>SUM(10+B8+'Personal File'!$C$13)</f>
        <v>16</v>
      </c>
      <c r="D8" s="362" t="s">
        <v>399</v>
      </c>
      <c r="E8" s="80"/>
      <c r="F8" s="80"/>
      <c r="G8" s="80"/>
      <c r="H8" s="80"/>
      <c r="I8" s="80"/>
      <c r="J8" s="80"/>
      <c r="K8" s="80"/>
    </row>
    <row r="9" spans="1:11" ht="17.399999999999999" thickBot="1" x14ac:dyDescent="0.35">
      <c r="A9" s="505" t="s">
        <v>283</v>
      </c>
      <c r="B9" s="506">
        <v>3</v>
      </c>
      <c r="C9" s="507">
        <f>SUM(10+B9+'Personal File'!$C$13)</f>
        <v>16</v>
      </c>
      <c r="D9" s="508" t="s">
        <v>398</v>
      </c>
      <c r="E9" s="80"/>
      <c r="F9" s="87" t="s">
        <v>400</v>
      </c>
      <c r="G9" s="585">
        <f>0.5*SUM('Personal File'!E3:E4)</f>
        <v>5.5</v>
      </c>
      <c r="J9" s="80"/>
      <c r="K9" s="80"/>
    </row>
    <row r="10" spans="1:11" ht="16.8" thickTop="1" thickBot="1" x14ac:dyDescent="0.35">
      <c r="E10" s="80"/>
      <c r="J10" s="80"/>
      <c r="K10" s="80"/>
    </row>
    <row r="11" spans="1:11" ht="24" thickTop="1" thickBot="1" x14ac:dyDescent="0.35">
      <c r="A11" s="73" t="s">
        <v>282</v>
      </c>
      <c r="B11" s="74"/>
      <c r="C11" s="74"/>
      <c r="D11" s="75"/>
      <c r="E11" s="80"/>
      <c r="F11" s="430" t="s">
        <v>263</v>
      </c>
      <c r="G11" s="431"/>
      <c r="J11" s="80"/>
      <c r="K11" s="80"/>
    </row>
    <row r="12" spans="1:11" ht="17.399999999999999" thickTop="1" x14ac:dyDescent="0.3">
      <c r="A12" s="77" t="s">
        <v>77</v>
      </c>
      <c r="B12" s="78" t="s">
        <v>4</v>
      </c>
      <c r="C12" s="78" t="s">
        <v>100</v>
      </c>
      <c r="D12" s="79" t="s">
        <v>78</v>
      </c>
      <c r="E12" s="80"/>
      <c r="F12" s="575" t="s">
        <v>264</v>
      </c>
      <c r="G12" s="433">
        <f>'Personal File'!E3+'Personal File'!E4-3</f>
        <v>8</v>
      </c>
      <c r="J12" s="80"/>
      <c r="K12" s="80"/>
    </row>
    <row r="13" spans="1:11" ht="16.8" x14ac:dyDescent="0.3">
      <c r="A13" s="360" t="s">
        <v>274</v>
      </c>
      <c r="B13" s="361">
        <v>1</v>
      </c>
      <c r="C13" s="377">
        <f>SUM(10+B13+'Personal File'!$C$13)</f>
        <v>14</v>
      </c>
      <c r="D13" s="362" t="s">
        <v>398</v>
      </c>
      <c r="E13" s="80"/>
      <c r="F13" s="575" t="s">
        <v>265</v>
      </c>
      <c r="G13" s="432">
        <f>3+'Personal File'!$C$13</f>
        <v>6</v>
      </c>
      <c r="J13" s="80"/>
      <c r="K13" s="80"/>
    </row>
    <row r="14" spans="1:11" ht="16.8" x14ac:dyDescent="0.3">
      <c r="A14" s="372" t="s">
        <v>249</v>
      </c>
      <c r="B14" s="373">
        <v>1</v>
      </c>
      <c r="C14" s="378">
        <f>SUM(10+B14+'Personal File'!$C$13)</f>
        <v>14</v>
      </c>
      <c r="D14" s="374" t="s">
        <v>398</v>
      </c>
      <c r="E14" s="80"/>
      <c r="F14" s="576" t="s">
        <v>266</v>
      </c>
      <c r="G14" s="434">
        <f ca="1">RANDBETWEEN(1,20)</f>
        <v>12</v>
      </c>
      <c r="J14" s="80"/>
      <c r="K14" s="80"/>
    </row>
    <row r="15" spans="1:11" ht="16.8" x14ac:dyDescent="0.3">
      <c r="A15" s="267" t="s">
        <v>131</v>
      </c>
      <c r="B15" s="104">
        <v>1</v>
      </c>
      <c r="C15" s="379">
        <f>SUM(10+B15+'Personal File'!$C$13)</f>
        <v>14</v>
      </c>
      <c r="D15" s="374" t="s">
        <v>398</v>
      </c>
      <c r="E15" s="80"/>
      <c r="F15" s="577" t="s">
        <v>267</v>
      </c>
      <c r="G15" s="432">
        <f ca="1">G14+'Personal File'!$C$13+2</f>
        <v>17</v>
      </c>
      <c r="J15" s="80"/>
      <c r="K15" s="80"/>
    </row>
    <row r="16" spans="1:11" ht="16.8" x14ac:dyDescent="0.3">
      <c r="A16" s="360" t="s">
        <v>251</v>
      </c>
      <c r="B16" s="361">
        <v>2</v>
      </c>
      <c r="C16" s="377">
        <f>SUM(10+B16+'Personal File'!$C$13)</f>
        <v>15</v>
      </c>
      <c r="D16" s="362" t="s">
        <v>398</v>
      </c>
      <c r="E16" s="80"/>
      <c r="F16" s="578" t="s">
        <v>268</v>
      </c>
      <c r="G16" s="435">
        <f ca="1">RANDBETWEEN(1,6)+RANDBETWEEN(1,6)</f>
        <v>7</v>
      </c>
      <c r="J16" s="80"/>
      <c r="K16" s="80"/>
    </row>
    <row r="17" spans="1:11" ht="16.8" x14ac:dyDescent="0.3">
      <c r="A17" s="267" t="s">
        <v>324</v>
      </c>
      <c r="B17" s="104">
        <v>2</v>
      </c>
      <c r="C17" s="379">
        <f>SUM(10+B17+'Personal File'!$C$13)</f>
        <v>15</v>
      </c>
      <c r="D17" s="83" t="s">
        <v>398</v>
      </c>
      <c r="E17" s="80"/>
      <c r="F17" s="579" t="s">
        <v>269</v>
      </c>
      <c r="G17" s="432">
        <f ca="1">G12+G16+'Personal File'!C13</f>
        <v>18</v>
      </c>
      <c r="H17" s="80"/>
      <c r="J17" s="80"/>
      <c r="K17" s="80"/>
    </row>
    <row r="18" spans="1:11" ht="17.399999999999999" thickBot="1" x14ac:dyDescent="0.35">
      <c r="A18" s="360" t="s">
        <v>283</v>
      </c>
      <c r="B18" s="361">
        <v>3</v>
      </c>
      <c r="C18" s="377">
        <f>SUM(10+B18+'Personal File'!$C$13)</f>
        <v>16</v>
      </c>
      <c r="D18" s="362" t="s">
        <v>398</v>
      </c>
      <c r="E18" s="80"/>
      <c r="F18" s="580" t="s">
        <v>270</v>
      </c>
      <c r="G18" s="436">
        <v>1</v>
      </c>
      <c r="H18" s="80"/>
      <c r="J18" s="80"/>
      <c r="K18" s="80"/>
    </row>
    <row r="19" spans="1:11" ht="18" thickTop="1" thickBot="1" x14ac:dyDescent="0.35">
      <c r="A19" s="505" t="s">
        <v>355</v>
      </c>
      <c r="B19" s="506">
        <v>3</v>
      </c>
      <c r="C19" s="507">
        <f>SUM(10+B19+'Personal File'!$C$13)</f>
        <v>16</v>
      </c>
      <c r="D19" s="508" t="s">
        <v>398</v>
      </c>
    </row>
    <row r="20" spans="1:11" ht="16.2" thickTop="1" x14ac:dyDescent="0.3">
      <c r="E20" s="80"/>
      <c r="F20" s="80"/>
      <c r="G20" s="80"/>
      <c r="H20" s="80"/>
      <c r="I20" s="80"/>
      <c r="J20" s="80"/>
      <c r="K20" s="80"/>
    </row>
  </sheetData>
  <phoneticPr fontId="0" type="noConversion"/>
  <conditionalFormatting sqref="D18 D13:D15">
    <cfRule type="cellIs" dxfId="41" priority="8" stopIfTrue="1" operator="equal">
      <formula>"þ"</formula>
    </cfRule>
  </conditionalFormatting>
  <conditionalFormatting sqref="D17">
    <cfRule type="cellIs" dxfId="40" priority="7" stopIfTrue="1" operator="equal">
      <formula>"þ"</formula>
    </cfRule>
  </conditionalFormatting>
  <conditionalFormatting sqref="D16">
    <cfRule type="cellIs" dxfId="39" priority="6" stopIfTrue="1" operator="equal">
      <formula>"þ"</formula>
    </cfRule>
  </conditionalFormatting>
  <conditionalFormatting sqref="D19">
    <cfRule type="cellIs" dxfId="38" priority="5" stopIfTrue="1" operator="equal">
      <formula>"þ"</formula>
    </cfRule>
  </conditionalFormatting>
  <conditionalFormatting sqref="D8 D3:D5">
    <cfRule type="cellIs" dxfId="37" priority="4" stopIfTrue="1" operator="equal">
      <formula>"þ"</formula>
    </cfRule>
  </conditionalFormatting>
  <conditionalFormatting sqref="D7">
    <cfRule type="cellIs" dxfId="36" priority="3" stopIfTrue="1" operator="equal">
      <formula>"þ"</formula>
    </cfRule>
  </conditionalFormatting>
  <conditionalFormatting sqref="D6">
    <cfRule type="cellIs" dxfId="35" priority="2" stopIfTrue="1" operator="equal">
      <formula>"þ"</formula>
    </cfRule>
  </conditionalFormatting>
  <conditionalFormatting sqref="D9">
    <cfRule type="cellIs" dxfId="34"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0"/>
  <sheetViews>
    <sheetView showGridLines="0" workbookViewId="0"/>
  </sheetViews>
  <sheetFormatPr defaultColWidth="13" defaultRowHeight="15.6" x14ac:dyDescent="0.3"/>
  <cols>
    <col min="1" max="1" width="33.796875" style="86" bestFit="1" customWidth="1"/>
    <col min="2" max="2" width="3" style="76" customWidth="1"/>
    <col min="3" max="3" width="32.59765625" style="76" bestFit="1" customWidth="1"/>
    <col min="4" max="16384" width="13" style="76"/>
  </cols>
  <sheetData>
    <row r="1" spans="1:3" ht="22.2" thickTop="1" thickBot="1" x14ac:dyDescent="0.35">
      <c r="A1" s="510" t="s">
        <v>99</v>
      </c>
      <c r="C1" s="510" t="s">
        <v>239</v>
      </c>
    </row>
    <row r="2" spans="1:3" ht="16.8" x14ac:dyDescent="0.3">
      <c r="A2" s="81" t="s">
        <v>218</v>
      </c>
      <c r="B2" s="82"/>
      <c r="C2" s="85" t="s">
        <v>182</v>
      </c>
    </row>
    <row r="3" spans="1:3" ht="16.8" x14ac:dyDescent="0.3">
      <c r="A3" s="84" t="s">
        <v>246</v>
      </c>
      <c r="C3" s="85" t="str">
        <f>CONCATENATE("Lay on Hands ",('Personal File'!E3*'Personal File'!C13)," hps")</f>
        <v>Lay on Hands 15 hps</v>
      </c>
    </row>
    <row r="4" spans="1:3" ht="16.8" x14ac:dyDescent="0.3">
      <c r="A4" s="84" t="s">
        <v>247</v>
      </c>
      <c r="C4" s="562" t="s">
        <v>387</v>
      </c>
    </row>
    <row r="5" spans="1:3" ht="16.8" x14ac:dyDescent="0.3">
      <c r="A5" s="84" t="s">
        <v>252</v>
      </c>
      <c r="C5" s="85" t="s">
        <v>395</v>
      </c>
    </row>
    <row r="6" spans="1:3" ht="17.399999999999999" thickBot="1" x14ac:dyDescent="0.35">
      <c r="A6" s="426" t="s">
        <v>256</v>
      </c>
      <c r="C6" s="375" t="str">
        <f>CONCATENATE("Smite Evil ",ROUNDUP(('Personal File'!E3+1+1)/5,0),"/day, ",'Personal File'!C13," Att, +",SUM('Personal File'!E3:E4)," Dmg")</f>
        <v>Smite Evil 2/day, +3 Att, +11 Dmg</v>
      </c>
    </row>
    <row r="7" spans="1:3" ht="18" thickTop="1" thickBot="1" x14ac:dyDescent="0.35">
      <c r="C7" s="268" t="s">
        <v>165</v>
      </c>
    </row>
    <row r="8" spans="1:3" ht="22.2" thickTop="1" thickBot="1" x14ac:dyDescent="0.35">
      <c r="A8" s="510" t="s">
        <v>240</v>
      </c>
      <c r="C8" s="268" t="s">
        <v>98</v>
      </c>
    </row>
    <row r="9" spans="1:3" ht="16.8" x14ac:dyDescent="0.3">
      <c r="A9" s="375" t="s">
        <v>241</v>
      </c>
      <c r="C9" s="270" t="s">
        <v>306</v>
      </c>
    </row>
    <row r="10" spans="1:3" ht="16.8" x14ac:dyDescent="0.3">
      <c r="A10" s="375" t="s">
        <v>311</v>
      </c>
      <c r="C10" s="269" t="s">
        <v>312</v>
      </c>
    </row>
    <row r="11" spans="1:3" ht="16.8" x14ac:dyDescent="0.3">
      <c r="A11" s="376" t="s">
        <v>253</v>
      </c>
      <c r="B11" s="82"/>
      <c r="C11" s="268" t="s">
        <v>153</v>
      </c>
    </row>
    <row r="12" spans="1:3" ht="17.399999999999999" thickBot="1" x14ac:dyDescent="0.35">
      <c r="A12" s="376" t="s">
        <v>242</v>
      </c>
      <c r="C12" s="382" t="s">
        <v>183</v>
      </c>
    </row>
    <row r="13" spans="1:3" ht="18" thickTop="1" thickBot="1" x14ac:dyDescent="0.35">
      <c r="A13" s="427" t="s">
        <v>257</v>
      </c>
    </row>
    <row r="14" spans="1:3" ht="22.2" thickTop="1" thickBot="1" x14ac:dyDescent="0.35">
      <c r="C14" s="533" t="s">
        <v>301</v>
      </c>
    </row>
    <row r="15" spans="1:3" ht="22.2" thickTop="1" thickBot="1" x14ac:dyDescent="0.35">
      <c r="A15" s="509" t="s">
        <v>79</v>
      </c>
      <c r="C15" s="479" t="s">
        <v>161</v>
      </c>
    </row>
    <row r="16" spans="1:3" ht="17.399999999999999" thickBot="1" x14ac:dyDescent="0.35">
      <c r="A16" s="88" t="s">
        <v>217</v>
      </c>
      <c r="C16" s="480" t="s">
        <v>162</v>
      </c>
    </row>
    <row r="17" spans="1:3" ht="16.2" thickTop="1" x14ac:dyDescent="0.3">
      <c r="C17" s="87"/>
    </row>
    <row r="20" spans="1:3" x14ac:dyDescent="0.3">
      <c r="A20" s="76"/>
    </row>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9"/>
  <sheetViews>
    <sheetView showGridLines="0" zoomScaleNormal="100" workbookViewId="0"/>
  </sheetViews>
  <sheetFormatPr defaultColWidth="13" defaultRowHeight="15.6" x14ac:dyDescent="0.3"/>
  <cols>
    <col min="1" max="1" width="37.796875" style="32" bestFit="1" customWidth="1"/>
    <col min="2" max="2" width="8.59765625" style="32" customWidth="1"/>
    <col min="3" max="3" width="7.09765625" style="32" customWidth="1"/>
    <col min="4" max="4" width="8.19921875" style="32" customWidth="1"/>
    <col min="5" max="5" width="8.3984375" style="32" customWidth="1"/>
    <col min="6" max="6" width="8.3984375" style="32" bestFit="1" customWidth="1"/>
    <col min="7" max="7" width="7.8984375" style="32" bestFit="1" customWidth="1"/>
    <col min="8" max="10" width="5.59765625" style="32" customWidth="1"/>
    <col min="11" max="11" width="27.69921875" style="32" bestFit="1" customWidth="1"/>
    <col min="12" max="12" width="2" style="19" customWidth="1"/>
    <col min="13" max="13" width="5.8984375" style="19" bestFit="1" customWidth="1"/>
    <col min="14" max="16384" width="13" style="19"/>
  </cols>
  <sheetData>
    <row r="1" spans="1:13" ht="23.4" thickBot="1" x14ac:dyDescent="0.35">
      <c r="A1" s="18" t="s">
        <v>281</v>
      </c>
      <c r="B1" s="18"/>
      <c r="C1" s="18"/>
      <c r="D1" s="18"/>
      <c r="E1" s="18"/>
      <c r="F1" s="18"/>
      <c r="G1" s="18"/>
      <c r="H1" s="18"/>
      <c r="I1" s="18"/>
      <c r="J1" s="18"/>
      <c r="K1" s="18"/>
    </row>
    <row r="2" spans="1:13" ht="16.8" thickTop="1" thickBot="1" x14ac:dyDescent="0.35">
      <c r="A2" s="20" t="s">
        <v>6</v>
      </c>
      <c r="B2" s="21" t="s">
        <v>7</v>
      </c>
      <c r="C2" s="21" t="s">
        <v>26</v>
      </c>
      <c r="D2" s="21" t="s">
        <v>27</v>
      </c>
      <c r="E2" s="22" t="s">
        <v>69</v>
      </c>
      <c r="F2" s="21" t="s">
        <v>25</v>
      </c>
      <c r="G2" s="21" t="s">
        <v>28</v>
      </c>
      <c r="H2" s="23" t="s">
        <v>138</v>
      </c>
      <c r="I2" s="24" t="s">
        <v>159</v>
      </c>
      <c r="J2" s="23" t="s">
        <v>85</v>
      </c>
      <c r="K2" s="25" t="s">
        <v>5</v>
      </c>
      <c r="M2" s="277" t="s">
        <v>191</v>
      </c>
    </row>
    <row r="3" spans="1:13" x14ac:dyDescent="0.3">
      <c r="A3" s="402" t="s">
        <v>394</v>
      </c>
      <c r="B3" s="403" t="s">
        <v>298</v>
      </c>
      <c r="C3" s="500" t="str">
        <f>CONCATENATE("+",'Personal File'!$C$8*2," + 1")</f>
        <v>+6 + 1</v>
      </c>
      <c r="D3" s="404" t="s">
        <v>192</v>
      </c>
      <c r="E3" s="428" t="s">
        <v>262</v>
      </c>
      <c r="F3" s="405" t="s">
        <v>219</v>
      </c>
      <c r="G3" s="423">
        <v>8</v>
      </c>
      <c r="H3" s="424" t="str">
        <f>CONCATENATE("+",'Personal File'!$B$6+'Personal File'!$C$8+D3+1)</f>
        <v>+17</v>
      </c>
      <c r="I3" s="406">
        <f t="shared" ref="I3:I15" ca="1" si="0">RANDBETWEEN(1,20)</f>
        <v>5</v>
      </c>
      <c r="J3" s="407">
        <f t="shared" ref="J3:J15" ca="1" si="1">I3+RIGHT(H3,2)</f>
        <v>22</v>
      </c>
      <c r="K3" s="468" t="s">
        <v>293</v>
      </c>
      <c r="M3" s="408">
        <v>21550</v>
      </c>
    </row>
    <row r="4" spans="1:13" x14ac:dyDescent="0.3">
      <c r="A4" s="414" t="s">
        <v>260</v>
      </c>
      <c r="B4" s="415" t="s">
        <v>298</v>
      </c>
      <c r="C4" s="501" t="str">
        <f>CONCATENATE("+",'Personal File'!$C$8*2," + 1")</f>
        <v>+6 + 1</v>
      </c>
      <c r="D4" s="416" t="s">
        <v>192</v>
      </c>
      <c r="E4" s="494" t="s">
        <v>262</v>
      </c>
      <c r="F4" s="418" t="s">
        <v>219</v>
      </c>
      <c r="G4" s="497"/>
      <c r="H4" s="421" t="str">
        <f t="shared" ref="H4:H5" si="2">CONCATENATE("+",H3-5)</f>
        <v>+12</v>
      </c>
      <c r="I4" s="420">
        <f t="shared" ca="1" si="0"/>
        <v>17</v>
      </c>
      <c r="J4" s="421">
        <f t="shared" ref="J4" ca="1" si="3">I4+RIGHT(H4,2)</f>
        <v>29</v>
      </c>
      <c r="K4" s="496"/>
      <c r="M4" s="409"/>
    </row>
    <row r="5" spans="1:13" x14ac:dyDescent="0.3">
      <c r="A5" s="414" t="s">
        <v>295</v>
      </c>
      <c r="B5" s="415" t="s">
        <v>298</v>
      </c>
      <c r="C5" s="501" t="str">
        <f>CONCATENATE("+",'Personal File'!$C$8*2," + 1")</f>
        <v>+6 + 1</v>
      </c>
      <c r="D5" s="416" t="s">
        <v>192</v>
      </c>
      <c r="E5" s="494" t="s">
        <v>262</v>
      </c>
      <c r="F5" s="418" t="s">
        <v>219</v>
      </c>
      <c r="G5" s="497"/>
      <c r="H5" s="495" t="str">
        <f t="shared" si="2"/>
        <v>+7</v>
      </c>
      <c r="I5" s="420">
        <f t="shared" ca="1" si="0"/>
        <v>2</v>
      </c>
      <c r="J5" s="421">
        <f t="shared" ca="1" si="1"/>
        <v>9</v>
      </c>
      <c r="K5" s="422"/>
      <c r="M5" s="409"/>
    </row>
    <row r="6" spans="1:13" x14ac:dyDescent="0.3">
      <c r="A6" s="384" t="s">
        <v>296</v>
      </c>
      <c r="B6" s="385" t="s">
        <v>298</v>
      </c>
      <c r="C6" s="502" t="str">
        <f>CONCATENATE("+",'Personal File'!$C$8*2," + 1")</f>
        <v>+6 + 1</v>
      </c>
      <c r="D6" s="386" t="s">
        <v>192</v>
      </c>
      <c r="E6" s="429" t="s">
        <v>262</v>
      </c>
      <c r="F6" s="388" t="s">
        <v>219</v>
      </c>
      <c r="G6" s="413"/>
      <c r="H6" s="412" t="str">
        <f>CONCATENATE("+",'Personal File'!$B$6+'Personal File'!$C$8+D6+1)</f>
        <v>+17</v>
      </c>
      <c r="I6" s="389">
        <f t="shared" ca="1" si="0"/>
        <v>12</v>
      </c>
      <c r="J6" s="390">
        <f t="shared" ref="J6" ca="1" si="4">I6+RIGHT(H6,2)</f>
        <v>29</v>
      </c>
      <c r="K6" s="391"/>
      <c r="M6" s="409"/>
    </row>
    <row r="7" spans="1:13" x14ac:dyDescent="0.3">
      <c r="A7" s="392" t="s">
        <v>210</v>
      </c>
      <c r="B7" s="393" t="s">
        <v>164</v>
      </c>
      <c r="C7" s="503" t="str">
        <f>CONCATENATE("+",'Personal File'!$C$8*2," - 1")</f>
        <v>+6 - 1</v>
      </c>
      <c r="D7" s="394" t="s">
        <v>192</v>
      </c>
      <c r="E7" s="395" t="s">
        <v>168</v>
      </c>
      <c r="F7" s="396" t="s">
        <v>169</v>
      </c>
      <c r="G7" s="397">
        <v>10</v>
      </c>
      <c r="H7" s="398" t="str">
        <f>CONCATENATE("+",'Personal File'!$B$6+'Personal File'!$C$8+D7)</f>
        <v>+16</v>
      </c>
      <c r="I7" s="399">
        <f t="shared" ca="1" si="0"/>
        <v>8</v>
      </c>
      <c r="J7" s="400">
        <f t="shared" ca="1" si="1"/>
        <v>24</v>
      </c>
      <c r="K7" s="401" t="s">
        <v>221</v>
      </c>
      <c r="M7" s="425">
        <v>405</v>
      </c>
    </row>
    <row r="8" spans="1:13" x14ac:dyDescent="0.3">
      <c r="A8" s="414" t="s">
        <v>260</v>
      </c>
      <c r="B8" s="415" t="s">
        <v>164</v>
      </c>
      <c r="C8" s="501" t="str">
        <f>CONCATENATE("+",'Personal File'!$C$8*2," - 1")</f>
        <v>+6 - 1</v>
      </c>
      <c r="D8" s="416" t="s">
        <v>192</v>
      </c>
      <c r="E8" s="417" t="s">
        <v>168</v>
      </c>
      <c r="F8" s="418" t="s">
        <v>169</v>
      </c>
      <c r="G8" s="498"/>
      <c r="H8" s="421" t="str">
        <f t="shared" ref="H8:H14" si="5">CONCATENATE("+",H7-5)</f>
        <v>+11</v>
      </c>
      <c r="I8" s="420">
        <f t="shared" ca="1" si="0"/>
        <v>2</v>
      </c>
      <c r="J8" s="421">
        <f t="shared" ca="1" si="1"/>
        <v>13</v>
      </c>
      <c r="K8" s="422"/>
      <c r="M8" s="409"/>
    </row>
    <row r="9" spans="1:13" x14ac:dyDescent="0.3">
      <c r="A9" s="414" t="s">
        <v>295</v>
      </c>
      <c r="B9" s="415" t="s">
        <v>164</v>
      </c>
      <c r="C9" s="501" t="str">
        <f>CONCATENATE("+",'Personal File'!$C$8*2," - 1")</f>
        <v>+6 - 1</v>
      </c>
      <c r="D9" s="416" t="s">
        <v>192</v>
      </c>
      <c r="E9" s="417" t="s">
        <v>168</v>
      </c>
      <c r="F9" s="418" t="s">
        <v>169</v>
      </c>
      <c r="G9" s="498"/>
      <c r="H9" s="495" t="str">
        <f t="shared" si="5"/>
        <v>+6</v>
      </c>
      <c r="I9" s="420">
        <f t="shared" ca="1" si="0"/>
        <v>9</v>
      </c>
      <c r="J9" s="421">
        <f t="shared" ref="J9:J10" ca="1" si="6">I9+RIGHT(H9,2)</f>
        <v>15</v>
      </c>
      <c r="K9" s="422"/>
      <c r="M9" s="499"/>
    </row>
    <row r="10" spans="1:13" x14ac:dyDescent="0.3">
      <c r="A10" s="384" t="s">
        <v>296</v>
      </c>
      <c r="B10" s="385" t="s">
        <v>164</v>
      </c>
      <c r="C10" s="502" t="str">
        <f>CONCATENATE("+",'Personal File'!$C$8*2," - 1")</f>
        <v>+6 - 1</v>
      </c>
      <c r="D10" s="386" t="s">
        <v>192</v>
      </c>
      <c r="E10" s="387" t="s">
        <v>168</v>
      </c>
      <c r="F10" s="388" t="s">
        <v>169</v>
      </c>
      <c r="G10" s="411"/>
      <c r="H10" s="412" t="str">
        <f t="shared" si="5"/>
        <v>+1</v>
      </c>
      <c r="I10" s="389">
        <f t="shared" ca="1" si="0"/>
        <v>17</v>
      </c>
      <c r="J10" s="390">
        <f t="shared" ca="1" si="6"/>
        <v>18</v>
      </c>
      <c r="K10" s="391"/>
      <c r="M10" s="499"/>
    </row>
    <row r="11" spans="1:13" x14ac:dyDescent="0.3">
      <c r="A11" s="392" t="s">
        <v>185</v>
      </c>
      <c r="B11" s="393" t="s">
        <v>214</v>
      </c>
      <c r="C11" s="503" t="str">
        <f>CONCATENATE("+",'Personal File'!$C$8*2)</f>
        <v>+6</v>
      </c>
      <c r="D11" s="394">
        <v>0</v>
      </c>
      <c r="E11" s="395" t="s">
        <v>215</v>
      </c>
      <c r="F11" s="396" t="s">
        <v>216</v>
      </c>
      <c r="G11" s="397" t="s">
        <v>195</v>
      </c>
      <c r="H11" s="398" t="str">
        <f>CONCATENATE("+",'Personal File'!$B$6+'Personal File'!$C$8+D11)</f>
        <v>+15</v>
      </c>
      <c r="I11" s="399">
        <f t="shared" ca="1" si="0"/>
        <v>14</v>
      </c>
      <c r="J11" s="400">
        <f t="shared" ca="1" si="1"/>
        <v>29</v>
      </c>
      <c r="K11" s="401"/>
      <c r="M11" s="290">
        <v>10</v>
      </c>
    </row>
    <row r="12" spans="1:13" x14ac:dyDescent="0.3">
      <c r="A12" s="414" t="s">
        <v>260</v>
      </c>
      <c r="B12" s="415" t="s">
        <v>214</v>
      </c>
      <c r="C12" s="501" t="str">
        <f>CONCATENATE("+",'Personal File'!$C$8*2)</f>
        <v>+6</v>
      </c>
      <c r="D12" s="416" t="s">
        <v>64</v>
      </c>
      <c r="E12" s="417" t="s">
        <v>215</v>
      </c>
      <c r="F12" s="418" t="s">
        <v>216</v>
      </c>
      <c r="G12" s="498"/>
      <c r="H12" s="421" t="str">
        <f t="shared" si="5"/>
        <v>+10</v>
      </c>
      <c r="I12" s="420">
        <f t="shared" ca="1" si="0"/>
        <v>8</v>
      </c>
      <c r="J12" s="421">
        <f t="shared" ca="1" si="1"/>
        <v>18</v>
      </c>
      <c r="K12" s="422"/>
      <c r="M12" s="409"/>
    </row>
    <row r="13" spans="1:13" x14ac:dyDescent="0.3">
      <c r="A13" s="414" t="s">
        <v>295</v>
      </c>
      <c r="B13" s="415" t="s">
        <v>214</v>
      </c>
      <c r="C13" s="501" t="str">
        <f>CONCATENATE("+",'Personal File'!$C$8*2)</f>
        <v>+6</v>
      </c>
      <c r="D13" s="416" t="s">
        <v>64</v>
      </c>
      <c r="E13" s="417" t="s">
        <v>215</v>
      </c>
      <c r="F13" s="418" t="s">
        <v>216</v>
      </c>
      <c r="G13" s="498"/>
      <c r="H13" s="495" t="str">
        <f t="shared" si="5"/>
        <v>+5</v>
      </c>
      <c r="I13" s="420">
        <f t="shared" ca="1" si="0"/>
        <v>2</v>
      </c>
      <c r="J13" s="421">
        <f t="shared" ref="J13:J14" ca="1" si="7">I13+RIGHT(H13,2)</f>
        <v>7</v>
      </c>
      <c r="K13" s="422"/>
      <c r="M13" s="499"/>
    </row>
    <row r="14" spans="1:13" x14ac:dyDescent="0.3">
      <c r="A14" s="384" t="s">
        <v>296</v>
      </c>
      <c r="B14" s="385" t="s">
        <v>214</v>
      </c>
      <c r="C14" s="502" t="str">
        <f>CONCATENATE("+",'Personal File'!$C$8*2)</f>
        <v>+6</v>
      </c>
      <c r="D14" s="386" t="s">
        <v>64</v>
      </c>
      <c r="E14" s="387" t="s">
        <v>215</v>
      </c>
      <c r="F14" s="388" t="s">
        <v>216</v>
      </c>
      <c r="G14" s="411"/>
      <c r="H14" s="412" t="str">
        <f t="shared" si="5"/>
        <v>+0</v>
      </c>
      <c r="I14" s="389">
        <f t="shared" ca="1" si="0"/>
        <v>3</v>
      </c>
      <c r="J14" s="390">
        <f t="shared" ca="1" si="7"/>
        <v>3</v>
      </c>
      <c r="K14" s="391"/>
      <c r="M14" s="499"/>
    </row>
    <row r="15" spans="1:13" ht="16.2" thickBot="1" x14ac:dyDescent="0.35">
      <c r="A15" s="273" t="s">
        <v>254</v>
      </c>
      <c r="B15" s="26" t="s">
        <v>224</v>
      </c>
      <c r="C15" s="27" t="s">
        <v>224</v>
      </c>
      <c r="D15" s="26">
        <v>0</v>
      </c>
      <c r="E15" s="28" t="s">
        <v>224</v>
      </c>
      <c r="F15" s="26" t="s">
        <v>224</v>
      </c>
      <c r="G15" s="29">
        <v>0</v>
      </c>
      <c r="H15" s="30" t="str">
        <f>CONCATENATE("+",'Personal File'!$B$6+'Personal File'!$C$8+D15)</f>
        <v>+15</v>
      </c>
      <c r="I15" s="380">
        <f t="shared" ca="1" si="0"/>
        <v>9</v>
      </c>
      <c r="J15" s="381">
        <f t="shared" ca="1" si="1"/>
        <v>24</v>
      </c>
      <c r="K15" s="31"/>
      <c r="M15" s="410"/>
    </row>
    <row r="16" spans="1:13" ht="16.8" thickTop="1" thickBot="1" x14ac:dyDescent="0.35"/>
    <row r="17" spans="1:13" ht="16.8" thickTop="1" thickBot="1" x14ac:dyDescent="0.35">
      <c r="A17" s="440" t="s">
        <v>9</v>
      </c>
      <c r="B17" s="441" t="s">
        <v>10</v>
      </c>
      <c r="C17" s="441" t="s">
        <v>26</v>
      </c>
      <c r="D17" s="441" t="s">
        <v>27</v>
      </c>
      <c r="E17" s="442" t="s">
        <v>69</v>
      </c>
      <c r="F17" s="441" t="s">
        <v>11</v>
      </c>
      <c r="G17" s="441" t="s">
        <v>28</v>
      </c>
      <c r="H17" s="443" t="s">
        <v>138</v>
      </c>
      <c r="I17" s="444" t="s">
        <v>159</v>
      </c>
      <c r="J17" s="443" t="s">
        <v>85</v>
      </c>
      <c r="K17" s="445" t="s">
        <v>5</v>
      </c>
      <c r="M17" s="277" t="s">
        <v>191</v>
      </c>
    </row>
    <row r="18" spans="1:13" ht="16.2" thickTop="1" x14ac:dyDescent="0.3">
      <c r="A18" s="446" t="s">
        <v>261</v>
      </c>
      <c r="B18" s="447" t="s">
        <v>211</v>
      </c>
      <c r="C18" s="448" t="s">
        <v>299</v>
      </c>
      <c r="D18" s="448" t="s">
        <v>64</v>
      </c>
      <c r="E18" s="447" t="s">
        <v>212</v>
      </c>
      <c r="F18" s="449" t="s">
        <v>213</v>
      </c>
      <c r="G18" s="450">
        <f>2*RIGHT(A18,1)</f>
        <v>6</v>
      </c>
      <c r="H18" s="451" t="str">
        <f>CONCATENATE("+",'Personal File'!$B$6+'Personal File'!$C$9+D18)</f>
        <v>+13</v>
      </c>
      <c r="I18" s="452">
        <f ca="1">RANDBETWEEN(1,20)</f>
        <v>4</v>
      </c>
      <c r="J18" s="453">
        <f t="shared" ref="J18:J23" ca="1" si="8">I18+RIGHT(H18,2)</f>
        <v>17</v>
      </c>
      <c r="K18" s="454"/>
      <c r="M18" s="284" t="str">
        <f>RIGHT(A18,1)</f>
        <v>3</v>
      </c>
    </row>
    <row r="19" spans="1:13" x14ac:dyDescent="0.3">
      <c r="A19" s="414" t="s">
        <v>294</v>
      </c>
      <c r="B19" s="415" t="s">
        <v>214</v>
      </c>
      <c r="C19" s="469" t="s">
        <v>299</v>
      </c>
      <c r="D19" s="469" t="s">
        <v>192</v>
      </c>
      <c r="E19" s="415" t="s">
        <v>215</v>
      </c>
      <c r="F19" s="470" t="s">
        <v>279</v>
      </c>
      <c r="G19" s="419">
        <v>3</v>
      </c>
      <c r="H19" s="398" t="str">
        <f>CONCATENATE("+",'Personal File'!$B$6+'Personal File'!$C$9+D19)</f>
        <v>+14</v>
      </c>
      <c r="I19" s="399">
        <f ca="1">RANDBETWEEN(1,20)</f>
        <v>6</v>
      </c>
      <c r="J19" s="400">
        <f t="shared" ref="J19" ca="1" si="9">I19+RIGHT(H19,2)</f>
        <v>20</v>
      </c>
      <c r="K19" s="471"/>
      <c r="M19" s="425">
        <v>700</v>
      </c>
    </row>
    <row r="20" spans="1:13" x14ac:dyDescent="0.3">
      <c r="A20" s="414" t="s">
        <v>260</v>
      </c>
      <c r="B20" s="415" t="s">
        <v>214</v>
      </c>
      <c r="C20" s="469" t="s">
        <v>299</v>
      </c>
      <c r="D20" s="469" t="s">
        <v>192</v>
      </c>
      <c r="E20" s="415" t="s">
        <v>215</v>
      </c>
      <c r="F20" s="470" t="s">
        <v>279</v>
      </c>
      <c r="G20" s="498"/>
      <c r="H20" s="421" t="str">
        <f t="shared" ref="H20:H22" si="10">CONCATENATE("+",H19-5)</f>
        <v>+9</v>
      </c>
      <c r="I20" s="420">
        <f t="shared" ref="I20:I22" ca="1" si="11">RANDBETWEEN(1,20)</f>
        <v>12</v>
      </c>
      <c r="J20" s="421">
        <f t="shared" ref="J20:J22" ca="1" si="12">I20+RIGHT(H20,2)</f>
        <v>21</v>
      </c>
      <c r="K20" s="471"/>
      <c r="M20" s="499"/>
    </row>
    <row r="21" spans="1:13" x14ac:dyDescent="0.3">
      <c r="A21" s="414" t="s">
        <v>295</v>
      </c>
      <c r="B21" s="415" t="s">
        <v>214</v>
      </c>
      <c r="C21" s="469" t="s">
        <v>299</v>
      </c>
      <c r="D21" s="469" t="s">
        <v>192</v>
      </c>
      <c r="E21" s="415" t="s">
        <v>215</v>
      </c>
      <c r="F21" s="470" t="s">
        <v>279</v>
      </c>
      <c r="G21" s="498"/>
      <c r="H21" s="495" t="str">
        <f t="shared" si="10"/>
        <v>+4</v>
      </c>
      <c r="I21" s="420">
        <f t="shared" ca="1" si="11"/>
        <v>11</v>
      </c>
      <c r="J21" s="421">
        <f t="shared" ca="1" si="12"/>
        <v>15</v>
      </c>
      <c r="K21" s="471"/>
      <c r="M21" s="499"/>
    </row>
    <row r="22" spans="1:13" x14ac:dyDescent="0.3">
      <c r="A22" s="414" t="s">
        <v>297</v>
      </c>
      <c r="B22" s="415" t="s">
        <v>214</v>
      </c>
      <c r="C22" s="469" t="s">
        <v>299</v>
      </c>
      <c r="D22" s="469" t="s">
        <v>192</v>
      </c>
      <c r="E22" s="415" t="s">
        <v>215</v>
      </c>
      <c r="F22" s="470" t="s">
        <v>279</v>
      </c>
      <c r="G22" s="411"/>
      <c r="H22" s="412" t="str">
        <f t="shared" si="10"/>
        <v>+-1</v>
      </c>
      <c r="I22" s="389">
        <f t="shared" ca="1" si="11"/>
        <v>13</v>
      </c>
      <c r="J22" s="390">
        <f t="shared" ca="1" si="12"/>
        <v>12</v>
      </c>
      <c r="K22" s="471"/>
      <c r="M22" s="499"/>
    </row>
    <row r="23" spans="1:13" ht="16.2" thickBot="1" x14ac:dyDescent="0.35">
      <c r="A23" s="455"/>
      <c r="B23" s="28"/>
      <c r="C23" s="456"/>
      <c r="D23" s="457"/>
      <c r="E23" s="458"/>
      <c r="F23" s="459"/>
      <c r="G23" s="460"/>
      <c r="H23" s="460" t="str">
        <f>CONCATENATE("+",'Personal File'!$B$6+'Personal File'!$C$9+D23)</f>
        <v>+13</v>
      </c>
      <c r="I23" s="380">
        <f ca="1">RANDBETWEEN(1,20)</f>
        <v>8</v>
      </c>
      <c r="J23" s="381">
        <f t="shared" ca="1" si="8"/>
        <v>21</v>
      </c>
      <c r="K23" s="461"/>
      <c r="M23" s="297"/>
    </row>
    <row r="24" spans="1:13" ht="16.8" thickTop="1" thickBot="1" x14ac:dyDescent="0.35">
      <c r="D24" s="35"/>
      <c r="E24" s="35"/>
      <c r="G24" s="36"/>
      <c r="H24" s="36"/>
      <c r="I24" s="36"/>
      <c r="J24" s="36"/>
    </row>
    <row r="25" spans="1:13" ht="16.8" thickTop="1" thickBot="1" x14ac:dyDescent="0.35">
      <c r="A25" s="20" t="s">
        <v>73</v>
      </c>
      <c r="B25" s="21" t="s">
        <v>19</v>
      </c>
      <c r="C25" s="21" t="s">
        <v>35</v>
      </c>
      <c r="D25" s="21" t="s">
        <v>85</v>
      </c>
      <c r="E25" s="21" t="s">
        <v>86</v>
      </c>
      <c r="F25" s="21" t="s">
        <v>87</v>
      </c>
      <c r="G25" s="21" t="s">
        <v>28</v>
      </c>
      <c r="H25" s="37" t="s">
        <v>5</v>
      </c>
      <c r="I25" s="38"/>
      <c r="J25" s="38"/>
      <c r="K25" s="39"/>
      <c r="M25" s="277" t="s">
        <v>191</v>
      </c>
    </row>
    <row r="26" spans="1:13" x14ac:dyDescent="0.3">
      <c r="A26" s="520" t="s">
        <v>390</v>
      </c>
      <c r="B26" s="521">
        <f>8+3</f>
        <v>11</v>
      </c>
      <c r="C26" s="522">
        <v>8</v>
      </c>
      <c r="D26" s="521">
        <v>-5</v>
      </c>
      <c r="E26" s="523">
        <v>0.35</v>
      </c>
      <c r="F26" s="521" t="s">
        <v>222</v>
      </c>
      <c r="G26" s="524">
        <v>50</v>
      </c>
      <c r="H26" s="564" t="s">
        <v>396</v>
      </c>
      <c r="I26" s="565"/>
      <c r="J26" s="565"/>
      <c r="K26" s="566"/>
      <c r="L26" s="567"/>
      <c r="M26" s="284">
        <v>10650</v>
      </c>
    </row>
    <row r="27" spans="1:13" x14ac:dyDescent="0.3">
      <c r="A27" s="525" t="s">
        <v>188</v>
      </c>
      <c r="B27" s="526" t="s">
        <v>224</v>
      </c>
      <c r="C27" s="527" t="s">
        <v>224</v>
      </c>
      <c r="D27" s="526" t="s">
        <v>224</v>
      </c>
      <c r="E27" s="528" t="s">
        <v>224</v>
      </c>
      <c r="F27" s="526" t="s">
        <v>224</v>
      </c>
      <c r="G27" s="529">
        <v>0</v>
      </c>
      <c r="H27" s="530" t="s">
        <v>391</v>
      </c>
      <c r="I27" s="531"/>
      <c r="J27" s="531"/>
      <c r="K27" s="532"/>
      <c r="M27" s="504">
        <v>500</v>
      </c>
    </row>
    <row r="28" spans="1:13" x14ac:dyDescent="0.3">
      <c r="A28" s="511" t="s">
        <v>223</v>
      </c>
      <c r="B28" s="512">
        <v>3</v>
      </c>
      <c r="C28" s="513">
        <v>0</v>
      </c>
      <c r="D28" s="512">
        <v>0</v>
      </c>
      <c r="E28" s="514">
        <v>0.15</v>
      </c>
      <c r="F28" s="512" t="s">
        <v>224</v>
      </c>
      <c r="G28" s="515">
        <v>5</v>
      </c>
      <c r="H28" s="516"/>
      <c r="I28" s="517"/>
      <c r="J28" s="517"/>
      <c r="K28" s="518"/>
      <c r="M28" s="425">
        <v>9257</v>
      </c>
    </row>
    <row r="29" spans="1:13" ht="16.2" thickBot="1" x14ac:dyDescent="0.35">
      <c r="A29" s="272" t="s">
        <v>276</v>
      </c>
      <c r="B29" s="33" t="s">
        <v>224</v>
      </c>
      <c r="C29" s="33" t="s">
        <v>224</v>
      </c>
      <c r="D29" s="33" t="s">
        <v>224</v>
      </c>
      <c r="E29" s="41" t="s">
        <v>224</v>
      </c>
      <c r="F29" s="346" t="s">
        <v>224</v>
      </c>
      <c r="G29" s="34">
        <v>0</v>
      </c>
      <c r="H29" s="519" t="s">
        <v>391</v>
      </c>
      <c r="I29" s="42"/>
      <c r="J29" s="42"/>
      <c r="K29" s="43"/>
      <c r="M29" s="297">
        <v>500</v>
      </c>
    </row>
    <row r="30" spans="1:13" ht="16.8" thickTop="1" thickBot="1" x14ac:dyDescent="0.35"/>
    <row r="31" spans="1:13" ht="16.8" thickTop="1" thickBot="1" x14ac:dyDescent="0.35">
      <c r="A31" s="44"/>
      <c r="B31" s="36"/>
      <c r="D31" s="45" t="s">
        <v>74</v>
      </c>
      <c r="E31" s="46"/>
      <c r="F31" s="37" t="s">
        <v>8</v>
      </c>
      <c r="G31" s="21" t="s">
        <v>28</v>
      </c>
      <c r="H31" s="23" t="s">
        <v>138</v>
      </c>
      <c r="I31" s="23"/>
      <c r="J31" s="38"/>
      <c r="K31" s="47" t="s">
        <v>5</v>
      </c>
      <c r="M31" s="277" t="s">
        <v>191</v>
      </c>
    </row>
    <row r="32" spans="1:13" x14ac:dyDescent="0.3">
      <c r="A32" s="44"/>
      <c r="B32" s="36"/>
      <c r="D32" s="472" t="s">
        <v>280</v>
      </c>
      <c r="E32" s="48"/>
      <c r="F32" s="49">
        <v>50</v>
      </c>
      <c r="G32" s="50">
        <f>F32/20</f>
        <v>2.5</v>
      </c>
      <c r="H32" s="51" t="s">
        <v>64</v>
      </c>
      <c r="I32" s="51"/>
      <c r="J32" s="40"/>
      <c r="K32" s="52"/>
      <c r="M32" s="284">
        <v>0</v>
      </c>
    </row>
    <row r="33" spans="4:13" ht="16.2" thickBot="1" x14ac:dyDescent="0.35">
      <c r="D33" s="53"/>
      <c r="E33" s="54"/>
      <c r="F33" s="55"/>
      <c r="G33" s="56"/>
      <c r="H33" s="57"/>
      <c r="I33" s="57"/>
      <c r="J33" s="58"/>
      <c r="K33" s="59"/>
      <c r="M33" s="297"/>
    </row>
    <row r="34" spans="4:13" ht="16.8" thickTop="1" thickBot="1" x14ac:dyDescent="0.35"/>
    <row r="35" spans="4:13" ht="16.8" thickTop="1" thickBot="1" x14ac:dyDescent="0.35">
      <c r="D35" s="45" t="s">
        <v>189</v>
      </c>
      <c r="E35" s="38"/>
      <c r="F35" s="38"/>
      <c r="G35" s="38"/>
      <c r="H35" s="275" t="s">
        <v>8</v>
      </c>
      <c r="I35" s="275" t="s">
        <v>4</v>
      </c>
      <c r="J35" s="275" t="s">
        <v>190</v>
      </c>
      <c r="K35" s="39" t="s">
        <v>83</v>
      </c>
      <c r="L35" s="276"/>
      <c r="M35" s="277" t="s">
        <v>191</v>
      </c>
    </row>
    <row r="36" spans="4:13" x14ac:dyDescent="0.3">
      <c r="D36" s="278" t="s">
        <v>275</v>
      </c>
      <c r="E36" s="279"/>
      <c r="F36" s="279"/>
      <c r="G36" s="280"/>
      <c r="H36" s="281">
        <v>0</v>
      </c>
      <c r="I36" s="282">
        <v>2</v>
      </c>
      <c r="J36" s="282">
        <v>4</v>
      </c>
      <c r="K36" s="283"/>
      <c r="L36" s="276"/>
      <c r="M36" s="284">
        <f>250*H36</f>
        <v>0</v>
      </c>
    </row>
    <row r="37" spans="4:13" x14ac:dyDescent="0.3">
      <c r="D37" s="285" t="s">
        <v>277</v>
      </c>
      <c r="E37" s="286"/>
      <c r="F37" s="286"/>
      <c r="G37" s="287"/>
      <c r="H37" s="288">
        <v>1</v>
      </c>
      <c r="I37" s="17">
        <v>1</v>
      </c>
      <c r="J37" s="17">
        <v>1</v>
      </c>
      <c r="K37" s="289" t="s">
        <v>278</v>
      </c>
      <c r="L37" s="276"/>
      <c r="M37" s="290">
        <v>750</v>
      </c>
    </row>
    <row r="38" spans="4:13" ht="16.2" thickBot="1" x14ac:dyDescent="0.35">
      <c r="D38" s="291" t="s">
        <v>300</v>
      </c>
      <c r="E38" s="292"/>
      <c r="F38" s="292"/>
      <c r="G38" s="293"/>
      <c r="H38" s="294">
        <v>2</v>
      </c>
      <c r="I38" s="295">
        <v>2</v>
      </c>
      <c r="J38" s="295">
        <v>4</v>
      </c>
      <c r="K38" s="296"/>
      <c r="L38" s="276"/>
      <c r="M38" s="297">
        <f>H38*300</f>
        <v>600</v>
      </c>
    </row>
    <row r="39" spans="4:13" ht="16.2" thickTop="1" x14ac:dyDescent="0.3"/>
  </sheetData>
  <phoneticPr fontId="0" type="noConversion"/>
  <conditionalFormatting sqref="I18">
    <cfRule type="cellIs" dxfId="33" priority="37" operator="equal">
      <formula>20</formula>
    </cfRule>
    <cfRule type="cellIs" dxfId="32" priority="38" operator="equal">
      <formula>1</formula>
    </cfRule>
  </conditionalFormatting>
  <conditionalFormatting sqref="I23">
    <cfRule type="cellIs" dxfId="31" priority="35" operator="equal">
      <formula>20</formula>
    </cfRule>
    <cfRule type="cellIs" dxfId="30" priority="36" operator="equal">
      <formula>1</formula>
    </cfRule>
  </conditionalFormatting>
  <conditionalFormatting sqref="I11:I12">
    <cfRule type="cellIs" dxfId="29" priority="33" operator="equal">
      <formula>20</formula>
    </cfRule>
    <cfRule type="cellIs" dxfId="28" priority="34" operator="equal">
      <formula>1</formula>
    </cfRule>
  </conditionalFormatting>
  <conditionalFormatting sqref="I15">
    <cfRule type="cellIs" dxfId="27" priority="31" operator="equal">
      <formula>20</formula>
    </cfRule>
    <cfRule type="cellIs" dxfId="26" priority="32" operator="equal">
      <formula>1</formula>
    </cfRule>
  </conditionalFormatting>
  <conditionalFormatting sqref="I11:I12">
    <cfRule type="cellIs" dxfId="25" priority="29" operator="equal">
      <formula>20</formula>
    </cfRule>
    <cfRule type="cellIs" dxfId="24" priority="30" operator="equal">
      <formula>1</formula>
    </cfRule>
  </conditionalFormatting>
  <conditionalFormatting sqref="I7:I8">
    <cfRule type="cellIs" dxfId="23" priority="27" operator="equal">
      <formula>20</formula>
    </cfRule>
    <cfRule type="cellIs" dxfId="22" priority="28" operator="equal">
      <formula>1</formula>
    </cfRule>
  </conditionalFormatting>
  <conditionalFormatting sqref="I3 I5">
    <cfRule type="cellIs" dxfId="21" priority="25" operator="equal">
      <formula>20</formula>
    </cfRule>
    <cfRule type="cellIs" dxfId="20" priority="26" operator="equal">
      <formula>1</formula>
    </cfRule>
  </conditionalFormatting>
  <conditionalFormatting sqref="I19">
    <cfRule type="cellIs" dxfId="19" priority="17" operator="equal">
      <formula>20</formula>
    </cfRule>
    <cfRule type="cellIs" dxfId="18" priority="18" operator="equal">
      <formula>1</formula>
    </cfRule>
  </conditionalFormatting>
  <conditionalFormatting sqref="I6">
    <cfRule type="cellIs" dxfId="17" priority="15" operator="equal">
      <formula>20</formula>
    </cfRule>
    <cfRule type="cellIs" dxfId="16" priority="16" operator="equal">
      <formula>1</formula>
    </cfRule>
  </conditionalFormatting>
  <conditionalFormatting sqref="I4">
    <cfRule type="cellIs" dxfId="15" priority="13" operator="equal">
      <formula>20</formula>
    </cfRule>
    <cfRule type="cellIs" dxfId="14" priority="14" operator="equal">
      <formula>1</formula>
    </cfRule>
  </conditionalFormatting>
  <conditionalFormatting sqref="I9">
    <cfRule type="cellIs" dxfId="13" priority="11" operator="equal">
      <formula>20</formula>
    </cfRule>
    <cfRule type="cellIs" dxfId="12" priority="12" operator="equal">
      <formula>1</formula>
    </cfRule>
  </conditionalFormatting>
  <conditionalFormatting sqref="I13">
    <cfRule type="cellIs" dxfId="11" priority="9" operator="equal">
      <formula>20</formula>
    </cfRule>
    <cfRule type="cellIs" dxfId="10" priority="10" operator="equal">
      <formula>1</formula>
    </cfRule>
  </conditionalFormatting>
  <conditionalFormatting sqref="I13">
    <cfRule type="cellIs" dxfId="9" priority="7" operator="equal">
      <formula>20</formula>
    </cfRule>
    <cfRule type="cellIs" dxfId="8" priority="8" operator="equal">
      <formula>1</formula>
    </cfRule>
  </conditionalFormatting>
  <conditionalFormatting sqref="I10">
    <cfRule type="cellIs" dxfId="7" priority="5" operator="equal">
      <formula>20</formula>
    </cfRule>
    <cfRule type="cellIs" dxfId="6" priority="6" operator="equal">
      <formula>1</formula>
    </cfRule>
  </conditionalFormatting>
  <conditionalFormatting sqref="I14">
    <cfRule type="cellIs" dxfId="5" priority="3" operator="equal">
      <formula>20</formula>
    </cfRule>
    <cfRule type="cellIs" dxfId="4" priority="4" operator="equal">
      <formula>1</formula>
    </cfRule>
  </conditionalFormatting>
  <conditionalFormatting sqref="I20:I22">
    <cfRule type="cellIs" dxfId="3" priority="1" operator="equal">
      <formula>20</formula>
    </cfRule>
    <cfRule type="cellIs" dxfId="2"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5"/>
  <sheetViews>
    <sheetView showGridLines="0" workbookViewId="0"/>
  </sheetViews>
  <sheetFormatPr defaultColWidth="13" defaultRowHeight="15.6" x14ac:dyDescent="0.3"/>
  <cols>
    <col min="1" max="1" width="27.5" style="32" bestFit="1" customWidth="1"/>
    <col min="2" max="2" width="4.69921875" style="32" bestFit="1" customWidth="1"/>
    <col min="3" max="3" width="4.3984375" style="36" bestFit="1" customWidth="1"/>
    <col min="4" max="4" width="14.5" style="19" bestFit="1" customWidth="1"/>
    <col min="5" max="5" width="15.19921875" style="19" bestFit="1" customWidth="1"/>
    <col min="6" max="6" width="2.69921875" style="19" customWidth="1"/>
    <col min="7" max="7" width="8.296875" style="19" bestFit="1" customWidth="1"/>
    <col min="8" max="16384" width="13" style="19"/>
  </cols>
  <sheetData>
    <row r="1" spans="1:7" ht="23.4" thickBot="1" x14ac:dyDescent="0.35">
      <c r="A1" s="18" t="s">
        <v>80</v>
      </c>
      <c r="B1" s="18"/>
      <c r="C1" s="60"/>
      <c r="D1" s="18"/>
      <c r="E1" s="18"/>
    </row>
    <row r="2" spans="1:7" s="32" customFormat="1" ht="16.8" thickTop="1" thickBot="1" x14ac:dyDescent="0.35">
      <c r="A2" s="61" t="s">
        <v>81</v>
      </c>
      <c r="B2" s="61" t="s">
        <v>8</v>
      </c>
      <c r="C2" s="62" t="s">
        <v>28</v>
      </c>
      <c r="D2" s="63" t="s">
        <v>82</v>
      </c>
      <c r="E2" s="64" t="s">
        <v>83</v>
      </c>
      <c r="G2" s="298" t="s">
        <v>191</v>
      </c>
    </row>
    <row r="3" spans="1:7" x14ac:dyDescent="0.3">
      <c r="A3" s="238" t="s">
        <v>184</v>
      </c>
      <c r="B3" s="465">
        <v>1</v>
      </c>
      <c r="C3" s="66">
        <v>0</v>
      </c>
      <c r="D3" s="67"/>
      <c r="E3" s="68"/>
      <c r="G3" s="299">
        <v>25</v>
      </c>
    </row>
    <row r="4" spans="1:7" x14ac:dyDescent="0.3">
      <c r="A4" s="65" t="s">
        <v>369</v>
      </c>
      <c r="B4" s="463">
        <v>1</v>
      </c>
      <c r="C4" s="70" t="s">
        <v>163</v>
      </c>
      <c r="D4" s="67"/>
      <c r="E4" s="68"/>
      <c r="G4" s="343" t="s">
        <v>224</v>
      </c>
    </row>
    <row r="5" spans="1:7" x14ac:dyDescent="0.3">
      <c r="A5" s="65" t="s">
        <v>157</v>
      </c>
      <c r="B5" s="462">
        <v>1</v>
      </c>
      <c r="C5" s="66">
        <v>0.5</v>
      </c>
      <c r="D5" s="71"/>
      <c r="E5" s="72"/>
      <c r="G5" s="345">
        <v>0.5</v>
      </c>
    </row>
    <row r="6" spans="1:7" x14ac:dyDescent="0.3">
      <c r="A6" s="65" t="s">
        <v>388</v>
      </c>
      <c r="B6" s="462">
        <v>4</v>
      </c>
      <c r="C6" s="274">
        <v>0</v>
      </c>
      <c r="D6" s="71"/>
      <c r="E6" s="72"/>
      <c r="G6" s="299">
        <f>1000*B6</f>
        <v>4000</v>
      </c>
    </row>
    <row r="7" spans="1:7" x14ac:dyDescent="0.3">
      <c r="A7" s="65" t="s">
        <v>290</v>
      </c>
      <c r="B7" s="462">
        <v>1</v>
      </c>
      <c r="C7" s="274">
        <v>0</v>
      </c>
      <c r="D7" s="71"/>
      <c r="E7" s="72"/>
      <c r="G7" s="299">
        <v>4000</v>
      </c>
    </row>
    <row r="8" spans="1:7" x14ac:dyDescent="0.3">
      <c r="A8" s="65" t="s">
        <v>273</v>
      </c>
      <c r="B8" s="462">
        <v>1</v>
      </c>
      <c r="C8" s="274">
        <v>1</v>
      </c>
      <c r="D8" s="71"/>
      <c r="E8" s="72"/>
      <c r="G8" s="299">
        <f>1000*RIGHT(A8,1)</f>
        <v>2000</v>
      </c>
    </row>
    <row r="9" spans="1:7" x14ac:dyDescent="0.3">
      <c r="A9" s="65" t="s">
        <v>186</v>
      </c>
      <c r="B9" s="462">
        <v>1</v>
      </c>
      <c r="C9" s="274">
        <v>2</v>
      </c>
      <c r="D9" s="71"/>
      <c r="E9" s="72"/>
      <c r="G9" s="299">
        <v>4000</v>
      </c>
    </row>
    <row r="10" spans="1:7" ht="16.2" thickBot="1" x14ac:dyDescent="0.35">
      <c r="A10" s="342" t="s">
        <v>187</v>
      </c>
      <c r="B10" s="464">
        <v>1</v>
      </c>
      <c r="C10" s="229">
        <v>0</v>
      </c>
      <c r="D10" s="230"/>
      <c r="E10" s="231"/>
      <c r="G10" s="300">
        <v>4000</v>
      </c>
    </row>
    <row r="11" spans="1:7" ht="24" thickTop="1" thickBot="1" x14ac:dyDescent="0.35">
      <c r="A11" s="18" t="s">
        <v>84</v>
      </c>
      <c r="B11" s="18"/>
      <c r="C11" s="232"/>
      <c r="D11" s="18"/>
      <c r="E11" s="233"/>
    </row>
    <row r="12" spans="1:7" ht="16.8" thickTop="1" thickBot="1" x14ac:dyDescent="0.35">
      <c r="A12" s="61" t="s">
        <v>81</v>
      </c>
      <c r="B12" s="61" t="s">
        <v>8</v>
      </c>
      <c r="C12" s="62" t="s">
        <v>28</v>
      </c>
      <c r="D12" s="63" t="s">
        <v>82</v>
      </c>
      <c r="E12" s="64" t="s">
        <v>83</v>
      </c>
      <c r="G12" s="298" t="s">
        <v>191</v>
      </c>
    </row>
    <row r="13" spans="1:7" x14ac:dyDescent="0.3">
      <c r="A13" s="69" t="s">
        <v>158</v>
      </c>
      <c r="B13" s="463">
        <v>1</v>
      </c>
      <c r="C13" s="66">
        <v>0</v>
      </c>
      <c r="D13" s="234"/>
      <c r="E13" s="68"/>
      <c r="G13" s="299">
        <v>0</v>
      </c>
    </row>
    <row r="14" spans="1:7" x14ac:dyDescent="0.3">
      <c r="A14" s="493" t="s">
        <v>291</v>
      </c>
      <c r="B14" s="490">
        <v>1</v>
      </c>
      <c r="C14" s="274">
        <v>5</v>
      </c>
      <c r="D14" s="491"/>
      <c r="E14" s="72"/>
      <c r="G14" s="492">
        <v>3000</v>
      </c>
    </row>
    <row r="15" spans="1:7" ht="16.2" thickBot="1" x14ac:dyDescent="0.35">
      <c r="A15" s="342" t="s">
        <v>303</v>
      </c>
      <c r="B15" s="464">
        <v>1</v>
      </c>
      <c r="C15" s="229">
        <v>0.2</v>
      </c>
      <c r="D15" s="563" t="s">
        <v>305</v>
      </c>
      <c r="E15" s="231"/>
      <c r="G15" s="300" t="s">
        <v>304</v>
      </c>
    </row>
    <row r="16" spans="1:7" ht="24" thickTop="1" thickBot="1" x14ac:dyDescent="0.35">
      <c r="A16" s="191"/>
      <c r="B16" s="191"/>
      <c r="D16" s="237" t="s">
        <v>193</v>
      </c>
      <c r="E16" s="233"/>
    </row>
    <row r="17" spans="1:7" ht="16.8" thickTop="1" thickBot="1" x14ac:dyDescent="0.35">
      <c r="A17" s="61" t="s">
        <v>81</v>
      </c>
      <c r="B17" s="61" t="s">
        <v>8</v>
      </c>
      <c r="C17" s="62" t="s">
        <v>28</v>
      </c>
      <c r="D17" s="63" t="s">
        <v>82</v>
      </c>
      <c r="E17" s="64" t="s">
        <v>83</v>
      </c>
      <c r="G17" s="298" t="s">
        <v>191</v>
      </c>
    </row>
    <row r="18" spans="1:7" x14ac:dyDescent="0.3">
      <c r="A18" s="238" t="s">
        <v>155</v>
      </c>
      <c r="B18" s="465">
        <v>1</v>
      </c>
      <c r="C18" s="239">
        <v>8</v>
      </c>
      <c r="D18" s="234"/>
      <c r="E18" s="68"/>
      <c r="G18" s="299">
        <v>0</v>
      </c>
    </row>
    <row r="19" spans="1:7" x14ac:dyDescent="0.3">
      <c r="A19" s="69" t="s">
        <v>156</v>
      </c>
      <c r="B19" s="463">
        <v>1</v>
      </c>
      <c r="C19" s="66">
        <v>30</v>
      </c>
      <c r="D19" s="234"/>
      <c r="E19" s="68"/>
      <c r="G19" s="299">
        <v>0</v>
      </c>
    </row>
    <row r="20" spans="1:7" x14ac:dyDescent="0.3">
      <c r="A20" s="65" t="s">
        <v>194</v>
      </c>
      <c r="B20" s="462">
        <v>1</v>
      </c>
      <c r="C20" s="66">
        <v>10</v>
      </c>
      <c r="D20" s="240"/>
      <c r="E20" s="68"/>
      <c r="G20" s="343"/>
    </row>
    <row r="21" spans="1:7" ht="16.2" thickBot="1" x14ac:dyDescent="0.35">
      <c r="A21" s="235"/>
      <c r="B21" s="466"/>
      <c r="C21" s="229"/>
      <c r="D21" s="236"/>
      <c r="E21" s="231"/>
      <c r="G21" s="300"/>
    </row>
    <row r="22" spans="1:7" ht="23.4" thickTop="1" x14ac:dyDescent="0.3">
      <c r="A22" s="191" t="s">
        <v>167</v>
      </c>
      <c r="B22" s="36">
        <f>SUM(C18:C21)</f>
        <v>48</v>
      </c>
      <c r="C22" s="19"/>
      <c r="D22" s="241"/>
      <c r="E22" s="233"/>
    </row>
    <row r="23" spans="1:7" x14ac:dyDescent="0.3">
      <c r="E23" s="191" t="s">
        <v>220</v>
      </c>
      <c r="G23" s="344">
        <f>SUM(Martial!M3:M38,Equipment!G3:G21)</f>
        <v>65947.5</v>
      </c>
    </row>
    <row r="24" spans="1:7" x14ac:dyDescent="0.3">
      <c r="A24" s="19"/>
      <c r="B24" s="19"/>
      <c r="E24" s="191" t="s">
        <v>225</v>
      </c>
      <c r="G24" s="344">
        <v>66000</v>
      </c>
    </row>
    <row r="25" spans="1:7" x14ac:dyDescent="0.3">
      <c r="E25" s="191" t="s">
        <v>292</v>
      </c>
      <c r="G25" s="344">
        <f>G24-G23</f>
        <v>52.5</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ColWidth="13" defaultRowHeight="15.6" x14ac:dyDescent="0.3"/>
  <cols>
    <col min="1" max="1" width="13.296875" style="191" bestFit="1" customWidth="1"/>
    <col min="2" max="2" width="10.5" style="340" customWidth="1"/>
    <col min="3" max="3" width="5.8984375" style="340" customWidth="1"/>
    <col min="4" max="4" width="13.69921875" style="191" bestFit="1" customWidth="1"/>
    <col min="5" max="5" width="9.59765625" style="340" bestFit="1" customWidth="1"/>
    <col min="6" max="6" width="15.19921875" style="191" bestFit="1" customWidth="1"/>
    <col min="7" max="7" width="6.8984375" style="340" bestFit="1" customWidth="1"/>
    <col min="8" max="16384" width="13" style="276"/>
  </cols>
  <sheetData>
    <row r="1" spans="1:7" ht="29.4" thickTop="1" thickBot="1" x14ac:dyDescent="0.35">
      <c r="A1" s="301" t="s">
        <v>248</v>
      </c>
      <c r="B1" s="302"/>
      <c r="C1" s="302"/>
      <c r="D1" s="303"/>
      <c r="E1" s="304"/>
      <c r="F1" s="305"/>
      <c r="G1" s="306" t="s">
        <v>207</v>
      </c>
    </row>
    <row r="2" spans="1:7" ht="17.399999999999999" thickTop="1" x14ac:dyDescent="0.3">
      <c r="A2" s="201" t="s">
        <v>0</v>
      </c>
      <c r="B2" s="341" t="s">
        <v>209</v>
      </c>
      <c r="C2" s="307"/>
      <c r="D2" s="203" t="s">
        <v>1</v>
      </c>
      <c r="E2" s="204" t="s">
        <v>197</v>
      </c>
      <c r="F2" s="203" t="s">
        <v>198</v>
      </c>
      <c r="G2" s="308" t="s">
        <v>208</v>
      </c>
    </row>
    <row r="3" spans="1:7" ht="17.399999999999999" thickBot="1" x14ac:dyDescent="0.35">
      <c r="A3" s="309" t="s">
        <v>199</v>
      </c>
      <c r="B3" s="310" t="s">
        <v>200</v>
      </c>
      <c r="C3" s="311"/>
      <c r="D3" s="312"/>
      <c r="E3" s="313"/>
      <c r="F3" s="312" t="s">
        <v>201</v>
      </c>
      <c r="G3" s="314" t="s">
        <v>128</v>
      </c>
    </row>
    <row r="4" spans="1:7" ht="17.399999999999999" thickTop="1" x14ac:dyDescent="0.3">
      <c r="A4" s="209" t="s">
        <v>2</v>
      </c>
      <c r="B4" s="315">
        <v>19</v>
      </c>
      <c r="C4" s="316" t="str">
        <f t="shared" ref="C4:C9" si="0">IF(B4&gt;9.9,CONCATENATE("+",ROUNDDOWN((B4-10)/2,0)),ROUNDUP((B4-10)/2,0))</f>
        <v>+4</v>
      </c>
      <c r="D4" s="317" t="s">
        <v>16</v>
      </c>
      <c r="E4" s="318">
        <v>45</v>
      </c>
      <c r="F4" s="319">
        <v>45</v>
      </c>
      <c r="G4" s="320"/>
    </row>
    <row r="5" spans="1:7" ht="17.399999999999999" thickBot="1" x14ac:dyDescent="0.35">
      <c r="A5" s="212" t="s">
        <v>3</v>
      </c>
      <c r="B5" s="321">
        <v>13</v>
      </c>
      <c r="C5" s="322" t="str">
        <f t="shared" si="0"/>
        <v>+1</v>
      </c>
      <c r="D5" s="323" t="s">
        <v>202</v>
      </c>
      <c r="E5" s="324">
        <v>10</v>
      </c>
      <c r="F5" s="325">
        <v>22</v>
      </c>
      <c r="G5" s="326"/>
    </row>
    <row r="6" spans="1:7" ht="17.399999999999999" thickTop="1" x14ac:dyDescent="0.3">
      <c r="A6" s="216" t="s">
        <v>14</v>
      </c>
      <c r="B6" s="321">
        <v>17</v>
      </c>
      <c r="C6" s="322" t="str">
        <f t="shared" si="0"/>
        <v>+3</v>
      </c>
      <c r="D6" s="327" t="s">
        <v>203</v>
      </c>
      <c r="E6" s="328">
        <v>5</v>
      </c>
      <c r="F6" s="329"/>
      <c r="G6" s="326"/>
    </row>
    <row r="7" spans="1:7" ht="16.8" x14ac:dyDescent="0.3">
      <c r="A7" s="330" t="s">
        <v>15</v>
      </c>
      <c r="B7" s="321">
        <v>6</v>
      </c>
      <c r="C7" s="322">
        <f t="shared" si="0"/>
        <v>-2</v>
      </c>
      <c r="D7" s="327" t="s">
        <v>204</v>
      </c>
      <c r="E7" s="331">
        <v>10</v>
      </c>
      <c r="F7" s="332"/>
      <c r="G7" s="326"/>
    </row>
    <row r="8" spans="1:7" ht="16.8" x14ac:dyDescent="0.3">
      <c r="A8" s="221" t="s">
        <v>17</v>
      </c>
      <c r="B8" s="321">
        <v>11</v>
      </c>
      <c r="C8" s="333" t="str">
        <f t="shared" si="0"/>
        <v>+0</v>
      </c>
      <c r="D8" s="334" t="s">
        <v>205</v>
      </c>
      <c r="E8" s="331">
        <v>5</v>
      </c>
      <c r="F8" s="332"/>
      <c r="G8" s="326"/>
    </row>
    <row r="9" spans="1:7" ht="17.399999999999999" thickBot="1" x14ac:dyDescent="0.35">
      <c r="A9" s="223" t="s">
        <v>13</v>
      </c>
      <c r="B9" s="335">
        <v>4</v>
      </c>
      <c r="C9" s="336">
        <f t="shared" si="0"/>
        <v>-3</v>
      </c>
      <c r="D9" s="337" t="s">
        <v>206</v>
      </c>
      <c r="E9" s="338">
        <v>4</v>
      </c>
      <c r="F9" s="332"/>
      <c r="G9" s="326"/>
    </row>
    <row r="10" spans="1:7" ht="17.399999999999999" thickTop="1" x14ac:dyDescent="0.3">
      <c r="A10" s="201"/>
      <c r="B10" s="208"/>
      <c r="C10" s="208"/>
      <c r="D10" s="208"/>
      <c r="E10" s="206"/>
      <c r="F10" s="339"/>
      <c r="G10" s="326"/>
    </row>
    <row r="11" spans="1:7" ht="16.8" x14ac:dyDescent="0.3">
      <c r="A11" s="225"/>
      <c r="B11" s="208"/>
      <c r="C11" s="208"/>
      <c r="D11" s="208"/>
      <c r="E11" s="206"/>
      <c r="F11" s="208"/>
      <c r="G11" s="206"/>
    </row>
    <row r="12" spans="1:7" ht="17.399999999999999" thickBot="1" x14ac:dyDescent="0.35">
      <c r="A12" s="226"/>
      <c r="B12" s="227"/>
      <c r="C12" s="227"/>
      <c r="D12" s="227"/>
      <c r="E12" s="228"/>
      <c r="F12" s="227"/>
      <c r="G12" s="228"/>
    </row>
    <row r="13" spans="1:7" ht="16.2" thickTop="1" x14ac:dyDescent="0.3"/>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Personal File</vt:lpstr>
      <vt:lpstr>Skills</vt:lpstr>
      <vt:lpstr>Sune</vt:lpstr>
      <vt:lpstr>Spells</vt:lpstr>
      <vt:lpstr>Feats</vt:lpstr>
      <vt:lpstr>Martial</vt:lpstr>
      <vt:lpstr>Equipment</vt:lpstr>
      <vt:lpstr>Mount</vt:lpstr>
      <vt:lpstr>Feats!OLE_LINK1</vt:lpstr>
      <vt:lpstr>Mount!Print_Area</vt:lpstr>
      <vt:lpstr>'Personal File'!Print_Area</vt:lpstr>
      <vt:lpstr>Skills!Print_Area</vt:lpstr>
      <vt:lpstr>Sune!Print_Area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Character Sheet</dc:title>
  <dc:creator>© Alexis A. Álvarez 2007</dc:creator>
  <cp:lastModifiedBy>Alexis Álvarez</cp:lastModifiedBy>
  <cp:lastPrinted>2007-10-12T15:52:45Z</cp:lastPrinted>
  <dcterms:created xsi:type="dcterms:W3CDTF">2000-10-24T15:39:59Z</dcterms:created>
  <dcterms:modified xsi:type="dcterms:W3CDTF">2018-01-23T16:04:40Z</dcterms:modified>
</cp:coreProperties>
</file>