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7680" windowHeight="5112" tabRatio="638"/>
  </bookViews>
  <sheets>
    <sheet name="Personal File" sheetId="4" r:id="rId1"/>
    <sheet name="Skills" sheetId="15" r:id="rId2"/>
    <sheet name="Spells" sheetId="21" r:id="rId3"/>
    <sheet name="Feats" sheetId="20" r:id="rId4"/>
    <sheet name="Martial" sheetId="6" r:id="rId5"/>
    <sheet name="Equipment" sheetId="19" r:id="rId6"/>
    <sheet name="Mount" sheetId="22" r:id="rId7"/>
    <sheet name="XP Awards" sheetId="23" r:id="rId8"/>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6">Mount!$A$1:$H$12</definedName>
    <definedName name="_xlnm.Print_Area" localSheetId="0">'Personal File'!$A$1:$H$13</definedName>
    <definedName name="_xlnm.Print_Area" localSheetId="1">Skills!$A$1:$K$29</definedName>
    <definedName name="_xlnm.Print_Area" localSheetId="2">Spells!$A$1:$I$14</definedName>
  </definedNames>
  <calcPr calcId="145621"/>
</workbook>
</file>

<file path=xl/calcChain.xml><?xml version="1.0" encoding="utf-8"?>
<calcChain xmlns="http://schemas.openxmlformats.org/spreadsheetml/2006/main">
  <c r="R3" i="20" l="1"/>
  <c r="H13" i="15" l="1"/>
  <c r="H11" i="15"/>
  <c r="H10" i="15"/>
  <c r="H9" i="15"/>
  <c r="H8" i="15"/>
  <c r="B8" i="4" l="1"/>
  <c r="C9" i="20" l="1"/>
  <c r="C8" i="20"/>
  <c r="C7" i="20"/>
  <c r="C6" i="20"/>
  <c r="C5" i="20"/>
  <c r="C4" i="20"/>
  <c r="C3" i="20"/>
  <c r="M38" i="6" l="1"/>
  <c r="C19" i="20" l="1"/>
  <c r="I22" i="6" l="1"/>
  <c r="I21" i="6"/>
  <c r="I20" i="6"/>
  <c r="I14" i="6"/>
  <c r="I10" i="6"/>
  <c r="I13" i="6"/>
  <c r="I9" i="6"/>
  <c r="I4" i="6"/>
  <c r="B12" i="4" l="1"/>
  <c r="F41" i="15" l="1"/>
  <c r="F35" i="15"/>
  <c r="F28" i="15"/>
  <c r="F23" i="15"/>
  <c r="F21" i="15"/>
  <c r="F16" i="15"/>
  <c r="F7" i="15"/>
  <c r="B26" i="6"/>
  <c r="C18" i="20" l="1"/>
  <c r="C17" i="20"/>
  <c r="C16" i="20"/>
  <c r="C15" i="20"/>
  <c r="C14" i="20"/>
  <c r="C13" i="20"/>
  <c r="H20" i="15"/>
  <c r="B10" i="4"/>
  <c r="I6" i="6" l="1"/>
  <c r="E11" i="4" l="1"/>
  <c r="B7" i="4" l="1"/>
  <c r="C12" i="23" l="1"/>
  <c r="B16" i="23" s="1"/>
  <c r="B18" i="23" s="1"/>
  <c r="B20" i="23" s="1"/>
  <c r="G32" i="6" l="1"/>
  <c r="I19" i="6" l="1"/>
  <c r="F3" i="15" l="1"/>
  <c r="M36" i="6"/>
  <c r="B6" i="4"/>
  <c r="H19" i="6" l="1"/>
  <c r="B9" i="4"/>
  <c r="J19" i="6" l="1"/>
  <c r="H20" i="6"/>
  <c r="F9" i="15"/>
  <c r="H21" i="6" l="1"/>
  <c r="J20" i="6"/>
  <c r="I3" i="6"/>
  <c r="I5" i="6"/>
  <c r="H22" i="6" l="1"/>
  <c r="J22" i="6" s="1"/>
  <c r="J21" i="6"/>
  <c r="G6" i="19"/>
  <c r="F4" i="15" l="1"/>
  <c r="I7" i="20" l="1"/>
  <c r="F5" i="15" l="1"/>
  <c r="G8" i="19"/>
  <c r="E54" i="15" l="1"/>
  <c r="H14" i="20" l="1"/>
  <c r="H12" i="20"/>
  <c r="H13" i="20" s="1"/>
  <c r="H11" i="20"/>
  <c r="H10" i="20"/>
  <c r="H15" i="20" l="1"/>
  <c r="I8" i="6"/>
  <c r="I7" i="6"/>
  <c r="I12" i="6" l="1"/>
  <c r="I11" i="6"/>
  <c r="B44" i="15" l="1"/>
  <c r="H25" i="15"/>
  <c r="B13" i="4" l="1"/>
  <c r="G7" i="20" l="1"/>
  <c r="H7" i="20"/>
  <c r="J7" i="20"/>
  <c r="K7" i="20"/>
  <c r="L7" i="20"/>
  <c r="M7" i="20"/>
  <c r="N7" i="20"/>
  <c r="I15" i="6" l="1"/>
  <c r="M18" i="6" l="1"/>
  <c r="G23" i="19" l="1"/>
  <c r="G25" i="19" s="1"/>
  <c r="G18" i="6"/>
  <c r="E9" i="4" s="1"/>
  <c r="C9" i="22"/>
  <c r="C8" i="22"/>
  <c r="C7" i="22"/>
  <c r="C6" i="22"/>
  <c r="C5" i="22"/>
  <c r="C4" i="22"/>
  <c r="E55" i="15" l="1"/>
  <c r="H31" i="15"/>
  <c r="H30" i="15"/>
  <c r="H29" i="15"/>
  <c r="H28" i="15"/>
  <c r="H27" i="15"/>
  <c r="H26" i="15"/>
  <c r="H24" i="15"/>
  <c r="H23" i="15"/>
  <c r="H22" i="15"/>
  <c r="H21" i="15"/>
  <c r="H19" i="15"/>
  <c r="H18" i="15"/>
  <c r="H17" i="15"/>
  <c r="H16" i="15"/>
  <c r="H15" i="15"/>
  <c r="H14" i="15"/>
  <c r="H12" i="15"/>
  <c r="H40" i="15"/>
  <c r="I23" i="6" l="1"/>
  <c r="I18" i="6"/>
  <c r="H43" i="15" l="1"/>
  <c r="H42" i="15"/>
  <c r="H41" i="15"/>
  <c r="H39" i="15"/>
  <c r="H38" i="15"/>
  <c r="H37" i="15"/>
  <c r="H36" i="15"/>
  <c r="H35" i="15"/>
  <c r="H34" i="15"/>
  <c r="H33" i="15"/>
  <c r="H32" i="15"/>
  <c r="H5" i="15"/>
  <c r="H4" i="15"/>
  <c r="H3" i="15"/>
  <c r="H7" i="15"/>
  <c r="H6" i="15"/>
  <c r="C13" i="4" l="1"/>
  <c r="C12" i="4"/>
  <c r="C11" i="4"/>
  <c r="C10" i="4"/>
  <c r="E10" i="4" s="1"/>
  <c r="C9" i="4"/>
  <c r="C8" i="4"/>
  <c r="C5" i="6" l="1"/>
  <c r="C4" i="6"/>
  <c r="C3" i="6"/>
  <c r="C6" i="6"/>
  <c r="C14" i="6"/>
  <c r="C10" i="6"/>
  <c r="C9" i="6"/>
  <c r="C13" i="6"/>
  <c r="C8" i="6"/>
  <c r="C7" i="6"/>
  <c r="H6" i="6"/>
  <c r="J6" i="6" s="1"/>
  <c r="E13" i="4"/>
  <c r="E12" i="4" s="1"/>
  <c r="H18" i="6"/>
  <c r="J18" i="6" s="1"/>
  <c r="H23" i="6"/>
  <c r="J23" i="6" s="1"/>
  <c r="C12" i="6"/>
  <c r="H15" i="6"/>
  <c r="J15" i="6" s="1"/>
  <c r="H7" i="6"/>
  <c r="H3" i="6"/>
  <c r="H11" i="6"/>
  <c r="C11" i="6"/>
  <c r="E53" i="15"/>
  <c r="D25" i="15"/>
  <c r="E45" i="15"/>
  <c r="D6" i="15"/>
  <c r="G6" i="15" s="1"/>
  <c r="E51" i="15"/>
  <c r="E47" i="15"/>
  <c r="E50" i="15"/>
  <c r="E46" i="15"/>
  <c r="E52" i="15"/>
  <c r="D26" i="15"/>
  <c r="E49" i="15"/>
  <c r="E48" i="15"/>
  <c r="D4" i="15"/>
  <c r="D5" i="15"/>
  <c r="D3" i="15"/>
  <c r="D24" i="15"/>
  <c r="D37" i="15"/>
  <c r="D39" i="15"/>
  <c r="D36" i="15"/>
  <c r="B22" i="19"/>
  <c r="D31" i="15"/>
  <c r="D41" i="15"/>
  <c r="D38" i="15"/>
  <c r="D40" i="15"/>
  <c r="D33" i="15"/>
  <c r="D19"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J11" i="6" l="1"/>
  <c r="H12" i="6"/>
  <c r="J3" i="6"/>
  <c r="H4" i="6"/>
  <c r="J7" i="6"/>
  <c r="H8" i="6"/>
  <c r="G25" i="15"/>
  <c r="I25" i="15" s="1"/>
  <c r="E25" i="15"/>
  <c r="E6" i="15"/>
  <c r="G26" i="15"/>
  <c r="I26" i="15" s="1"/>
  <c r="E26" i="15"/>
  <c r="E44" i="15"/>
  <c r="I6" i="15"/>
  <c r="E22" i="15"/>
  <c r="G22" i="15"/>
  <c r="E8" i="15"/>
  <c r="G8" i="15"/>
  <c r="E18" i="15"/>
  <c r="G18" i="15"/>
  <c r="E23" i="15"/>
  <c r="G23" i="15"/>
  <c r="E32" i="15"/>
  <c r="G32" i="15"/>
  <c r="E14" i="15"/>
  <c r="G14" i="15"/>
  <c r="E19" i="15"/>
  <c r="G19" i="15"/>
  <c r="E41" i="15"/>
  <c r="G41" i="15"/>
  <c r="E39" i="15"/>
  <c r="G39" i="15"/>
  <c r="E24" i="15"/>
  <c r="G24" i="15"/>
  <c r="E11" i="15"/>
  <c r="G11" i="15"/>
  <c r="E12" i="15"/>
  <c r="G12" i="15"/>
  <c r="E9" i="15"/>
  <c r="G9" i="15"/>
  <c r="E20" i="15"/>
  <c r="G20" i="15"/>
  <c r="E34" i="15"/>
  <c r="G34" i="15"/>
  <c r="E33" i="15"/>
  <c r="G33" i="15"/>
  <c r="E31" i="15"/>
  <c r="G31" i="15"/>
  <c r="E4" i="15"/>
  <c r="G4" i="15"/>
  <c r="E7" i="15"/>
  <c r="G7" i="15"/>
  <c r="E30" i="15"/>
  <c r="G30" i="15"/>
  <c r="E13" i="15"/>
  <c r="G13" i="15"/>
  <c r="E15" i="15"/>
  <c r="G15" i="15"/>
  <c r="E27" i="15"/>
  <c r="G27" i="15"/>
  <c r="E35" i="15"/>
  <c r="G35" i="15"/>
  <c r="E10" i="15"/>
  <c r="G10" i="15"/>
  <c r="E16" i="15"/>
  <c r="G16" i="15"/>
  <c r="E21" i="15"/>
  <c r="G21" i="15"/>
  <c r="E28" i="15"/>
  <c r="G28" i="15"/>
  <c r="E43" i="15"/>
  <c r="G43" i="15"/>
  <c r="E29" i="15"/>
  <c r="G29" i="15"/>
  <c r="E40" i="15"/>
  <c r="G40" i="15"/>
  <c r="E37" i="15"/>
  <c r="G37" i="15"/>
  <c r="E17" i="15"/>
  <c r="G17" i="15"/>
  <c r="E42" i="15"/>
  <c r="G42" i="15"/>
  <c r="E38" i="15"/>
  <c r="G38" i="15"/>
  <c r="E36" i="15"/>
  <c r="G36" i="15"/>
  <c r="E3" i="15"/>
  <c r="G3" i="15"/>
  <c r="E5" i="15"/>
  <c r="G5" i="15"/>
  <c r="H13" i="6" l="1"/>
  <c r="J12" i="6"/>
  <c r="H9" i="6"/>
  <c r="J8" i="6"/>
  <c r="H5" i="6"/>
  <c r="J5" i="6" s="1"/>
  <c r="J4" i="6"/>
  <c r="I3" i="15"/>
  <c r="I28" i="15"/>
  <c r="I16" i="15"/>
  <c r="I15" i="15"/>
  <c r="I30" i="15"/>
  <c r="I38" i="15"/>
  <c r="I17" i="15"/>
  <c r="I40" i="15"/>
  <c r="I43" i="15"/>
  <c r="I21" i="15"/>
  <c r="I10" i="15"/>
  <c r="I27" i="15"/>
  <c r="I13" i="15"/>
  <c r="I7" i="15"/>
  <c r="I31" i="15"/>
  <c r="I34" i="15"/>
  <c r="I9" i="15"/>
  <c r="I11" i="15"/>
  <c r="I39" i="15"/>
  <c r="I19" i="15"/>
  <c r="I32" i="15"/>
  <c r="I36" i="15"/>
  <c r="I37" i="15"/>
  <c r="I29" i="15"/>
  <c r="I35" i="15"/>
  <c r="I4" i="15"/>
  <c r="I33" i="15"/>
  <c r="I20" i="15"/>
  <c r="I12" i="15"/>
  <c r="I24" i="15"/>
  <c r="I41" i="15"/>
  <c r="I14" i="15"/>
  <c r="I23" i="15"/>
  <c r="I5" i="15"/>
  <c r="I42" i="15"/>
  <c r="I8" i="15"/>
  <c r="I18" i="15"/>
  <c r="I22" i="15"/>
  <c r="J9" i="6" l="1"/>
  <c r="H10" i="6"/>
  <c r="J10" i="6" s="1"/>
  <c r="J13" i="6"/>
  <c r="H14" i="6"/>
  <c r="J14" i="6" s="1"/>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bless +1
shaken -2
inspired greatness +2
enlarge person -1</t>
        </r>
      </text>
    </comment>
    <comment ref="B8" authorId="0">
      <text>
        <r>
          <rPr>
            <i/>
            <sz val="12"/>
            <color indexed="81"/>
            <rFont val="Times New Roman"/>
            <family val="1"/>
          </rPr>
          <t>bull’s strength +4
righteous fury +4
enlarge person +2</t>
        </r>
      </text>
    </comment>
    <comment ref="E8" authorId="0">
      <text>
        <r>
          <rPr>
            <sz val="12"/>
            <color indexed="81"/>
            <rFont val="Times New Roman"/>
            <family val="1"/>
          </rPr>
          <t>See PHB 162</t>
        </r>
      </text>
    </comment>
    <comment ref="B9" authorId="0">
      <text>
        <r>
          <rPr>
            <sz val="12"/>
            <color indexed="81"/>
            <rFont val="Times New Roman"/>
            <family val="1"/>
          </rPr>
          <t xml:space="preserve">Gloves of Dexterity +2
</t>
        </r>
        <r>
          <rPr>
            <i/>
            <sz val="12"/>
            <color indexed="81"/>
            <rFont val="Times New Roman"/>
            <family val="1"/>
          </rPr>
          <t>enlarge person -2</t>
        </r>
      </text>
    </comment>
    <comment ref="E10" authorId="0">
      <text>
        <r>
          <rPr>
            <sz val="12"/>
            <color indexed="81"/>
            <rFont val="Times New Roman"/>
            <family val="1"/>
          </rPr>
          <t>[(5 * 10 Paladin) * 75%] +
[(6 * 10 Pious Templar) * 75%] +
(11 * 2 Con) + 11 Improved Toughness</t>
        </r>
      </text>
    </comment>
    <comment ref="E11" authorId="0">
      <text>
        <r>
          <rPr>
            <sz val="12"/>
            <color indexed="81"/>
            <rFont val="Times New Roman"/>
            <family val="1"/>
          </rPr>
          <t>Protection from Evil +2</t>
        </r>
      </text>
    </comment>
    <comment ref="B12" authorId="0">
      <text>
        <r>
          <rPr>
            <sz val="12"/>
            <color indexed="81"/>
            <rFont val="Times New Roman"/>
            <family val="1"/>
          </rPr>
          <t>Amulet of Wisdom +2</t>
        </r>
      </text>
    </comment>
    <comment ref="E12" authorId="0">
      <text>
        <r>
          <rPr>
            <sz val="12"/>
            <color indexed="81"/>
            <rFont val="Times New Roman"/>
            <family val="1"/>
          </rPr>
          <t>Protection from Evil +2</t>
        </r>
      </text>
    </comment>
    <comment ref="B13" authorId="0">
      <text>
        <r>
          <rPr>
            <sz val="12"/>
            <color indexed="81"/>
            <rFont val="Times New Roman"/>
            <family val="1"/>
          </rPr>
          <t>Cloak of Charisma +2</t>
        </r>
      </text>
    </comment>
    <comment ref="E13" authorId="0">
      <text>
        <r>
          <rPr>
            <sz val="12"/>
            <color indexed="81"/>
            <rFont val="Times New Roman"/>
            <family val="1"/>
          </rPr>
          <t>Protection from Evil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inspired greatness +1
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7" authorId="0">
      <text>
        <r>
          <rPr>
            <sz val="12"/>
            <color indexed="81"/>
            <rFont val="Times New Roman"/>
            <family val="1"/>
          </rPr>
          <t>Full Plate +3</t>
        </r>
      </text>
    </comment>
    <comment ref="F9" authorId="0">
      <text>
        <r>
          <rPr>
            <sz val="12"/>
            <color indexed="81"/>
            <rFont val="Times New Roman"/>
            <family val="1"/>
          </rPr>
          <t>Full Plate +3</t>
        </r>
      </text>
    </comment>
    <comment ref="F16" authorId="0">
      <text>
        <r>
          <rPr>
            <sz val="12"/>
            <color indexed="81"/>
            <rFont val="Times New Roman"/>
            <family val="1"/>
          </rPr>
          <t>Full Plate +3</t>
        </r>
      </text>
    </comment>
    <comment ref="F21" authorId="0">
      <text>
        <r>
          <rPr>
            <sz val="12"/>
            <color indexed="81"/>
            <rFont val="Times New Roman"/>
            <family val="1"/>
          </rPr>
          <t>Full Plate +3</t>
        </r>
      </text>
    </comment>
    <comment ref="F23" authorId="0">
      <text>
        <r>
          <rPr>
            <sz val="12"/>
            <color indexed="81"/>
            <rFont val="Times New Roman"/>
            <family val="1"/>
          </rPr>
          <t>Full Plate +3</t>
        </r>
      </text>
    </comment>
    <comment ref="F28" authorId="0">
      <text>
        <r>
          <rPr>
            <sz val="12"/>
            <color indexed="81"/>
            <rFont val="Times New Roman"/>
            <family val="1"/>
          </rPr>
          <t>Full Plate +3</t>
        </r>
      </text>
    </comment>
    <comment ref="F35" authorId="0">
      <text>
        <r>
          <rPr>
            <sz val="12"/>
            <color indexed="81"/>
            <rFont val="Times New Roman"/>
            <family val="1"/>
          </rPr>
          <t>Full Plate +3</t>
        </r>
      </text>
    </comment>
    <comment ref="F41" authorId="0">
      <text>
        <r>
          <rPr>
            <sz val="12"/>
            <color indexed="81"/>
            <rFont val="Times New Roman"/>
            <family val="1"/>
          </rPr>
          <t>Full Plate +3</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Pure Water</t>
        </r>
      </text>
    </comment>
    <comment ref="D11" authorId="0">
      <text>
        <r>
          <rPr>
            <sz val="12"/>
            <color indexed="81"/>
            <rFont val="Times New Roman"/>
            <family val="1"/>
          </rPr>
          <t>Earth from grave</t>
        </r>
      </text>
    </comment>
    <comment ref="D15" authorId="0">
      <text>
        <r>
          <rPr>
            <sz val="12"/>
            <color indexed="81"/>
            <rFont val="Times New Roman"/>
            <family val="1"/>
          </rPr>
          <t>Imbued weapon</t>
        </r>
      </text>
    </comment>
    <comment ref="D18" authorId="0">
      <text>
        <r>
          <rPr>
            <sz val="12"/>
            <color indexed="81"/>
            <rFont val="Times New Roman"/>
            <family val="1"/>
          </rPr>
          <t>Prism, lens, or monocle</t>
        </r>
      </text>
    </comment>
    <comment ref="H22" authorId="0">
      <text>
        <r>
          <rPr>
            <sz val="12"/>
            <color indexed="81"/>
            <rFont val="Times New Roman"/>
            <family val="1"/>
          </rPr>
          <t>See Righteous Fury in Miniatures Handbook</t>
        </r>
      </text>
    </comment>
    <comment ref="D25" authorId="0">
      <text>
        <r>
          <rPr>
            <sz val="12"/>
            <color indexed="81"/>
            <rFont val="Times New Roman"/>
            <family val="1"/>
          </rPr>
          <t>Bull-shit or bull-hair</t>
        </r>
      </text>
    </comment>
  </commentList>
</comments>
</file>

<file path=xl/comments4.xml><?xml version="1.0" encoding="utf-8"?>
<comments xmlns="http://schemas.openxmlformats.org/spreadsheetml/2006/main">
  <authors>
    <author>Alexis Álvarez</author>
  </authors>
  <commentList>
    <comment ref="P2"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R2" authorId="0">
      <text>
        <r>
          <rPr>
            <sz val="12"/>
            <color indexed="81"/>
            <rFont val="Times New Roman"/>
            <family val="1"/>
          </rPr>
          <t>The power of a paladin’s aura of evil (see the detect evil spell) is equal to her paladin level, just like the aura of a cleric of an evil deity.
PHB 44</t>
        </r>
      </text>
    </comment>
    <comment ref="P3" authorId="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R3" authorId="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P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R4" authorId="0">
      <text>
        <r>
          <rPr>
            <sz val="12"/>
            <color indexed="81"/>
            <rFont val="Times New Roman"/>
            <family val="1"/>
          </rPr>
          <t>A paladin of freedom must be of chaotic good alignment and loses all class abilities if he ever willingly commits an evil act. Additionally, a paladin of freedom’s code requires that he respect individual liberty, help those in need (provided they do not use the help for lawful or evil ends), and punish those who threaten or curtail personal liberty.
Unearthed Arcana 53</t>
        </r>
      </text>
    </comment>
    <comment ref="P5" authorId="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R5" authorId="0">
      <text>
        <r>
          <rPr>
            <sz val="12"/>
            <color indexed="81"/>
            <rFont val="Times New Roman"/>
            <family val="1"/>
          </rPr>
          <t>At will, a paladin can use detect evil, as the spell.
PHB 44</t>
        </r>
      </text>
    </comment>
    <comment ref="P6" authorId="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Prerequisites:</t>
        </r>
        <r>
          <rPr>
            <sz val="12"/>
            <color indexed="81"/>
            <rFont val="Times New Roman"/>
            <family val="1"/>
          </rPr>
          <t xml:space="preserve">  Heal 8 ranks, ability to turn undead.
</t>
        </r>
        <r>
          <rPr>
            <b/>
            <sz val="12"/>
            <color indexed="81"/>
            <rFont val="Times New Roman"/>
            <family val="1"/>
          </rPr>
          <t>Benefit:</t>
        </r>
        <r>
          <rPr>
            <sz val="12"/>
            <color indexed="81"/>
            <rFont val="Times New Roman"/>
            <family val="1"/>
          </rPr>
          <t xml:space="preserve">  You can spend a turn attempt as a full-round action to grant fast healing 3 to all living creatures within a 60’ burst.  The fast healing lasts for a number of rounds equal to 1 + your Cha modifier (minimum 1 round).
Complete Divine 84</t>
        </r>
      </text>
    </comment>
    <comment ref="R6" authorId="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R7" authorId="0">
      <text>
        <r>
          <rPr>
            <sz val="12"/>
            <color indexed="81"/>
            <rFont val="Times New Roman"/>
            <family val="1"/>
          </rPr>
          <t>At 2nd level, a paladin gains a bonus equal to her Charisma bonus (if any) on all saving throws.
PHB 44</t>
        </r>
      </text>
    </comment>
    <comment ref="R8" authorId="0">
      <text>
        <r>
          <rPr>
            <sz val="12"/>
            <color indexed="81"/>
            <rFont val="Times New Roman"/>
            <family val="1"/>
          </rPr>
          <t>At 3rd level, a paladin gains immunity to all diseases, including supernatural and magical diseases (such as mummy rot and lycanthropy).
PHB 44</t>
        </r>
      </text>
    </comment>
    <comment ref="P9" authorId="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R9" authorId="0">
      <text>
        <r>
          <rPr>
            <sz val="12"/>
            <color indexed="81"/>
            <rFont val="Times New Roman"/>
            <family val="1"/>
          </rPr>
          <t>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P10" authorId="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P11"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Prerequisites:</t>
        </r>
        <r>
          <rPr>
            <sz val="12"/>
            <color indexed="81"/>
            <rFont val="Times New Roman"/>
            <family val="1"/>
          </rPr>
          <t xml:space="preserve">  Proficiency with selected weapon, Weapon Focus with selected weapon, fighter level 4th.
</t>
        </r>
        <r>
          <rPr>
            <b/>
            <sz val="12"/>
            <color indexed="81"/>
            <rFont val="Times New Roman"/>
            <family val="1"/>
          </rPr>
          <t>Benefit:</t>
        </r>
        <r>
          <rPr>
            <sz val="12"/>
            <color indexed="81"/>
            <rFont val="Times New Roman"/>
            <family val="1"/>
          </rPr>
          <t xml:space="preserve">  You gain a +2 bonus on all damage rolls you make using the selected weapon.
</t>
        </r>
        <r>
          <rPr>
            <b/>
            <sz val="12"/>
            <color indexed="81"/>
            <rFont val="Times New Roman"/>
            <family val="1"/>
          </rPr>
          <t>Special:</t>
        </r>
        <r>
          <rPr>
            <sz val="12"/>
            <color indexed="81"/>
            <rFont val="Times New Roman"/>
            <family val="1"/>
          </rPr>
          <t xml:space="preserve">  You can gain this feat multiple times.  Its effects do not stack.  Each time you take the feat, it applies to a new type of weapon.
A fighter may select Weapon Specialization as one of his fighter bonus feats (see page 38).
PHB 102</t>
        </r>
      </text>
    </comment>
    <comment ref="R11" authorId="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P12" authorId="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 ref="R12" authorId="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H13" authorId="0">
      <text>
        <r>
          <rPr>
            <sz val="12"/>
            <color indexed="81"/>
            <rFont val="Times New Roman"/>
            <family val="1"/>
          </rPr>
          <t>Know: Religion synergy +2</t>
        </r>
      </text>
    </comment>
    <comment ref="P13"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Prerequisite:</t>
        </r>
        <r>
          <rPr>
            <sz val="12"/>
            <color indexed="81"/>
            <rFont val="Times New Roman"/>
            <family val="1"/>
          </rPr>
          <t xml:space="preserve">  Proficient with weapon, base attack bonus +8.
</t>
        </r>
        <r>
          <rPr>
            <b/>
            <sz val="12"/>
            <color indexed="81"/>
            <rFont val="Times New Roman"/>
            <family val="1"/>
          </rPr>
          <t>Benefit:</t>
        </r>
        <r>
          <rPr>
            <sz val="12"/>
            <color indexed="81"/>
            <rFont val="Times New Roman"/>
            <family val="1"/>
          </rPr>
          <t xml:space="preserve">  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Special:</t>
        </r>
        <r>
          <rPr>
            <sz val="12"/>
            <color indexed="81"/>
            <rFont val="Times New Roman"/>
            <family val="1"/>
          </rPr>
          <t xml:space="preserve">  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List>
</comments>
</file>

<file path=xl/comments5.xml><?xml version="1.0" encoding="utf-8"?>
<comments xmlns="http://schemas.openxmlformats.org/spreadsheetml/2006/main">
  <authors>
    <author>Alexis Álvarez</author>
  </authors>
  <commentList>
    <comment ref="B3" authorId="0">
      <text>
        <r>
          <rPr>
            <sz val="12"/>
            <color indexed="81"/>
            <rFont val="Times New Roman"/>
            <family val="1"/>
          </rPr>
          <t>Weapon Specialization +2 dmg</t>
        </r>
      </text>
    </comment>
    <comment ref="E3" authorId="0">
      <text>
        <r>
          <rPr>
            <sz val="12"/>
            <color indexed="81"/>
            <rFont val="Times New Roman"/>
            <family val="1"/>
          </rPr>
          <t>Improved Critical</t>
        </r>
      </text>
    </comment>
    <comment ref="B4" authorId="0">
      <text>
        <r>
          <rPr>
            <sz val="12"/>
            <color indexed="81"/>
            <rFont val="Times New Roman"/>
            <family val="1"/>
          </rPr>
          <t>Weapon Specialization +2 dmg</t>
        </r>
      </text>
    </comment>
    <comment ref="E4" authorId="0">
      <text>
        <r>
          <rPr>
            <sz val="12"/>
            <color indexed="81"/>
            <rFont val="Times New Roman"/>
            <family val="1"/>
          </rPr>
          <t>Improved Critical</t>
        </r>
      </text>
    </comment>
    <comment ref="B5" authorId="0">
      <text>
        <r>
          <rPr>
            <sz val="12"/>
            <color indexed="81"/>
            <rFont val="Times New Roman"/>
            <family val="1"/>
          </rPr>
          <t>Weapon Specialization +2 dmg</t>
        </r>
      </text>
    </comment>
    <comment ref="E5" authorId="0">
      <text>
        <r>
          <rPr>
            <sz val="12"/>
            <color indexed="81"/>
            <rFont val="Times New Roman"/>
            <family val="1"/>
          </rPr>
          <t>Improved Critical</t>
        </r>
      </text>
    </comment>
    <comment ref="B6" authorId="0">
      <text>
        <r>
          <rPr>
            <sz val="12"/>
            <color indexed="81"/>
            <rFont val="Times New Roman"/>
            <family val="1"/>
          </rPr>
          <t>Weapon Specialization +2 dmg</t>
        </r>
      </text>
    </comment>
    <comment ref="E6" authorId="0">
      <text>
        <r>
          <rPr>
            <sz val="12"/>
            <color indexed="81"/>
            <rFont val="Times New Roman"/>
            <family val="1"/>
          </rPr>
          <t>Improved Critical</t>
        </r>
      </text>
    </comment>
    <comment ref="D25" authorId="0">
      <text>
        <r>
          <rPr>
            <sz val="12"/>
            <color indexed="81"/>
            <rFont val="Times New Roman"/>
            <family val="1"/>
          </rPr>
          <t>Balance, Climb, Escape Artist, Hide, Jump, Move Silently, Sleight of Hand, Tumble.</t>
        </r>
      </text>
    </comment>
    <comment ref="A27" authorId="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28" authorId="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 ref="A29"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List>
</comments>
</file>

<file path=xl/comments6.xml><?xml version="1.0" encoding="utf-8"?>
<comments xmlns="http://schemas.openxmlformats.org/spreadsheetml/2006/main">
  <authors>
    <author>Alexis Álvarez</author>
  </authors>
  <commentList>
    <comment ref="A6" authorId="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9" authorId="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0" authorId="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4" authorId="0">
      <text>
        <r>
          <rPr>
            <sz val="12"/>
            <color indexed="81"/>
            <rFont val="Times New Roman"/>
            <family val="1"/>
          </rPr>
          <t>DMG 238</t>
        </r>
      </text>
    </comment>
  </commentList>
</comments>
</file>

<file path=xl/sharedStrings.xml><?xml version="1.0" encoding="utf-8"?>
<sst xmlns="http://schemas.openxmlformats.org/spreadsheetml/2006/main" count="751" uniqueCount="375">
  <si>
    <t>Race:</t>
  </si>
  <si>
    <t>Sex:</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</si>
  <si>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</si>
  <si>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</si>
  <si>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</si>
  <si>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</si>
  <si>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</si>
  <si>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</si>
  <si>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</si>
  <si>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</si>
  <si>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</si>
  <si>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</si>
  <si>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</si>
  <si>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</si>
  <si>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</si>
  <si>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</si>
  <si>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</si>
  <si>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</si>
  <si>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</si>
  <si>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</si>
  <si>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</si>
  <si>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</si>
  <si>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</si>
  <si>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</si>
  <si>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</si>
  <si>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</si>
  <si>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</si>
  <si>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</si>
  <si>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</si>
  <si>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</si>
  <si>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</si>
  <si>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</si>
  <si>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</si>
  <si>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</si>
  <si>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</si>
  <si>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</si>
  <si>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</si>
  <si>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</si>
  <si>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</si>
  <si>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</si>
  <si>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</si>
  <si>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</si>
  <si>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</si>
  <si>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</si>
  <si>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</si>
  <si>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</si>
  <si>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</si>
  <si>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</si>
  <si>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</si>
  <si>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</si>
  <si>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</si>
  <si>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</si>
  <si>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</si>
  <si>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</si>
  <si>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</si>
  <si>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</si>
  <si>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</si>
  <si>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</si>
  <si>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</si>
  <si>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</si>
  <si>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</si>
  <si>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</si>
  <si>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</si>
  <si>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</si>
  <si>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</si>
  <si>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</si>
  <si>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</si>
  <si>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</si>
  <si>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</si>
  <si>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</si>
  <si>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</si>
  <si>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</si>
  <si>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</si>
  <si>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</si>
  <si>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</si>
  <si>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</si>
  <si>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</si>
  <si>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</si>
  <si>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Spell</t>
  </si>
  <si>
    <t>Cast?</t>
  </si>
  <si>
    <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</si>
  <si>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</si>
  <si>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</si>
  <si>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</si>
  <si>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</si>
  <si>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</si>
  <si>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</si>
  <si>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</si>
  <si>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</si>
  <si>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</si>
  <si>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</si>
  <si>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</si>
  <si>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</si>
  <si>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</si>
  <si>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</si>
  <si>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</si>
  <si>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</si>
  <si>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Touch AC:</t>
  </si>
  <si>
    <t>Attack Bonus:</t>
  </si>
  <si>
    <t>Prepared Spells</t>
  </si>
  <si>
    <t>Divine Health</t>
  </si>
  <si>
    <t>General Feats</t>
  </si>
  <si>
    <t>DC</t>
  </si>
  <si>
    <t>School</t>
  </si>
  <si>
    <t>Components</t>
  </si>
  <si>
    <t>Casting</t>
  </si>
  <si>
    <t>Range</t>
  </si>
  <si>
    <t>Duration</t>
  </si>
  <si>
    <t>Create Water</t>
  </si>
  <si>
    <t>Conjuration</t>
  </si>
  <si>
    <t>V S</t>
  </si>
  <si>
    <t>1 SA</t>
  </si>
  <si>
    <t>25’ + 2½’/lvl</t>
  </si>
  <si>
    <t>Instant</t>
  </si>
  <si>
    <t>2 gallons/level</t>
  </si>
  <si>
    <t>Universal</t>
  </si>
  <si>
    <t>Touch</t>
  </si>
  <si>
    <t>1 min/lvl</t>
  </si>
  <si>
    <t>Detect Poison</t>
  </si>
  <si>
    <t>Divination</t>
  </si>
  <si>
    <t>1 minute</t>
  </si>
  <si>
    <t>Evocation</t>
  </si>
  <si>
    <t>10 min/lvl</t>
  </si>
  <si>
    <t>Read Magic</t>
  </si>
  <si>
    <t>V S F</t>
  </si>
  <si>
    <t>Personal</t>
  </si>
  <si>
    <t>Resistance</t>
  </si>
  <si>
    <t>Abjuration</t>
  </si>
  <si>
    <t>V S M/DF</t>
  </si>
  <si>
    <t>+1 all saves</t>
  </si>
  <si>
    <t>Virtue</t>
  </si>
  <si>
    <t>V S DF</t>
  </si>
  <si>
    <t>+1 HP to target</t>
  </si>
  <si>
    <t>50’</t>
  </si>
  <si>
    <t>+/-1 Att. &amp; vs Fear</t>
  </si>
  <si>
    <t>V S M</t>
  </si>
  <si>
    <t>1 liter</t>
  </si>
  <si>
    <t>Command</t>
  </si>
  <si>
    <t>V</t>
  </si>
  <si>
    <t>1 round</t>
  </si>
  <si>
    <t>Cure Light Wounds</t>
  </si>
  <si>
    <t>1d8 + 5 HP</t>
  </si>
  <si>
    <t>Divine Favor</t>
  </si>
  <si>
    <t>+1 Luck bonus / 3 levels</t>
  </si>
  <si>
    <t>Endure Elements</t>
  </si>
  <si>
    <t>24 hours</t>
  </si>
  <si>
    <t>Element (5)</t>
  </si>
  <si>
    <t>Magic Weapon</t>
  </si>
  <si>
    <t>V S F/DF</t>
  </si>
  <si>
    <t>+1 enhancement</t>
  </si>
  <si>
    <t>Detect Undead</t>
  </si>
  <si>
    <t>Atk</t>
  </si>
  <si>
    <t>Conduit of Life</t>
  </si>
  <si>
    <t>Divine Presence</t>
  </si>
  <si>
    <t>Master Cavalier</t>
  </si>
  <si>
    <t>1 rnd/lvl</t>
  </si>
  <si>
    <t>Summon Holy Symbol</t>
  </si>
  <si>
    <t>Touch of Restoration</t>
  </si>
  <si>
    <t>Turn Anathema</t>
  </si>
  <si>
    <t>10 minutes</t>
  </si>
  <si>
    <t>War Mount</t>
  </si>
  <si>
    <t>Benediction</t>
  </si>
  <si>
    <t>1 FR</t>
  </si>
  <si>
    <t>Lesser Restoration</t>
  </si>
  <si>
    <t>Restores attribute pts.</t>
  </si>
  <si>
    <t>2</t>
  </si>
  <si>
    <t>Female</t>
  </si>
  <si>
    <t>Special Mount</t>
  </si>
  <si>
    <t>Divine Sacrifice</t>
  </si>
  <si>
    <t>Saddlebags</t>
  </si>
  <si>
    <t>Military Saddle</t>
  </si>
  <si>
    <t>Belt Pouch</t>
  </si>
  <si>
    <t>Whetstone</t>
  </si>
  <si>
    <t>Traveler’s outfit</t>
  </si>
  <si>
    <t>Roll</t>
  </si>
  <si>
    <t>Paladin 1</t>
  </si>
  <si>
    <t>Bane</t>
  </si>
  <si>
    <t>Curse Water</t>
  </si>
  <si>
    <t>Curse Weapon</t>
  </si>
  <si>
    <t>Prot. fr. Chaos</t>
  </si>
  <si>
    <t>All Armor and Shields (not tower)</t>
  </si>
  <si>
    <t>Simple and Martial Weapons</t>
  </si>
  <si>
    <t>five</t>
  </si>
  <si>
    <t>1d10</t>
  </si>
  <si>
    <t>Divine Grace</t>
  </si>
  <si>
    <t>Move:</t>
  </si>
  <si>
    <t>Paladin 2</t>
  </si>
  <si>
    <t>Spells Granted</t>
  </si>
  <si>
    <t>Mount Encumbrance:</t>
  </si>
  <si>
    <t>19-20/x2</t>
  </si>
  <si>
    <t>Bludgeon</t>
  </si>
  <si>
    <t>Faith</t>
  </si>
  <si>
    <t>Lawful Good</t>
  </si>
  <si>
    <t>Victoria Greystone</t>
  </si>
  <si>
    <t>Pious Templar</t>
  </si>
  <si>
    <t>FF AC: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</si>
  <si>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</si>
  <si>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Paladin 3</t>
  </si>
  <si>
    <t>Paladin 4</t>
  </si>
  <si>
    <t>Paladin 5</t>
  </si>
  <si>
    <t>Pious Templar 1</t>
  </si>
  <si>
    <t>Pious Templar 2</t>
  </si>
  <si>
    <t>Pious Templar 3</t>
  </si>
  <si>
    <t>Knowledge:  Nobility</t>
  </si>
  <si>
    <t>Aura of Good 1/day</t>
  </si>
  <si>
    <t>Turn Undead</t>
  </si>
  <si>
    <t>Silver Holy Symbol</t>
  </si>
  <si>
    <t>Lance</t>
  </si>
  <si>
    <t>Cloak of Charisma +2</t>
  </si>
  <si>
    <t>Gloves of Dexterity +2</t>
  </si>
  <si>
    <t>Crystal of Adaptation, Least</t>
  </si>
  <si>
    <t>Scrolls and Potions</t>
  </si>
  <si>
    <t>CLev</t>
  </si>
  <si>
    <t>Value</t>
  </si>
  <si>
    <t>1</t>
  </si>
  <si>
    <t>On Mount</t>
  </si>
  <si>
    <t>Lance (see Weapons)</t>
  </si>
  <si>
    <t>on mount</t>
  </si>
  <si>
    <t>Deity:</t>
  </si>
  <si>
    <t>Torm</t>
  </si>
  <si>
    <t>Male</t>
  </si>
  <si>
    <t>Initiative:</t>
  </si>
  <si>
    <t>Size:</t>
  </si>
  <si>
    <t>Medium</t>
  </si>
  <si>
    <t>Wlk/Brw/Clm:</t>
  </si>
  <si>
    <t>TAC/AC:</t>
  </si>
  <si>
    <t>BAB:</t>
  </si>
  <si>
    <t>Fort:</t>
  </si>
  <si>
    <t>Ref:</t>
  </si>
  <si>
    <t>Will:</t>
  </si>
  <si>
    <t>Mount</t>
  </si>
  <si>
    <t>+1</t>
  </si>
  <si>
    <t>Heavy Warhorse</t>
  </si>
  <si>
    <t>MW Silver Heavy Flail</t>
  </si>
  <si>
    <t>1d6</t>
  </si>
  <si>
    <t>x2</t>
  </si>
  <si>
    <t>30’</t>
  </si>
  <si>
    <t>1d8</t>
  </si>
  <si>
    <t>x3</t>
  </si>
  <si>
    <t>Piercing</t>
  </si>
  <si>
    <t>Common</t>
  </si>
  <si>
    <t>Human:  Power Attack</t>
  </si>
  <si>
    <t>Slashing</t>
  </si>
  <si>
    <t>Total Equity:</t>
  </si>
  <si>
    <t>bypasses lycanthropes’ DR</t>
  </si>
  <si>
    <t>20’</t>
  </si>
  <si>
    <t>Animated Heavy Darkwood Shield +1</t>
  </si>
  <si>
    <t>-</t>
  </si>
  <si>
    <t>Wealth Cap:</t>
  </si>
  <si>
    <t>0th</t>
  </si>
  <si>
    <t>1st</t>
  </si>
  <si>
    <t>2nd</t>
  </si>
  <si>
    <t>3rd</t>
  </si>
  <si>
    <t>4th</t>
  </si>
  <si>
    <t>5th</t>
  </si>
  <si>
    <t>6th</t>
  </si>
  <si>
    <t>7th</t>
  </si>
  <si>
    <t>Total Daily Spells</t>
  </si>
  <si>
    <t>Spells by Level</t>
  </si>
  <si>
    <t>Paladin Spells</t>
  </si>
  <si>
    <t>Pious Templar Spells</t>
  </si>
  <si>
    <t>Wisdom Bonus 1</t>
  </si>
  <si>
    <t>Wisdom Bonus 2</t>
  </si>
  <si>
    <t>Bless Weapon</t>
  </si>
  <si>
    <t>Transmutation</t>
  </si>
  <si>
    <t>Enchantment</t>
  </si>
  <si>
    <t>Prot. fr. Evil</t>
  </si>
  <si>
    <t>Pious Templar Features</t>
  </si>
  <si>
    <t>Mettle</t>
  </si>
  <si>
    <t>Damage Reduction -/1</t>
  </si>
  <si>
    <t>True Believer bonus +2 when invoked</t>
  </si>
  <si>
    <t>40’</t>
  </si>
  <si>
    <t>0’</t>
  </si>
  <si>
    <t>1st:  True Believer</t>
  </si>
  <si>
    <t>3rd:  Weapon Focus:  Greatsword</t>
  </si>
  <si>
    <t>Brant</t>
  </si>
  <si>
    <t>Rhino’s Rush</t>
  </si>
  <si>
    <t>Swift</t>
  </si>
  <si>
    <t>Bull’s Strength</t>
  </si>
  <si>
    <t>6th:  Improved Toughness</t>
  </si>
  <si>
    <t>Weapon Specialization:  Greatsword</t>
  </si>
  <si>
    <t>Grapple</t>
  </si>
  <si>
    <t>Skill/Save</t>
  </si>
  <si>
    <t>9th:  Sacred Healing</t>
  </si>
  <si>
    <t>Improved Critical:  Greatsword</t>
  </si>
  <si>
    <t>Knowledge:  Arcana</t>
  </si>
  <si>
    <t>Pious Templar 4</t>
  </si>
  <si>
    <t>2nd Attack</t>
  </si>
  <si>
    <t>Javelins, 3</t>
  </si>
  <si>
    <t>17-20/x2</t>
  </si>
  <si>
    <t>Turning Undead</t>
  </si>
  <si>
    <t>Max HD Turned</t>
  </si>
  <si>
    <t>Turns/Day</t>
  </si>
  <si>
    <t>1d20 Roll</t>
  </si>
  <si>
    <t>Turn Check</t>
  </si>
  <si>
    <t>2d6 Roll</t>
  </si>
  <si>
    <t>Turn Dmg.</t>
  </si>
  <si>
    <t>Turns Used</t>
  </si>
  <si>
    <t>CROSS-CLASS SKILL</t>
  </si>
  <si>
    <t>Pious Templar 5</t>
  </si>
  <si>
    <t>Vest of Resistance +2</t>
  </si>
  <si>
    <t xml:space="preserve">Protection from Evil </t>
  </si>
  <si>
    <r>
      <t xml:space="preserve">Potion of </t>
    </r>
    <r>
      <rPr>
        <i/>
        <sz val="12"/>
        <rFont val="Times New Roman"/>
        <family val="1"/>
      </rPr>
      <t>enlarge person</t>
    </r>
  </si>
  <si>
    <t>Aura of Courage</t>
  </si>
  <si>
    <t>Pearls of Power, 1st level,</t>
  </si>
  <si>
    <t>Played by Jason Davis</t>
  </si>
  <si>
    <t>Restful Crystal</t>
  </si>
  <si>
    <r>
      <t xml:space="preserve">Wand of </t>
    </r>
    <r>
      <rPr>
        <i/>
        <sz val="12"/>
        <rFont val="Times New Roman"/>
        <family val="1"/>
      </rPr>
      <t>cure light wounds</t>
    </r>
  </si>
  <si>
    <t>50 charges</t>
  </si>
  <si>
    <t>110’</t>
  </si>
  <si>
    <t>Arrows</t>
  </si>
  <si>
    <t>Character:</t>
  </si>
  <si>
    <t>%</t>
  </si>
  <si>
    <t>Punctuality of IC posts (Friday 17:00 PST/GMT-8)</t>
  </si>
  <si>
    <t>Excellent</t>
  </si>
  <si>
    <t>Avoidance of redundancy</t>
  </si>
  <si>
    <t>Length of IC posts (ideal is ½ a page)</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</si>
  <si>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</si>
  <si>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</si>
  <si>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</si>
  <si>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</si>
  <si>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</si>
  <si>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</si>
  <si>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</si>
  <si>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</si>
  <si>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</si>
  <si>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</si>
  <si>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</si>
  <si>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</si>
  <si>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</si>
  <si>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Consistent use of present tense, third person</t>
  </si>
  <si>
    <t>Actual Speed:</t>
  </si>
  <si>
    <t>Weapons and Armor</t>
  </si>
  <si>
    <t>Tomorrow’s Spells</t>
  </si>
  <si>
    <t>Smite Evil 4/day (+4 Att/+11 Dmg)</t>
  </si>
  <si>
    <t>Righteous Fury</t>
  </si>
  <si>
    <t>Reference</t>
  </si>
  <si>
    <t>Page</t>
  </si>
  <si>
    <t>205</t>
  </si>
  <si>
    <t>PHB</t>
  </si>
  <si>
    <t>Single word command, PHB</t>
  </si>
  <si>
    <t>Complete Divine</t>
  </si>
  <si>
    <t>Complete Champion</t>
  </si>
  <si>
    <t>Spell Compendium</t>
  </si>
  <si>
    <t>Adamantine Illuminated Holy Greatsword +1</t>
  </si>
  <si>
    <t>Amulet of Wisdom +2</t>
  </si>
  <si>
    <t>Lesser Metamagic Rod of Extend</t>
  </si>
  <si>
    <t>Remaining Gold:</t>
  </si>
  <si>
    <t>Latent ability detected, but not identified</t>
  </si>
  <si>
    <t>+2d6 to evil; ignores 20 hardness</t>
  </si>
  <si>
    <t>MW Composite Longbow, Str +3</t>
  </si>
  <si>
    <t>3rd Attack</t>
  </si>
  <si>
    <r>
      <t xml:space="preserve">4th Attack, </t>
    </r>
    <r>
      <rPr>
        <i/>
        <sz val="12"/>
        <rFont val="Times New Roman"/>
        <family val="1"/>
      </rPr>
      <t>haste</t>
    </r>
  </si>
  <si>
    <t>4th Attack, haste</t>
  </si>
  <si>
    <t>Full Plate +3 (locked ability)</t>
  </si>
  <si>
    <t>2d6+2</t>
  </si>
  <si>
    <t>Affixed to Full Plate +3</t>
  </si>
  <si>
    <t>3</t>
  </si>
  <si>
    <t>Affixed to Darwood Shield +1</t>
  </si>
  <si>
    <r>
      <t xml:space="preserve">Potion of </t>
    </r>
    <r>
      <rPr>
        <i/>
        <sz val="12"/>
        <rFont val="Times New Roman"/>
        <family val="1"/>
      </rPr>
      <t>cure moderate wounds</t>
    </r>
  </si>
  <si>
    <t>Average</t>
  </si>
  <si>
    <t>Poor</t>
  </si>
  <si>
    <t>Good</t>
  </si>
  <si>
    <t>Weapon Proficiency</t>
  </si>
  <si>
    <t>þ</t>
  </si>
  <si>
    <t>+2 to stay on saddle (Military Saddle)</t>
  </si>
  <si>
    <t>Seal of the Serpent King</t>
  </si>
  <si>
    <t>?</t>
  </si>
  <si>
    <t>UNIDENTIFIED</t>
  </si>
  <si>
    <t>Paladin of Freedom</t>
  </si>
  <si>
    <t>Code of Conduct:  Liberator</t>
  </si>
  <si>
    <t>Detect Evil at will</t>
  </si>
  <si>
    <t>Remove Disease 2/week</t>
  </si>
  <si>
    <t>Paladin of Freedom Features</t>
  </si>
  <si>
    <t>Smite +1/day (see Smite Evil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</si>
</sst>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7"/>
      <name val="Times New Roman"/>
      <family val="1"/>
    </font>
    <font>
      <i/>
      <sz val="12"/>
      <color indexed="52"/>
      <name val="Times New Roman"/>
      <family val="1"/>
    </font>
    <font>
      <i/>
      <sz val="22"/>
      <color indexed="14"/>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b/>
      <sz val="13"/>
      <color rgb="FF00B05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s>
  <borders count="15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hair">
        <color indexed="64"/>
      </right>
      <top style="double">
        <color indexed="64"/>
      </top>
      <bottom style="hair">
        <color indexed="64"/>
      </bottom>
      <diagonal/>
    </border>
    <border>
      <left/>
      <right/>
      <top/>
      <bottom style="thin">
        <color indexed="64"/>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57" fillId="0" borderId="0"/>
    <xf numFmtId="0" fontId="58"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94">
    <xf numFmtId="0" fontId="0" fillId="0" borderId="0" xfId="0"/>
    <xf numFmtId="0" fontId="4"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4" fillId="0" borderId="0" xfId="0" applyNumberFormat="1" applyFont="1" applyBorder="1" applyAlignment="1">
      <alignment horizontal="left"/>
    </xf>
    <xf numFmtId="0" fontId="46" fillId="11" borderId="41" xfId="0" applyNumberFormat="1" applyFont="1" applyFill="1" applyBorder="1" applyAlignment="1">
      <alignment horizontal="center" vertical="center" wrapText="1"/>
    </xf>
    <xf numFmtId="0" fontId="11" fillId="3" borderId="42" xfId="0" applyNumberFormat="1"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20" xfId="0" applyFont="1" applyFill="1" applyBorder="1" applyAlignment="1">
      <alignment horizontal="centerContinuous" vertical="center" wrapText="1"/>
    </xf>
    <xf numFmtId="0" fontId="11" fillId="3" borderId="21" xfId="0" applyFont="1" applyFill="1" applyBorder="1" applyAlignment="1">
      <alignment horizontal="center" vertical="center" wrapText="1"/>
    </xf>
    <xf numFmtId="0" fontId="11" fillId="3" borderId="21" xfId="0" applyNumberFormat="1" applyFont="1" applyFill="1" applyBorder="1" applyAlignment="1">
      <alignment horizontal="center" vertical="center" wrapText="1"/>
    </xf>
    <xf numFmtId="0" fontId="3" fillId="0" borderId="0" xfId="0" applyFont="1" applyBorder="1" applyAlignment="1">
      <alignment vertical="center" wrapText="1"/>
    </xf>
    <xf numFmtId="0" fontId="1" fillId="0" borderId="44" xfId="0" applyFont="1" applyFill="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3" borderId="14" xfId="0" applyFont="1" applyFill="1" applyBorder="1" applyAlignment="1">
      <alignment horizontal="center" vertical="center"/>
    </xf>
    <xf numFmtId="0" fontId="20" fillId="13" borderId="15" xfId="0" applyFont="1" applyFill="1" applyBorder="1" applyAlignment="1">
      <alignment horizontal="center" vertical="center"/>
    </xf>
    <xf numFmtId="49" fontId="20" fillId="13" borderId="15" xfId="0" applyNumberFormat="1" applyFont="1" applyFill="1" applyBorder="1" applyAlignment="1">
      <alignment horizontal="center" vertical="center"/>
    </xf>
    <xf numFmtId="0" fontId="20" fillId="13" borderId="19" xfId="0" applyFont="1" applyFill="1" applyBorder="1" applyAlignment="1">
      <alignment horizontal="center" vertical="center"/>
    </xf>
    <xf numFmtId="0" fontId="49" fillId="11" borderId="19" xfId="0" applyFont="1" applyFill="1" applyBorder="1" applyAlignment="1">
      <alignment horizontal="center" vertical="center"/>
    </xf>
    <xf numFmtId="0" fontId="20" fillId="13" borderId="16" xfId="0" applyFont="1" applyFill="1" applyBorder="1" applyAlignment="1">
      <alignment horizontal="center" vertical="center"/>
    </xf>
    <xf numFmtId="0" fontId="1" fillId="0" borderId="50" xfId="0" applyFont="1" applyFill="1" applyBorder="1" applyAlignment="1">
      <alignment horizontal="center" vertical="center"/>
    </xf>
    <xf numFmtId="49" fontId="1" fillId="0" borderId="50" xfId="2" applyNumberFormat="1" applyFont="1" applyFill="1" applyBorder="1" applyAlignment="1">
      <alignment horizontal="center" vertical="center"/>
    </xf>
    <xf numFmtId="0" fontId="1" fillId="0" borderId="50" xfId="0" applyFont="1" applyBorder="1" applyAlignment="1">
      <alignment horizontal="center" vertical="center"/>
    </xf>
    <xf numFmtId="164" fontId="1" fillId="0" borderId="50" xfId="0" applyNumberFormat="1" applyFont="1" applyFill="1" applyBorder="1" applyAlignment="1">
      <alignment horizontal="center" vertical="center"/>
    </xf>
    <xf numFmtId="164" fontId="4" fillId="0" borderId="50" xfId="0" applyNumberFormat="1" applyFont="1" applyFill="1" applyBorder="1" applyAlignment="1">
      <alignment horizontal="center" vertical="center"/>
    </xf>
    <xf numFmtId="0" fontId="1" fillId="0" borderId="52" xfId="0" applyFont="1" applyFill="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164" fontId="4" fillId="0" borderId="55" xfId="0" applyNumberFormat="1"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19" xfId="0" applyFont="1" applyFill="1" applyBorder="1" applyAlignment="1">
      <alignment horizontal="centerContinuous" vertical="center"/>
    </xf>
    <xf numFmtId="0" fontId="20" fillId="13" borderId="60" xfId="0" applyFont="1" applyFill="1" applyBorder="1" applyAlignment="1">
      <alignment horizontal="centerContinuous" vertical="center"/>
    </xf>
    <xf numFmtId="0" fontId="20" fillId="13" borderId="61" xfId="0" applyFont="1" applyFill="1" applyBorder="1" applyAlignment="1">
      <alignment horizontal="centerContinuous" vertical="center"/>
    </xf>
    <xf numFmtId="164" fontId="4" fillId="0" borderId="63" xfId="0" applyNumberFormat="1" applyFont="1" applyFill="1" applyBorder="1" applyAlignment="1">
      <alignment horizontal="centerContinuous" vertical="center"/>
    </xf>
    <xf numFmtId="9" fontId="4" fillId="0" borderId="55" xfId="0" applyNumberFormat="1" applyFont="1" applyBorder="1" applyAlignment="1">
      <alignment horizontal="center" vertical="center"/>
    </xf>
    <xf numFmtId="164" fontId="4" fillId="0" borderId="9" xfId="0" applyNumberFormat="1" applyFont="1" applyBorder="1" applyAlignment="1">
      <alignment horizontal="centerContinuous" vertical="center"/>
    </xf>
    <xf numFmtId="0" fontId="4" fillId="0" borderId="10" xfId="0" applyFont="1" applyBorder="1" applyAlignment="1">
      <alignment horizontal="centerContinuous" vertical="center"/>
    </xf>
    <xf numFmtId="0" fontId="17" fillId="0" borderId="0" xfId="0" applyFont="1" applyBorder="1" applyAlignment="1">
      <alignment horizontal="right" vertical="center"/>
    </xf>
    <xf numFmtId="0" fontId="20" fillId="13" borderId="17" xfId="0" applyFont="1" applyFill="1" applyBorder="1" applyAlignment="1">
      <alignment horizontal="centerContinuous" vertical="center"/>
    </xf>
    <xf numFmtId="0" fontId="20" fillId="13" borderId="18" xfId="0" applyFont="1" applyFill="1" applyBorder="1" applyAlignment="1">
      <alignment horizontal="centerContinuous" vertical="center"/>
    </xf>
    <xf numFmtId="0" fontId="20" fillId="13" borderId="61" xfId="0" applyFont="1" applyFill="1" applyBorder="1" applyAlignment="1">
      <alignment horizontal="center" vertical="center"/>
    </xf>
    <xf numFmtId="0" fontId="4" fillId="0" borderId="63" xfId="0" applyFont="1" applyFill="1" applyBorder="1" applyAlignment="1">
      <alignment horizontal="centerContinuous" vertical="center"/>
    </xf>
    <xf numFmtId="0" fontId="4" fillId="0" borderId="77" xfId="0" applyFont="1" applyFill="1" applyBorder="1" applyAlignment="1">
      <alignment horizontal="centerContinuous" vertical="center"/>
    </xf>
    <xf numFmtId="0" fontId="4" fillId="0" borderId="76" xfId="0" applyFont="1" applyFill="1" applyBorder="1" applyAlignment="1">
      <alignment horizontal="center" vertical="center"/>
    </xf>
    <xf numFmtId="49" fontId="1" fillId="0" borderId="77" xfId="0" applyNumberFormat="1" applyFont="1" applyFill="1" applyBorder="1" applyAlignment="1">
      <alignment horizontal="center" vertical="center"/>
    </xf>
    <xf numFmtId="0" fontId="4" fillId="0" borderId="64" xfId="0" applyFont="1" applyFill="1" applyBorder="1" applyAlignment="1">
      <alignment horizontal="center" vertical="center"/>
    </xf>
    <xf numFmtId="0" fontId="4" fillId="0" borderId="49" xfId="0" applyFont="1" applyFill="1" applyBorder="1" applyAlignment="1">
      <alignment horizontal="centerContinuous" vertical="center"/>
    </xf>
    <xf numFmtId="0" fontId="4" fillId="0" borderId="80"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9"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164" fontId="4" fillId="0" borderId="81" xfId="0" applyNumberFormat="1" applyFont="1" applyBorder="1" applyAlignment="1">
      <alignment horizontal="centerContinuous" vertical="center"/>
    </xf>
    <xf numFmtId="0" fontId="4" fillId="0" borderId="82"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41" xfId="0" applyFont="1" applyFill="1" applyBorder="1" applyAlignment="1">
      <alignment horizontal="center" vertical="center"/>
    </xf>
    <xf numFmtId="164" fontId="20" fillId="3" borderId="42" xfId="0" applyNumberFormat="1" applyFont="1" applyFill="1" applyBorder="1" applyAlignment="1">
      <alignment horizontal="center" vertical="center"/>
    </xf>
    <xf numFmtId="0" fontId="20" fillId="3" borderId="41" xfId="0" applyFont="1" applyFill="1" applyBorder="1" applyAlignment="1">
      <alignment horizontal="right" vertical="center"/>
    </xf>
    <xf numFmtId="0" fontId="20" fillId="3" borderId="43" xfId="0" applyFont="1" applyFill="1" applyBorder="1" applyAlignment="1">
      <alignment vertical="center"/>
    </xf>
    <xf numFmtId="0" fontId="1" fillId="0" borderId="68"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0" fontId="4" fillId="0" borderId="68" xfId="0" applyFont="1" applyBorder="1" applyAlignment="1">
      <alignment horizontal="center" vertical="center" shrinkToFit="1"/>
    </xf>
    <xf numFmtId="164" fontId="1" fillId="0" borderId="44"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33" fillId="0" borderId="31" xfId="0" applyFont="1" applyBorder="1" applyAlignment="1">
      <alignment horizontal="centerContinuous" vertical="center" wrapText="1"/>
    </xf>
    <xf numFmtId="0" fontId="14" fillId="0" borderId="32" xfId="0" applyFont="1" applyBorder="1" applyAlignment="1">
      <alignment horizontal="centerContinuous" vertical="center" wrapText="1"/>
    </xf>
    <xf numFmtId="0" fontId="14" fillId="0" borderId="33" xfId="0" applyFont="1" applyBorder="1" applyAlignment="1">
      <alignment horizontal="centerContinuous" vertical="center" wrapText="1"/>
    </xf>
    <xf numFmtId="0" fontId="4" fillId="0" borderId="0" xfId="0" applyFont="1" applyBorder="1" applyAlignment="1">
      <alignment vertical="center" wrapText="1"/>
    </xf>
    <xf numFmtId="0" fontId="11" fillId="10" borderId="35" xfId="0" applyFont="1" applyFill="1" applyBorder="1" applyAlignment="1">
      <alignment horizontal="centerContinuous" vertical="center" wrapText="1"/>
    </xf>
    <xf numFmtId="0" fontId="11" fillId="10" borderId="36" xfId="0" applyFont="1" applyFill="1" applyBorder="1" applyAlignment="1">
      <alignment horizontal="center" vertical="center" wrapText="1"/>
    </xf>
    <xf numFmtId="0" fontId="11" fillId="10" borderId="37" xfId="0" applyFont="1" applyFill="1" applyBorder="1" applyAlignment="1">
      <alignment horizontal="center" vertical="center" wrapText="1"/>
    </xf>
    <xf numFmtId="0" fontId="4" fillId="0" borderId="0" xfId="0" applyFont="1" applyBorder="1" applyAlignment="1">
      <alignment horizontal="left" vertical="center"/>
    </xf>
    <xf numFmtId="0" fontId="47" fillId="0" borderId="40" xfId="0" applyFont="1" applyFill="1" applyBorder="1" applyAlignment="1">
      <alignment horizontal="centerContinuous" vertical="center" shrinkToFit="1"/>
    </xf>
    <xf numFmtId="0" fontId="35" fillId="0" borderId="40" xfId="0" applyFont="1" applyBorder="1" applyAlignment="1">
      <alignment horizontal="centerContinuous" vertical="center"/>
    </xf>
    <xf numFmtId="0" fontId="1" fillId="0" borderId="0" xfId="0" applyFont="1" applyBorder="1" applyAlignment="1">
      <alignment vertical="center" wrapText="1"/>
    </xf>
    <xf numFmtId="0" fontId="34" fillId="9" borderId="38" xfId="2" applyNumberFormat="1"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26" fillId="0" borderId="40" xfId="0" applyFont="1" applyBorder="1" applyAlignment="1">
      <alignment horizontal="centerContinuous" vertical="center"/>
    </xf>
    <xf numFmtId="0" fontId="4" fillId="0" borderId="0" xfId="0" applyFont="1" applyBorder="1" applyAlignment="1">
      <alignment horizontal="left" vertical="center" wrapText="1"/>
    </xf>
    <xf numFmtId="0" fontId="3" fillId="0" borderId="0" xfId="0" applyFont="1" applyBorder="1" applyAlignment="1">
      <alignment horizontal="right" vertical="center" wrapText="1"/>
    </xf>
    <xf numFmtId="0" fontId="6" fillId="0" borderId="59" xfId="0" applyFont="1" applyFill="1" applyBorder="1" applyAlignment="1">
      <alignment horizontal="center" vertical="center" shrinkToFit="1"/>
    </xf>
    <xf numFmtId="0" fontId="24" fillId="0" borderId="23"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5" xfId="0" applyFont="1" applyFill="1" applyBorder="1" applyAlignment="1">
      <alignment horizontal="center" vertical="center"/>
    </xf>
    <xf numFmtId="0" fontId="26" fillId="0" borderId="26"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1" fontId="6" fillId="0" borderId="25" xfId="0" applyNumberFormat="1" applyFont="1" applyFill="1" applyBorder="1" applyAlignment="1">
      <alignment horizontal="center" vertical="center" wrapText="1"/>
    </xf>
    <xf numFmtId="0" fontId="44" fillId="11" borderId="26" xfId="0" applyNumberFormat="1" applyFont="1" applyFill="1" applyBorder="1" applyAlignment="1">
      <alignment horizontal="center" vertical="center"/>
    </xf>
    <xf numFmtId="0" fontId="45" fillId="0" borderId="1" xfId="0" applyFont="1" applyFill="1" applyBorder="1" applyAlignment="1">
      <alignment vertical="center"/>
    </xf>
    <xf numFmtId="0" fontId="23"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xf>
    <xf numFmtId="0" fontId="43" fillId="0" borderId="35" xfId="0" applyFont="1" applyFill="1" applyBorder="1" applyAlignment="1">
      <alignment vertical="center"/>
    </xf>
    <xf numFmtId="0" fontId="6" fillId="0" borderId="54"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wrapText="1"/>
    </xf>
    <xf numFmtId="1" fontId="6" fillId="0" borderId="54" xfId="0" applyNumberFormat="1" applyFont="1" applyFill="1" applyBorder="1" applyAlignment="1">
      <alignment horizontal="center" vertical="center" wrapText="1"/>
    </xf>
    <xf numFmtId="0" fontId="44" fillId="11" borderId="54" xfId="0" applyNumberFormat="1" applyFont="1" applyFill="1" applyBorder="1" applyAlignment="1">
      <alignment horizontal="center" vertical="center"/>
    </xf>
    <xf numFmtId="0" fontId="10"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7"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6" fillId="14" borderId="25" xfId="0" applyNumberFormat="1" applyFont="1" applyFill="1" applyBorder="1" applyAlignment="1">
      <alignment horizontal="center" vertical="center"/>
    </xf>
    <xf numFmtId="49" fontId="6" fillId="14" borderId="26" xfId="0" applyNumberFormat="1" applyFont="1" applyFill="1" applyBorder="1" applyAlignment="1">
      <alignment horizontal="center" vertical="center"/>
    </xf>
    <xf numFmtId="0" fontId="6" fillId="14" borderId="27"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13" fillId="14" borderId="1" xfId="0" applyFont="1" applyFill="1" applyBorder="1" applyAlignment="1">
      <alignment vertical="center"/>
    </xf>
    <xf numFmtId="49" fontId="22" fillId="14" borderId="25" xfId="0" applyNumberFormat="1" applyFont="1" applyFill="1" applyBorder="1" applyAlignment="1">
      <alignment horizontal="center" vertical="center"/>
    </xf>
    <xf numFmtId="0" fontId="22" fillId="14" borderId="26" xfId="0" applyNumberFormat="1" applyFont="1" applyFill="1" applyBorder="1" applyAlignment="1">
      <alignment horizontal="center" vertical="center"/>
    </xf>
    <xf numFmtId="0" fontId="13" fillId="14"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wrapText="1"/>
    </xf>
    <xf numFmtId="0" fontId="10" fillId="6" borderId="1" xfId="0" applyFont="1" applyFill="1" applyBorder="1" applyAlignment="1">
      <alignment vertical="center"/>
    </xf>
    <xf numFmtId="0" fontId="6" fillId="6" borderId="25" xfId="0" applyNumberFormat="1"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49" fontId="6" fillId="6" borderId="26"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5" xfId="0" applyNumberFormat="1" applyFont="1" applyFill="1" applyBorder="1" applyAlignment="1">
      <alignment horizontal="center" vertical="center"/>
    </xf>
    <xf numFmtId="0" fontId="22" fillId="7"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5" xfId="0" applyNumberFormat="1" applyFont="1" applyFill="1" applyBorder="1" applyAlignment="1">
      <alignment horizontal="center" vertical="center"/>
    </xf>
    <xf numFmtId="0" fontId="15" fillId="14" borderId="26"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3" fillId="4" borderId="1" xfId="0" applyFont="1" applyFill="1" applyBorder="1" applyAlignment="1">
      <alignment vertical="center"/>
    </xf>
    <xf numFmtId="49" fontId="27" fillId="5" borderId="25" xfId="0" applyNumberFormat="1" applyFont="1" applyFill="1" applyBorder="1" applyAlignment="1">
      <alignment horizontal="center" vertical="center"/>
    </xf>
    <xf numFmtId="0" fontId="27" fillId="5" borderId="26" xfId="0" applyNumberFormat="1" applyFont="1" applyFill="1" applyBorder="1" applyAlignment="1">
      <alignment horizontal="center" vertical="center"/>
    </xf>
    <xf numFmtId="0" fontId="12" fillId="8" borderId="1" xfId="0" applyFont="1" applyFill="1" applyBorder="1" applyAlignment="1">
      <alignment vertical="center"/>
    </xf>
    <xf numFmtId="0" fontId="6"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49" fontId="6" fillId="8" borderId="26" xfId="0" applyNumberFormat="1" applyFont="1" applyFill="1" applyBorder="1" applyAlignment="1">
      <alignment horizontal="center" vertical="center"/>
    </xf>
    <xf numFmtId="0" fontId="6" fillId="8" borderId="27"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5" xfId="0" applyNumberFormat="1" applyFont="1" applyFill="1" applyBorder="1" applyAlignment="1">
      <alignment horizontal="center" vertical="center"/>
    </xf>
    <xf numFmtId="0" fontId="27" fillId="8" borderId="26"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5" xfId="0" applyNumberFormat="1" applyFont="1" applyFill="1" applyBorder="1" applyAlignment="1">
      <alignment horizontal="center" vertical="center"/>
    </xf>
    <xf numFmtId="49" fontId="15" fillId="4" borderId="25" xfId="0" applyNumberFormat="1" applyFont="1" applyFill="1" applyBorder="1" applyAlignment="1">
      <alignment horizontal="center" vertical="center"/>
    </xf>
    <xf numFmtId="0" fontId="15" fillId="4" borderId="26"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0" fontId="6" fillId="4" borderId="27" xfId="0" applyNumberFormat="1" applyFont="1" applyFill="1" applyBorder="1" applyAlignment="1">
      <alignment horizontal="center" vertical="center"/>
    </xf>
    <xf numFmtId="0" fontId="6" fillId="0" borderId="27"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5" xfId="0" applyNumberFormat="1" applyFont="1" applyFill="1" applyBorder="1" applyAlignment="1">
      <alignment horizontal="center" vertical="center"/>
    </xf>
    <xf numFmtId="0" fontId="23"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12" fillId="6" borderId="8" xfId="0" applyFont="1" applyFill="1" applyBorder="1" applyAlignment="1">
      <alignment vertical="center"/>
    </xf>
    <xf numFmtId="0" fontId="6" fillId="6" borderId="55" xfId="0" applyNumberFormat="1" applyFont="1" applyFill="1" applyBorder="1" applyAlignment="1">
      <alignment horizontal="center" vertical="center"/>
    </xf>
    <xf numFmtId="49" fontId="23" fillId="6" borderId="55" xfId="0" applyNumberFormat="1" applyFont="1" applyFill="1" applyBorder="1" applyAlignment="1">
      <alignment horizontal="center" vertical="center"/>
    </xf>
    <xf numFmtId="0" fontId="23" fillId="6" borderId="56" xfId="0" applyNumberFormat="1" applyFont="1" applyFill="1" applyBorder="1" applyAlignment="1">
      <alignment horizontal="center" vertical="center"/>
    </xf>
    <xf numFmtId="49" fontId="6" fillId="6" borderId="56" xfId="0" applyNumberFormat="1" applyFont="1" applyFill="1" applyBorder="1" applyAlignment="1">
      <alignment horizontal="center" vertical="center"/>
    </xf>
    <xf numFmtId="0" fontId="44" fillId="11" borderId="56" xfId="0" applyNumberFormat="1" applyFont="1" applyFill="1" applyBorder="1" applyAlignment="1">
      <alignment horizontal="center" vertical="center"/>
    </xf>
    <xf numFmtId="0" fontId="6" fillId="6" borderId="39" xfId="0" applyNumberFormat="1" applyFont="1" applyFill="1" applyBorder="1" applyAlignment="1">
      <alignment horizontal="center" vertical="center"/>
    </xf>
    <xf numFmtId="0" fontId="3"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20" xfId="0" applyFont="1" applyFill="1" applyBorder="1" applyAlignment="1">
      <alignment horizontal="centerContinuous" vertical="center" wrapText="1"/>
    </xf>
    <xf numFmtId="0" fontId="11" fillId="10" borderId="21" xfId="0" applyFont="1" applyFill="1" applyBorder="1" applyAlignment="1">
      <alignment horizontal="center" vertical="center" wrapText="1"/>
    </xf>
    <xf numFmtId="0" fontId="20" fillId="10" borderId="21" xfId="0" applyFont="1" applyFill="1" applyBorder="1" applyAlignment="1">
      <alignment horizontal="center" vertical="center" wrapText="1"/>
    </xf>
    <xf numFmtId="0" fontId="11" fillId="10" borderId="22" xfId="0" applyFont="1" applyFill="1" applyBorder="1" applyAlignment="1">
      <alignment horizontal="centerContinuous" vertical="center" wrapText="1"/>
    </xf>
    <xf numFmtId="0" fontId="40" fillId="2" borderId="73" xfId="0" applyFont="1" applyFill="1" applyBorder="1" applyAlignment="1">
      <alignment horizontal="right" vertical="center"/>
    </xf>
    <xf numFmtId="0" fontId="40" fillId="2" borderId="71" xfId="0" applyFont="1" applyFill="1" applyBorder="1" applyAlignment="1">
      <alignment horizontal="left" vertical="center"/>
    </xf>
    <xf numFmtId="0" fontId="19" fillId="2" borderId="71" xfId="0" applyFont="1" applyFill="1" applyBorder="1" applyAlignment="1">
      <alignment horizontal="left" vertical="center"/>
    </xf>
    <xf numFmtId="0" fontId="3" fillId="2" borderId="71" xfId="0" applyFont="1" applyFill="1" applyBorder="1" applyAlignment="1">
      <alignment horizontal="centerContinuous" vertical="center"/>
    </xf>
    <xf numFmtId="0" fontId="4" fillId="2" borderId="71" xfId="0" applyFont="1" applyFill="1" applyBorder="1" applyAlignment="1">
      <alignment horizontal="centerContinuous" vertical="center"/>
    </xf>
    <xf numFmtId="0" fontId="39" fillId="2" borderId="72"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57" xfId="0" applyFont="1" applyFill="1" applyBorder="1" applyAlignment="1">
      <alignment horizontal="right" vertical="center"/>
    </xf>
    <xf numFmtId="49" fontId="6" fillId="0" borderId="75" xfId="0" applyNumberFormat="1" applyFont="1" applyBorder="1" applyAlignment="1">
      <alignment horizontal="center" vertical="center"/>
    </xf>
    <xf numFmtId="0" fontId="6" fillId="0" borderId="0" xfId="0" applyFont="1" applyBorder="1" applyAlignment="1">
      <alignment horizontal="left" vertical="center"/>
    </xf>
    <xf numFmtId="0" fontId="7" fillId="2" borderId="11" xfId="0" applyFont="1" applyFill="1" applyBorder="1" applyAlignment="1">
      <alignment horizontal="right" vertical="center"/>
    </xf>
    <xf numFmtId="0" fontId="25" fillId="0" borderId="12" xfId="0" applyNumberFormat="1" applyFont="1" applyBorder="1" applyAlignment="1">
      <alignment horizontal="center" vertical="center"/>
    </xf>
    <xf numFmtId="0" fontId="9" fillId="4" borderId="70"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2" xfId="0" applyNumberFormat="1" applyFont="1" applyBorder="1" applyAlignment="1">
      <alignment horizontal="center" vertical="center"/>
    </xf>
    <xf numFmtId="0" fontId="9" fillId="4" borderId="65" xfId="0" applyFont="1" applyFill="1" applyBorder="1" applyAlignment="1">
      <alignment horizontal="right" vertical="center"/>
    </xf>
    <xf numFmtId="164" fontId="5" fillId="9" borderId="30"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7" fillId="4" borderId="65" xfId="0" applyFont="1" applyFill="1" applyBorder="1" applyAlignment="1">
      <alignment horizontal="right" vertical="center"/>
    </xf>
    <xf numFmtId="0" fontId="41"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65" xfId="0" applyFont="1" applyFill="1" applyBorder="1" applyAlignment="1">
      <alignment horizontal="right" vertical="center"/>
    </xf>
    <xf numFmtId="0" fontId="13" fillId="2" borderId="13" xfId="0" applyFont="1" applyFill="1" applyBorder="1" applyAlignment="1">
      <alignment horizontal="right" vertical="center"/>
    </xf>
    <xf numFmtId="49" fontId="25" fillId="0" borderId="24" xfId="0" applyNumberFormat="1" applyFont="1" applyBorder="1" applyAlignment="1">
      <alignment horizontal="center" vertical="center"/>
    </xf>
    <xf numFmtId="0" fontId="10" fillId="4" borderId="66" xfId="0" applyFont="1" applyFill="1" applyBorder="1" applyAlignment="1">
      <alignment horizontal="righ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164" fontId="4" fillId="0" borderId="50"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4" xfId="0" applyFont="1" applyBorder="1" applyAlignment="1">
      <alignment horizontal="left" vertical="center"/>
    </xf>
    <xf numFmtId="0" fontId="4" fillId="0" borderId="69" xfId="0" applyFont="1" applyBorder="1" applyAlignment="1">
      <alignment horizontal="center" vertical="center" shrinkToFit="1"/>
    </xf>
    <xf numFmtId="0" fontId="4" fillId="0" borderId="50" xfId="0" applyFont="1" applyBorder="1" applyAlignment="1">
      <alignment horizontal="left" vertical="center"/>
    </xf>
    <xf numFmtId="0" fontId="2" fillId="0" borderId="0" xfId="0" applyFont="1" applyBorder="1" applyAlignment="1">
      <alignment vertical="center"/>
    </xf>
    <xf numFmtId="0" fontId="4" fillId="0" borderId="67"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1" fillId="0" borderId="44" xfId="0" applyFont="1" applyBorder="1" applyAlignment="1">
      <alignment horizontal="left" vertical="center"/>
    </xf>
    <xf numFmtId="0" fontId="38" fillId="0" borderId="0" xfId="0" applyFont="1" applyBorder="1" applyAlignment="1">
      <alignment vertical="center"/>
    </xf>
    <xf numFmtId="1" fontId="5" fillId="0" borderId="28" xfId="0" applyNumberFormat="1" applyFont="1" applyBorder="1" applyAlignment="1">
      <alignment horizontal="center" vertical="center"/>
    </xf>
    <xf numFmtId="49" fontId="15" fillId="0" borderId="38" xfId="0" applyNumberFormat="1" applyFont="1" applyFill="1" applyBorder="1" applyAlignment="1">
      <alignment horizontal="center" shrinkToFit="1"/>
    </xf>
    <xf numFmtId="0" fontId="5" fillId="4" borderId="84" xfId="0" applyFont="1" applyFill="1" applyBorder="1" applyAlignment="1">
      <alignment horizontal="right" vertical="center"/>
    </xf>
    <xf numFmtId="1" fontId="3" fillId="0" borderId="0" xfId="0" applyNumberFormat="1" applyFont="1" applyBorder="1" applyAlignment="1">
      <alignment horizontal="right" vertical="center"/>
    </xf>
    <xf numFmtId="1" fontId="3"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4" fillId="0" borderId="0" xfId="0" applyNumberFormat="1" applyFont="1" applyBorder="1" applyAlignment="1">
      <alignment horizontal="center" vertical="center"/>
    </xf>
    <xf numFmtId="1" fontId="3" fillId="0" borderId="0" xfId="0" applyNumberFormat="1" applyFont="1" applyBorder="1" applyAlignment="1">
      <alignment horizontal="left" vertical="center"/>
    </xf>
    <xf numFmtId="1" fontId="1" fillId="0" borderId="0" xfId="0" applyNumberFormat="1" applyFont="1" applyBorder="1" applyAlignment="1">
      <alignment horizontal="left" vertical="center"/>
    </xf>
    <xf numFmtId="1" fontId="1" fillId="0" borderId="0" xfId="0" applyNumberFormat="1" applyFont="1" applyBorder="1" applyAlignment="1">
      <alignment horizontal="center" vertical="center"/>
    </xf>
    <xf numFmtId="1" fontId="3" fillId="0" borderId="0" xfId="0" applyNumberFormat="1" applyFont="1" applyBorder="1" applyAlignment="1">
      <alignment horizontal="right"/>
    </xf>
    <xf numFmtId="1" fontId="4" fillId="0" borderId="0" xfId="0" applyNumberFormat="1" applyFont="1" applyBorder="1" applyAlignment="1">
      <alignment horizontal="left"/>
    </xf>
    <xf numFmtId="0" fontId="7" fillId="14" borderId="1" xfId="0" applyFont="1" applyFill="1" applyBorder="1" applyAlignment="1">
      <alignment vertical="center"/>
    </xf>
    <xf numFmtId="49" fontId="16" fillId="14" borderId="25" xfId="0" applyNumberFormat="1" applyFont="1" applyFill="1" applyBorder="1" applyAlignment="1">
      <alignment horizontal="center" vertical="center"/>
    </xf>
    <xf numFmtId="0" fontId="16" fillId="14" borderId="26"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5" xfId="0" applyNumberFormat="1" applyFont="1" applyFill="1" applyBorder="1" applyAlignment="1">
      <alignment horizontal="center" vertical="center"/>
    </xf>
    <xf numFmtId="0" fontId="6" fillId="0" borderId="25" xfId="0" applyFont="1" applyFill="1" applyBorder="1" applyAlignment="1">
      <alignment horizontal="center" vertical="center" wrapText="1"/>
    </xf>
    <xf numFmtId="9" fontId="6" fillId="0" borderId="25" xfId="2"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27" xfId="0" quotePrefix="1"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0" fontId="6" fillId="0" borderId="54" xfId="0" applyFont="1" applyFill="1" applyBorder="1" applyAlignment="1">
      <alignment horizontal="center" vertical="center" wrapText="1"/>
    </xf>
    <xf numFmtId="9" fontId="6" fillId="0" borderId="54" xfId="2" applyFont="1" applyFill="1" applyBorder="1" applyAlignment="1">
      <alignment horizontal="center" vertical="center" shrinkToFit="1"/>
    </xf>
    <xf numFmtId="9" fontId="6" fillId="0" borderId="12" xfId="2" applyFont="1" applyFill="1" applyBorder="1" applyAlignment="1">
      <alignment horizontal="center" vertical="center" shrinkToFit="1"/>
    </xf>
    <xf numFmtId="0" fontId="6" fillId="0" borderId="12" xfId="2" applyNumberFormat="1" applyFont="1" applyFill="1" applyBorder="1" applyAlignment="1">
      <alignment horizontal="center" vertical="center" shrinkToFit="1"/>
    </xf>
    <xf numFmtId="49" fontId="6" fillId="0" borderId="38" xfId="0" applyNumberFormat="1" applyFont="1" applyFill="1" applyBorder="1" applyAlignment="1">
      <alignment horizontal="center" vertical="center" wrapText="1"/>
    </xf>
    <xf numFmtId="0" fontId="6" fillId="0" borderId="35" xfId="0" applyFont="1" applyFill="1" applyBorder="1" applyAlignment="1">
      <alignment horizontal="center" vertical="center" shrinkToFit="1"/>
    </xf>
    <xf numFmtId="0" fontId="35" fillId="0" borderId="40" xfId="0" applyFont="1" applyFill="1" applyBorder="1" applyAlignment="1">
      <alignment horizontal="centerContinuous" vertical="center"/>
    </xf>
    <xf numFmtId="0" fontId="26" fillId="0" borderId="40" xfId="0" applyFont="1" applyFill="1" applyBorder="1" applyAlignment="1">
      <alignment horizontal="centerContinuous" vertical="center"/>
    </xf>
    <xf numFmtId="0" fontId="33" fillId="0" borderId="23" xfId="0" applyFont="1" applyBorder="1" applyAlignment="1">
      <alignment horizontal="centerContinuous" vertical="center" wrapText="1"/>
    </xf>
    <xf numFmtId="0" fontId="1" fillId="0" borderId="13" xfId="0" applyFont="1" applyBorder="1" applyAlignment="1">
      <alignment horizontal="center" vertical="center"/>
    </xf>
    <xf numFmtId="0" fontId="1" fillId="0" borderId="69" xfId="0" applyFont="1" applyFill="1" applyBorder="1" applyAlignment="1">
      <alignment horizontal="center" vertical="center"/>
    </xf>
    <xf numFmtId="164" fontId="4" fillId="0" borderId="83" xfId="0" applyNumberFormat="1" applyFont="1" applyBorder="1" applyAlignment="1">
      <alignment horizontal="center" vertical="center" shrinkToFit="1"/>
    </xf>
    <xf numFmtId="0" fontId="20" fillId="13" borderId="85" xfId="0" applyFont="1" applyFill="1" applyBorder="1" applyAlignment="1">
      <alignment horizontal="center" vertical="center"/>
    </xf>
    <xf numFmtId="0" fontId="1" fillId="0" borderId="0" xfId="0" applyFont="1" applyBorder="1" applyAlignment="1">
      <alignment vertical="center"/>
    </xf>
    <xf numFmtId="1" fontId="20" fillId="13" borderId="34" xfId="0" applyNumberFormat="1" applyFont="1" applyFill="1" applyBorder="1" applyAlignment="1">
      <alignment horizontal="center" vertical="center"/>
    </xf>
    <xf numFmtId="0" fontId="1" fillId="0" borderId="62" xfId="0" applyFont="1" applyFill="1" applyBorder="1" applyAlignment="1">
      <alignment horizontal="centerContinuous" vertical="center" shrinkToFit="1"/>
    </xf>
    <xf numFmtId="0" fontId="20" fillId="0" borderId="63" xfId="0" applyFont="1" applyFill="1" applyBorder="1" applyAlignment="1">
      <alignment horizontal="centerContinuous" vertical="center"/>
    </xf>
    <xf numFmtId="0" fontId="20" fillId="0" borderId="86" xfId="0" applyFont="1" applyFill="1" applyBorder="1" applyAlignment="1">
      <alignment horizontal="centerContinuous" vertical="center"/>
    </xf>
    <xf numFmtId="0" fontId="1" fillId="0" borderId="87"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4" xfId="0" applyFont="1" applyFill="1" applyBorder="1" applyAlignment="1">
      <alignment horizontal="centerContinuous" vertical="center"/>
    </xf>
    <xf numFmtId="1" fontId="1" fillId="0" borderId="88" xfId="0" applyNumberFormat="1" applyFont="1" applyFill="1" applyBorder="1" applyAlignment="1">
      <alignment horizontal="center" vertical="center"/>
    </xf>
    <xf numFmtId="0" fontId="1" fillId="0" borderId="89" xfId="0" applyFont="1" applyFill="1" applyBorder="1" applyAlignment="1">
      <alignment horizontal="centerContinuous" vertical="center" shrinkToFit="1"/>
    </xf>
    <xf numFmtId="0" fontId="20" fillId="0" borderId="90" xfId="0" applyFont="1" applyFill="1" applyBorder="1" applyAlignment="1">
      <alignment horizontal="centerContinuous" vertical="center"/>
    </xf>
    <xf numFmtId="0" fontId="20" fillId="0" borderId="91" xfId="0" applyFont="1" applyFill="1" applyBorder="1" applyAlignment="1">
      <alignment horizontal="centerContinuous" vertical="center"/>
    </xf>
    <xf numFmtId="0" fontId="1" fillId="0" borderId="45" xfId="0" applyFont="1" applyFill="1" applyBorder="1" applyAlignment="1">
      <alignment horizontal="center" vertical="center"/>
    </xf>
    <xf numFmtId="0" fontId="1" fillId="0" borderId="92" xfId="0" applyFont="1" applyFill="1" applyBorder="1" applyAlignment="1">
      <alignment horizontal="centerContinuous" vertical="center"/>
    </xf>
    <xf numFmtId="1" fontId="1" fillId="0" borderId="93" xfId="0" applyNumberFormat="1" applyFont="1" applyBorder="1" applyAlignment="1">
      <alignment horizontal="center" vertical="center"/>
    </xf>
    <xf numFmtId="0" fontId="1" fillId="0" borderId="49" xfId="0" applyFont="1" applyFill="1" applyBorder="1" applyAlignment="1">
      <alignment horizontal="centerContinuous" vertical="center" shrinkToFit="1"/>
    </xf>
    <xf numFmtId="0" fontId="1" fillId="0" borderId="81" xfId="0" applyFont="1" applyFill="1" applyBorder="1" applyAlignment="1">
      <alignment horizontal="centerContinuous" vertical="center"/>
    </xf>
    <xf numFmtId="0" fontId="1" fillId="0" borderId="94" xfId="0" applyFont="1" applyFill="1" applyBorder="1" applyAlignment="1">
      <alignment horizontal="centerContinuous" vertical="center"/>
    </xf>
    <xf numFmtId="49" fontId="1" fillId="0" borderId="51" xfId="0" applyNumberFormat="1" applyFont="1" applyFill="1" applyBorder="1" applyAlignment="1">
      <alignment horizontal="center" vertical="center"/>
    </xf>
    <xf numFmtId="49" fontId="1" fillId="0" borderId="50" xfId="0" applyNumberFormat="1" applyFont="1" applyFill="1" applyBorder="1" applyAlignment="1">
      <alignment horizontal="center" vertical="center"/>
    </xf>
    <xf numFmtId="0" fontId="1" fillId="0" borderId="82" xfId="0" applyFont="1" applyFill="1" applyBorder="1" applyAlignment="1">
      <alignment horizontal="centerContinuous" vertical="center"/>
    </xf>
    <xf numFmtId="1" fontId="1" fillId="0" borderId="59" xfId="0" applyNumberFormat="1" applyFont="1" applyBorder="1" applyAlignment="1">
      <alignment horizontal="center" vertical="center"/>
    </xf>
    <xf numFmtId="164" fontId="20" fillId="3" borderId="34" xfId="0" applyNumberFormat="1" applyFont="1" applyFill="1" applyBorder="1" applyAlignment="1">
      <alignment horizontal="center" vertical="center"/>
    </xf>
    <xf numFmtId="1" fontId="1" fillId="0" borderId="40"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0" fontId="52" fillId="2" borderId="95" xfId="0" applyFont="1" applyFill="1" applyBorder="1" applyAlignment="1">
      <alignment horizontal="right" vertical="center"/>
    </xf>
    <xf numFmtId="0" fontId="19" fillId="2" borderId="96" xfId="0" applyFont="1" applyFill="1" applyBorder="1" applyAlignment="1">
      <alignment horizontal="left" vertical="center"/>
    </xf>
    <xf numFmtId="0" fontId="53" fillId="2" borderId="96" xfId="0" applyFont="1" applyFill="1" applyBorder="1" applyAlignment="1">
      <alignment horizontal="centerContinuous" vertical="center"/>
    </xf>
    <xf numFmtId="0" fontId="1" fillId="2" borderId="96" xfId="0" applyFont="1" applyFill="1" applyBorder="1" applyAlignment="1">
      <alignment horizontal="left" vertical="center"/>
    </xf>
    <xf numFmtId="0" fontId="3" fillId="2" borderId="96" xfId="0" applyFont="1" applyFill="1" applyBorder="1" applyAlignment="1">
      <alignment horizontal="centerContinuous" vertical="center"/>
    </xf>
    <xf numFmtId="0" fontId="54" fillId="2" borderId="97" xfId="0" applyFont="1" applyFill="1" applyBorder="1" applyAlignment="1">
      <alignment horizontal="right" vertical="center"/>
    </xf>
    <xf numFmtId="0" fontId="55" fillId="0" borderId="0" xfId="0" applyFont="1" applyBorder="1" applyAlignment="1">
      <alignment horizontal="centerContinuous" vertical="center"/>
    </xf>
    <xf numFmtId="49" fontId="6" fillId="0" borderId="2" xfId="0" quotePrefix="1" applyNumberFormat="1" applyFont="1" applyBorder="1" applyAlignment="1">
      <alignment horizontal="center" vertical="center"/>
    </xf>
    <xf numFmtId="0" fontId="5" fillId="0" borderId="8" xfId="0" applyFont="1" applyBorder="1" applyAlignment="1">
      <alignment horizontal="right" vertical="center"/>
    </xf>
    <xf numFmtId="0" fontId="55" fillId="0" borderId="9" xfId="0" applyFont="1" applyBorder="1" applyAlignment="1">
      <alignment horizontal="centerContinuous" vertical="center"/>
    </xf>
    <xf numFmtId="0" fontId="6" fillId="0" borderId="9" xfId="0" applyFont="1" applyBorder="1" applyAlignment="1">
      <alignment horizontal="centerContinuous" vertical="center"/>
    </xf>
    <xf numFmtId="0" fontId="5" fillId="0" borderId="9" xfId="0" applyFont="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25" fillId="0" borderId="58" xfId="3" applyNumberFormat="1" applyFont="1" applyFill="1" applyBorder="1" applyAlignment="1">
      <alignment horizontal="center" vertical="center"/>
    </xf>
    <xf numFmtId="0" fontId="7" fillId="4" borderId="98" xfId="3" applyFont="1" applyFill="1" applyBorder="1" applyAlignment="1">
      <alignment horizontal="right" vertical="center"/>
    </xf>
    <xf numFmtId="1" fontId="6" fillId="0" borderId="6" xfId="3" applyNumberFormat="1" applyFont="1" applyBorder="1" applyAlignment="1">
      <alignment horizontal="center" vertical="center"/>
    </xf>
    <xf numFmtId="0" fontId="5" fillId="16" borderId="75" xfId="3"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Border="1" applyAlignment="1">
      <alignment horizontal="center" vertical="center"/>
    </xf>
    <xf numFmtId="0" fontId="25" fillId="0" borderId="99" xfId="3" applyNumberFormat="1" applyFont="1" applyFill="1" applyBorder="1" applyAlignment="1">
      <alignment horizontal="center" vertical="center"/>
    </xf>
    <xf numFmtId="0" fontId="10" fillId="4" borderId="89" xfId="3" applyFont="1" applyFill="1" applyBorder="1" applyAlignment="1">
      <alignment horizontal="right" vertical="center"/>
    </xf>
    <xf numFmtId="0" fontId="6" fillId="0" borderId="100" xfId="3" applyNumberFormat="1" applyFont="1" applyBorder="1" applyAlignment="1">
      <alignment horizontal="center" vertical="center"/>
    </xf>
    <xf numFmtId="1" fontId="6" fillId="0" borderId="29" xfId="3" applyNumberFormat="1" applyFont="1" applyBorder="1" applyAlignment="1">
      <alignment horizontal="center" vertical="center"/>
    </xf>
    <xf numFmtId="0" fontId="6" fillId="0" borderId="2" xfId="0" applyFont="1" applyFill="1" applyBorder="1" applyAlignment="1">
      <alignment horizontal="center" vertical="center"/>
    </xf>
    <xf numFmtId="0" fontId="7" fillId="4" borderId="89" xfId="3" applyFont="1" applyFill="1" applyBorder="1" applyAlignment="1">
      <alignment horizontal="right" vertical="center"/>
    </xf>
    <xf numFmtId="0" fontId="6" fillId="0" borderId="101" xfId="3" quotePrefix="1" applyFont="1" applyBorder="1" applyAlignment="1">
      <alignment horizontal="center" vertical="center"/>
    </xf>
    <xf numFmtId="0" fontId="7" fillId="0" borderId="1" xfId="3" applyFont="1" applyFill="1" applyBorder="1" applyAlignment="1">
      <alignment horizontal="right" vertical="center"/>
    </xf>
    <xf numFmtId="0" fontId="10" fillId="2" borderId="4" xfId="0" applyFont="1" applyFill="1" applyBorder="1" applyAlignment="1">
      <alignment horizontal="right" vertical="center"/>
    </xf>
    <xf numFmtId="0" fontId="6" fillId="0" borderId="101" xfId="3" applyFont="1" applyBorder="1" applyAlignment="1">
      <alignment horizontal="center" vertical="center"/>
    </xf>
    <xf numFmtId="0" fontId="10" fillId="0" borderId="1" xfId="3" applyFont="1" applyFill="1" applyBorder="1" applyAlignment="1">
      <alignment horizontal="right" vertical="center"/>
    </xf>
    <xf numFmtId="0" fontId="25" fillId="0" borderId="3" xfId="3" applyNumberFormat="1" applyFont="1" applyFill="1" applyBorder="1" applyAlignment="1">
      <alignment horizontal="center" vertical="center"/>
    </xf>
    <xf numFmtId="0" fontId="56" fillId="4" borderId="102" xfId="3" applyFont="1" applyFill="1" applyBorder="1" applyAlignment="1">
      <alignment horizontal="right" vertical="center"/>
    </xf>
    <xf numFmtId="0" fontId="6" fillId="0" borderId="24" xfId="0" applyFont="1" applyBorder="1" applyAlignment="1">
      <alignment horizontal="center" vertical="center"/>
    </xf>
    <xf numFmtId="0" fontId="25" fillId="0" borderId="24" xfId="3" applyNumberFormat="1" applyFont="1" applyFill="1" applyBorder="1" applyAlignment="1">
      <alignment horizontal="center" vertical="center"/>
    </xf>
    <xf numFmtId="0" fontId="9" fillId="4" borderId="13" xfId="3" applyFont="1" applyFill="1" applyBorder="1" applyAlignment="1">
      <alignment horizontal="right" vertical="center"/>
    </xf>
    <xf numFmtId="0" fontId="6" fillId="0" borderId="39" xfId="3" applyFont="1" applyBorder="1" applyAlignment="1">
      <alignment horizontal="center" vertical="center"/>
    </xf>
    <xf numFmtId="0" fontId="10" fillId="0" borderId="1" xfId="0" applyFont="1" applyFill="1" applyBorder="1" applyAlignment="1">
      <alignment horizontal="right" vertical="center"/>
    </xf>
    <xf numFmtId="0" fontId="1" fillId="0" borderId="0" xfId="0" applyFont="1" applyBorder="1" applyAlignment="1">
      <alignment horizontal="left" vertical="center"/>
    </xf>
    <xf numFmtId="0" fontId="55" fillId="0" borderId="0" xfId="0" applyFont="1" applyBorder="1" applyAlignment="1">
      <alignment vertical="center"/>
    </xf>
    <xf numFmtId="0" fontId="1" fillId="0" borderId="69" xfId="0" applyFont="1" applyBorder="1" applyAlignment="1">
      <alignment horizontal="center" vertical="center" shrinkToFit="1"/>
    </xf>
    <xf numFmtId="0" fontId="1" fillId="0" borderId="50" xfId="0" applyFont="1" applyBorder="1" applyAlignment="1">
      <alignment horizontal="left" vertical="center"/>
    </xf>
    <xf numFmtId="1" fontId="1" fillId="12" borderId="40" xfId="0" applyNumberFormat="1" applyFont="1" applyFill="1" applyBorder="1" applyAlignment="1">
      <alignment horizontal="center" vertical="center" shrinkToFit="1"/>
    </xf>
    <xf numFmtId="165" fontId="4" fillId="0" borderId="0" xfId="0" applyNumberFormat="1" applyFont="1" applyBorder="1" applyAlignment="1">
      <alignment vertical="center"/>
    </xf>
    <xf numFmtId="164" fontId="1" fillId="0" borderId="40" xfId="0" applyNumberFormat="1" applyFont="1" applyBorder="1" applyAlignment="1">
      <alignment horizontal="center" vertical="center" shrinkToFit="1"/>
    </xf>
    <xf numFmtId="0" fontId="1" fillId="0" borderId="55" xfId="0" applyFont="1" applyBorder="1" applyAlignment="1">
      <alignment horizontal="center" vertical="center"/>
    </xf>
    <xf numFmtId="0" fontId="3" fillId="0" borderId="103" xfId="0" applyFont="1" applyBorder="1" applyAlignment="1">
      <alignment horizontal="right" vertical="center"/>
    </xf>
    <xf numFmtId="0" fontId="1" fillId="0" borderId="104" xfId="0" applyFont="1" applyBorder="1" applyAlignment="1">
      <alignment horizontal="center" vertical="center" wrapText="1"/>
    </xf>
    <xf numFmtId="0" fontId="3" fillId="0" borderId="40" xfId="0" applyFont="1" applyBorder="1" applyAlignment="1">
      <alignment horizontal="right" vertical="center"/>
    </xf>
    <xf numFmtId="0" fontId="1" fillId="0" borderId="91" xfId="0" applyFont="1" applyBorder="1" applyAlignment="1">
      <alignment horizontal="center" vertical="center" wrapText="1"/>
    </xf>
    <xf numFmtId="0" fontId="3" fillId="0" borderId="59" xfId="0" applyFont="1" applyBorder="1" applyAlignment="1">
      <alignment horizontal="right" vertical="center"/>
    </xf>
    <xf numFmtId="0" fontId="61" fillId="0" borderId="5" xfId="0" applyFont="1" applyBorder="1" applyAlignment="1">
      <alignment horizontal="centerContinuous" vertical="center"/>
    </xf>
    <xf numFmtId="0" fontId="61" fillId="0" borderId="6" xfId="0" applyFont="1" applyBorder="1" applyAlignment="1">
      <alignment horizontal="centerContinuous" vertical="center"/>
    </xf>
    <xf numFmtId="0" fontId="62" fillId="0" borderId="6" xfId="0" applyFont="1" applyBorder="1" applyAlignment="1">
      <alignment horizontal="centerContinuous" vertical="center" wrapText="1"/>
    </xf>
    <xf numFmtId="0" fontId="62" fillId="0" borderId="7" xfId="0" applyFont="1" applyBorder="1" applyAlignment="1">
      <alignment horizontal="centerContinuous" vertical="center" wrapTex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0" fillId="17" borderId="94" xfId="0" applyFont="1" applyFill="1" applyBorder="1" applyAlignment="1">
      <alignment horizontal="center" vertical="center" wrapText="1"/>
    </xf>
    <xf numFmtId="0" fontId="6" fillId="0" borderId="107" xfId="0" applyFont="1" applyFill="1" applyBorder="1" applyAlignment="1">
      <alignment horizontal="center" vertical="center" shrinkToFit="1"/>
    </xf>
    <xf numFmtId="0" fontId="6" fillId="0" borderId="108" xfId="0" applyFont="1" applyFill="1" applyBorder="1" applyAlignment="1">
      <alignment horizontal="center" vertical="center"/>
    </xf>
    <xf numFmtId="0" fontId="34" fillId="9" borderId="109" xfId="2" applyNumberFormat="1" applyFont="1" applyFill="1" applyBorder="1" applyAlignment="1">
      <alignment horizontal="center" vertical="center" shrinkToFit="1"/>
    </xf>
    <xf numFmtId="0" fontId="6" fillId="0" borderId="37" xfId="0" applyFont="1" applyFill="1" applyBorder="1" applyAlignment="1">
      <alignment horizontal="center" vertical="center"/>
    </xf>
    <xf numFmtId="0" fontId="1" fillId="0" borderId="44" xfId="0" applyFont="1" applyFill="1" applyBorder="1" applyAlignment="1">
      <alignment horizontal="center" vertical="center" wrapText="1"/>
    </xf>
    <xf numFmtId="0" fontId="60" fillId="17" borderId="50" xfId="0" applyFont="1" applyFill="1" applyBorder="1" applyAlignment="1">
      <alignment horizontal="center" vertical="center" wrapText="1"/>
    </xf>
    <xf numFmtId="0" fontId="1" fillId="18" borderId="105" xfId="0" applyFont="1" applyFill="1" applyBorder="1" applyAlignment="1">
      <alignment horizontal="center" vertical="center" wrapText="1"/>
    </xf>
    <xf numFmtId="0" fontId="1" fillId="18" borderId="44" xfId="0" applyFont="1" applyFill="1" applyBorder="1" applyAlignment="1">
      <alignment horizontal="center" vertical="center" wrapText="1"/>
    </xf>
    <xf numFmtId="0" fontId="1" fillId="18" borderId="106" xfId="0" applyFont="1" applyFill="1" applyBorder="1" applyAlignment="1">
      <alignment horizontal="center" vertical="center" wrapText="1"/>
    </xf>
    <xf numFmtId="0" fontId="1" fillId="18" borderId="46" xfId="0" applyFont="1" applyFill="1" applyBorder="1" applyAlignment="1">
      <alignment horizontal="center" vertical="center" wrapText="1"/>
    </xf>
    <xf numFmtId="0" fontId="3" fillId="18" borderId="50" xfId="0" applyFont="1" applyFill="1" applyBorder="1" applyAlignment="1">
      <alignment horizontal="center" vertical="center" wrapText="1"/>
    </xf>
    <xf numFmtId="0" fontId="3" fillId="18" borderId="52" xfId="0" applyFont="1" applyFill="1" applyBorder="1" applyAlignment="1">
      <alignment horizontal="center" vertical="center" wrapText="1"/>
    </xf>
    <xf numFmtId="0" fontId="6" fillId="0" borderId="89" xfId="0" applyFont="1" applyFill="1" applyBorder="1" applyAlignment="1">
      <alignment horizontal="center" vertical="center" shrinkToFit="1"/>
    </xf>
    <xf numFmtId="0" fontId="6" fillId="0" borderId="100" xfId="0" applyFont="1" applyFill="1" applyBorder="1" applyAlignment="1">
      <alignment horizontal="center" vertical="center"/>
    </xf>
    <xf numFmtId="0" fontId="34" fillId="9" borderId="101" xfId="2" applyNumberFormat="1" applyFont="1" applyFill="1" applyBorder="1" applyAlignment="1">
      <alignment horizontal="center" vertical="center" shrinkToFit="1"/>
    </xf>
    <xf numFmtId="0" fontId="47" fillId="0" borderId="40" xfId="0" applyFont="1" applyBorder="1" applyAlignment="1">
      <alignment horizontal="centerContinuous" vertical="center"/>
    </xf>
    <xf numFmtId="0" fontId="47" fillId="0" borderId="40" xfId="0" applyFont="1" applyFill="1" applyBorder="1" applyAlignment="1">
      <alignment horizontal="center" vertical="center" shrinkToFit="1"/>
    </xf>
    <xf numFmtId="1" fontId="6" fillId="0" borderId="108" xfId="0" applyNumberFormat="1" applyFont="1" applyFill="1" applyBorder="1" applyAlignment="1">
      <alignment horizontal="center" vertical="center"/>
    </xf>
    <xf numFmtId="1" fontId="6" fillId="0" borderId="100" xfId="0" applyNumberFormat="1" applyFont="1" applyFill="1" applyBorder="1" applyAlignment="1">
      <alignment horizontal="center" vertical="center"/>
    </xf>
    <xf numFmtId="1" fontId="6" fillId="0" borderId="54" xfId="0" applyNumberFormat="1" applyFont="1" applyFill="1" applyBorder="1" applyAlignment="1">
      <alignment horizontal="center" vertical="center"/>
    </xf>
    <xf numFmtId="1" fontId="50" fillId="11" borderId="50" xfId="0" applyNumberFormat="1" applyFont="1" applyFill="1" applyBorder="1" applyAlignment="1">
      <alignment horizontal="center" vertical="center"/>
    </xf>
    <xf numFmtId="1" fontId="1" fillId="0" borderId="50" xfId="0" applyNumberFormat="1" applyFont="1" applyBorder="1" applyAlignment="1">
      <alignment horizontal="center" vertical="center"/>
    </xf>
    <xf numFmtId="0" fontId="48" fillId="0" borderId="59" xfId="0" applyFont="1" applyFill="1" applyBorder="1" applyAlignment="1">
      <alignment horizontal="centerContinuous" vertical="center"/>
    </xf>
    <xf numFmtId="0" fontId="6" fillId="0" borderId="26" xfId="0" applyNumberFormat="1" applyFont="1" applyFill="1" applyBorder="1" applyAlignment="1">
      <alignment horizontal="center" vertical="center" shrinkToFit="1"/>
    </xf>
    <xf numFmtId="0" fontId="1" fillId="0" borderId="111" xfId="0" applyFont="1" applyFill="1" applyBorder="1" applyAlignment="1">
      <alignment horizontal="center" vertical="center"/>
    </xf>
    <xf numFmtId="0" fontId="1" fillId="0" borderId="112" xfId="0" applyFont="1" applyFill="1" applyBorder="1" applyAlignment="1">
      <alignment horizontal="center" vertical="center"/>
    </xf>
    <xf numFmtId="49" fontId="1" fillId="0" borderId="112" xfId="2" applyNumberFormat="1" applyFont="1" applyBorder="1" applyAlignment="1">
      <alignment horizontal="center" vertical="center"/>
    </xf>
    <xf numFmtId="49" fontId="1" fillId="0" borderId="112" xfId="2" applyNumberFormat="1" applyFont="1" applyFill="1" applyBorder="1" applyAlignment="1">
      <alignment horizontal="center" vertical="center"/>
    </xf>
    <xf numFmtId="0" fontId="1" fillId="0" borderId="112" xfId="0" applyFont="1" applyFill="1" applyBorder="1" applyAlignment="1">
      <alignment horizontal="center" vertical="center" shrinkToFit="1"/>
    </xf>
    <xf numFmtId="1" fontId="50" fillId="11" borderId="112" xfId="0" applyNumberFormat="1" applyFont="1" applyFill="1" applyBorder="1" applyAlignment="1">
      <alignment horizontal="center" vertical="center"/>
    </xf>
    <xf numFmtId="1" fontId="1" fillId="0" borderId="112" xfId="0" applyNumberFormat="1" applyFont="1" applyBorder="1" applyAlignment="1">
      <alignment horizontal="center" vertical="center"/>
    </xf>
    <xf numFmtId="0" fontId="1" fillId="0" borderId="113" xfId="0" applyFont="1" applyFill="1" applyBorder="1" applyAlignment="1">
      <alignment horizontal="center" vertical="center"/>
    </xf>
    <xf numFmtId="0" fontId="1" fillId="0" borderId="114" xfId="0" applyFont="1" applyFill="1" applyBorder="1" applyAlignment="1">
      <alignment horizontal="center" vertical="center"/>
    </xf>
    <xf numFmtId="0" fontId="1" fillId="0" borderId="83" xfId="0" applyFont="1" applyFill="1" applyBorder="1" applyAlignment="1">
      <alignment horizontal="center" vertical="center"/>
    </xf>
    <xf numFmtId="49" fontId="1" fillId="0" borderId="83" xfId="2" applyNumberFormat="1" applyFont="1" applyBorder="1" applyAlignment="1">
      <alignment horizontal="center" vertical="center"/>
    </xf>
    <xf numFmtId="49" fontId="1" fillId="0" borderId="83" xfId="2" applyNumberFormat="1" applyFont="1" applyFill="1" applyBorder="1" applyAlignment="1">
      <alignment horizontal="center" vertical="center"/>
    </xf>
    <xf numFmtId="0" fontId="1" fillId="0" borderId="83" xfId="0" applyFont="1" applyFill="1" applyBorder="1" applyAlignment="1">
      <alignment horizontal="center" vertical="center" shrinkToFit="1"/>
    </xf>
    <xf numFmtId="164" fontId="4" fillId="0" borderId="83" xfId="0" applyNumberFormat="1" applyFont="1" applyFill="1" applyBorder="1" applyAlignment="1">
      <alignment horizontal="center" vertical="center"/>
    </xf>
    <xf numFmtId="164" fontId="4" fillId="0" borderId="83" xfId="0" applyNumberFormat="1" applyFont="1" applyBorder="1" applyAlignment="1">
      <alignment horizontal="center" vertical="center"/>
    </xf>
    <xf numFmtId="1" fontId="50" fillId="11" borderId="83" xfId="0" applyNumberFormat="1" applyFont="1" applyFill="1" applyBorder="1" applyAlignment="1">
      <alignment horizontal="center" vertical="center"/>
    </xf>
    <xf numFmtId="1" fontId="1" fillId="0" borderId="83" xfId="0" applyNumberFormat="1" applyFont="1" applyBorder="1" applyAlignment="1">
      <alignment horizontal="center" vertical="center"/>
    </xf>
    <xf numFmtId="0" fontId="1" fillId="0" borderId="48"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49" fontId="1" fillId="0" borderId="116" xfId="2" applyNumberFormat="1" applyFont="1" applyBorder="1" applyAlignment="1">
      <alignment horizontal="center" vertical="center"/>
    </xf>
    <xf numFmtId="0" fontId="1" fillId="0" borderId="116" xfId="0" applyFont="1" applyFill="1" applyBorder="1" applyAlignment="1">
      <alignment horizontal="center" vertical="center" shrinkToFit="1"/>
    </xf>
    <xf numFmtId="1" fontId="50" fillId="11" borderId="116" xfId="0" applyNumberFormat="1" applyFont="1" applyFill="1" applyBorder="1" applyAlignment="1">
      <alignment horizontal="center" vertical="center"/>
    </xf>
    <xf numFmtId="1" fontId="1" fillId="0" borderId="116" xfId="0" applyNumberFormat="1" applyFont="1" applyBorder="1" applyAlignment="1">
      <alignment horizontal="center" vertical="center"/>
    </xf>
    <xf numFmtId="1" fontId="1" fillId="0" borderId="118" xfId="0" applyNumberFormat="1" applyFont="1" applyFill="1" applyBorder="1" applyAlignment="1">
      <alignment horizontal="center" vertical="center"/>
    </xf>
    <xf numFmtId="1" fontId="1" fillId="12" borderId="119" xfId="0" applyNumberFormat="1" applyFont="1" applyFill="1" applyBorder="1" applyAlignment="1">
      <alignment horizontal="center" vertical="center"/>
    </xf>
    <xf numFmtId="1" fontId="1" fillId="12" borderId="59" xfId="0" applyNumberFormat="1" applyFont="1" applyFill="1" applyBorder="1" applyAlignment="1">
      <alignment horizontal="center" vertical="center"/>
    </xf>
    <xf numFmtId="164" fontId="4" fillId="12" borderId="112" xfId="0" applyNumberFormat="1" applyFont="1" applyFill="1" applyBorder="1" applyAlignment="1">
      <alignment horizontal="center" vertical="center"/>
    </xf>
    <xf numFmtId="164" fontId="1" fillId="0" borderId="112" xfId="0" applyNumberFormat="1" applyFont="1" applyBorder="1" applyAlignment="1">
      <alignment horizontal="center" vertical="center"/>
    </xf>
    <xf numFmtId="164" fontId="1" fillId="12" borderId="112" xfId="0" applyNumberFormat="1" applyFont="1" applyFill="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49" fontId="1" fillId="0" borderId="121" xfId="2" applyNumberFormat="1" applyFont="1" applyBorder="1" applyAlignment="1">
      <alignment horizontal="center" vertical="center"/>
    </xf>
    <xf numFmtId="49" fontId="1" fillId="0" borderId="121" xfId="2" applyNumberFormat="1" applyFont="1" applyFill="1" applyBorder="1" applyAlignment="1">
      <alignment horizontal="center" vertical="center"/>
    </xf>
    <xf numFmtId="0" fontId="1" fillId="0" borderId="121" xfId="0" applyFont="1" applyFill="1" applyBorder="1" applyAlignment="1">
      <alignment horizontal="center" vertical="center" shrinkToFit="1"/>
    </xf>
    <xf numFmtId="164" fontId="4" fillId="0" borderId="121" xfId="0" applyNumberFormat="1" applyFont="1" applyFill="1" applyBorder="1" applyAlignment="1">
      <alignment horizontal="center" vertical="center"/>
    </xf>
    <xf numFmtId="1" fontId="50" fillId="11" borderId="121"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0" fontId="1" fillId="0" borderId="122" xfId="0" applyFont="1" applyFill="1" applyBorder="1" applyAlignment="1">
      <alignment horizontal="center" vertical="center"/>
    </xf>
    <xf numFmtId="164" fontId="1" fillId="0" borderId="116" xfId="0" applyNumberFormat="1" applyFont="1" applyFill="1" applyBorder="1" applyAlignment="1">
      <alignment horizontal="center" vertical="center"/>
    </xf>
    <xf numFmtId="164" fontId="1" fillId="0" borderId="116" xfId="0" applyNumberFormat="1" applyFont="1" applyBorder="1" applyAlignment="1">
      <alignment horizontal="center" vertical="center"/>
    </xf>
    <xf numFmtId="1" fontId="1" fillId="0" borderId="123" xfId="0" applyNumberFormat="1" applyFont="1" applyFill="1" applyBorder="1" applyAlignment="1">
      <alignment horizontal="center" vertical="center"/>
    </xf>
    <xf numFmtId="0" fontId="47" fillId="0" borderId="59" xfId="0" quotePrefix="1" applyFont="1" applyFill="1" applyBorder="1" applyAlignment="1">
      <alignment horizontal="centerContinuous" vertical="center" shrinkToFit="1"/>
    </xf>
    <xf numFmtId="0" fontId="47" fillId="0" borderId="59" xfId="0" applyFont="1" applyFill="1" applyBorder="1" applyAlignment="1">
      <alignment horizontal="centerContinuous" vertical="center"/>
    </xf>
    <xf numFmtId="49" fontId="1" fillId="15" borderId="116" xfId="2" applyNumberFormat="1" applyFont="1" applyFill="1" applyBorder="1" applyAlignment="1">
      <alignment horizontal="center" vertical="center"/>
    </xf>
    <xf numFmtId="49" fontId="1" fillId="15" borderId="112" xfId="2" applyNumberFormat="1" applyFont="1" applyFill="1" applyBorder="1" applyAlignment="1">
      <alignment horizontal="center" vertical="center"/>
    </xf>
    <xf numFmtId="0" fontId="63" fillId="0" borderId="124" xfId="0" applyFont="1" applyBorder="1" applyAlignment="1">
      <alignment horizontal="centerContinuous" vertical="center"/>
    </xf>
    <xf numFmtId="0" fontId="61" fillId="0" borderId="125" xfId="0" applyFont="1" applyBorder="1" applyAlignment="1">
      <alignment horizontal="centerContinuous" vertical="center"/>
    </xf>
    <xf numFmtId="0" fontId="62" fillId="0" borderId="126" xfId="0" applyFont="1" applyFill="1" applyBorder="1" applyAlignment="1">
      <alignment horizontal="centerContinuous" vertical="center"/>
    </xf>
    <xf numFmtId="0" fontId="3" fillId="0" borderId="89" xfId="0" applyFont="1" applyBorder="1" applyAlignment="1">
      <alignment vertical="center"/>
    </xf>
    <xf numFmtId="0" fontId="3" fillId="0" borderId="90" xfId="0" applyFont="1" applyBorder="1" applyAlignment="1">
      <alignment horizontal="right" vertical="center"/>
    </xf>
    <xf numFmtId="49" fontId="50" fillId="17" borderId="127" xfId="0" applyNumberFormat="1" applyFont="1" applyFill="1" applyBorder="1" applyAlignment="1">
      <alignment vertical="center"/>
    </xf>
    <xf numFmtId="0" fontId="49" fillId="17" borderId="128" xfId="0" applyFont="1" applyFill="1" applyBorder="1" applyAlignment="1">
      <alignment horizontal="right" vertical="center"/>
    </xf>
    <xf numFmtId="49" fontId="1" fillId="0" borderId="89" xfId="0" applyNumberFormat="1" applyFont="1" applyFill="1" applyBorder="1" applyAlignment="1">
      <alignment vertical="center"/>
    </xf>
    <xf numFmtId="0" fontId="3" fillId="0" borderId="90" xfId="0" applyFont="1" applyFill="1" applyBorder="1" applyAlignment="1">
      <alignment horizontal="right" vertical="center"/>
    </xf>
    <xf numFmtId="1" fontId="1" fillId="0" borderId="101" xfId="0" applyNumberFormat="1" applyFont="1" applyFill="1" applyBorder="1" applyAlignment="1">
      <alignment horizontal="centerContinuous" vertical="center"/>
    </xf>
    <xf numFmtId="0" fontId="50" fillId="17" borderId="89" xfId="0" applyNumberFormat="1" applyFont="1" applyFill="1" applyBorder="1" applyAlignment="1">
      <alignment vertical="center"/>
    </xf>
    <xf numFmtId="0" fontId="49" fillId="17" borderId="90" xfId="0" applyFont="1" applyFill="1" applyBorder="1" applyAlignment="1">
      <alignment horizontal="right" vertical="center"/>
    </xf>
    <xf numFmtId="0" fontId="1" fillId="0" borderId="89" xfId="0" applyNumberFormat="1" applyFont="1" applyFill="1" applyBorder="1" applyAlignment="1">
      <alignment vertical="center"/>
    </xf>
    <xf numFmtId="49" fontId="1" fillId="0" borderId="49" xfId="0" applyNumberFormat="1" applyFont="1" applyFill="1" applyBorder="1" applyAlignment="1">
      <alignment vertical="center"/>
    </xf>
    <xf numFmtId="0" fontId="3" fillId="0" borderId="81" xfId="0" applyFont="1" applyFill="1" applyBorder="1" applyAlignment="1">
      <alignment horizontal="right" vertical="center"/>
    </xf>
    <xf numFmtId="1" fontId="1" fillId="0" borderId="109" xfId="0" applyNumberFormat="1" applyFont="1" applyFill="1" applyBorder="1" applyAlignment="1">
      <alignment horizontal="centerContinuous" vertical="center"/>
    </xf>
    <xf numFmtId="1" fontId="50" fillId="17" borderId="129" xfId="0" applyNumberFormat="1" applyFont="1" applyFill="1" applyBorder="1" applyAlignment="1">
      <alignment horizontal="centerContinuous" vertical="center"/>
    </xf>
    <xf numFmtId="1" fontId="50" fillId="17" borderId="101" xfId="0" applyNumberFormat="1" applyFont="1" applyFill="1" applyBorder="1" applyAlignment="1">
      <alignment horizontal="centerContinuous" vertical="center"/>
    </xf>
    <xf numFmtId="1" fontId="1" fillId="20" borderId="130" xfId="0" applyNumberFormat="1" applyFont="1" applyFill="1" applyBorder="1" applyAlignment="1">
      <alignment horizontal="centerContinuous" vertical="center"/>
    </xf>
    <xf numFmtId="0" fontId="6" fillId="5" borderId="27" xfId="0" quotePrefix="1" applyNumberFormat="1" applyFont="1" applyFill="1" applyBorder="1" applyAlignment="1">
      <alignment horizontal="center" vertical="center"/>
    </xf>
    <xf numFmtId="0" fontId="6" fillId="14" borderId="27" xfId="0" quotePrefix="1" applyNumberFormat="1" applyFont="1" applyFill="1" applyBorder="1" applyAlignment="1">
      <alignment horizontal="center" vertical="center"/>
    </xf>
    <xf numFmtId="0" fontId="6" fillId="6" borderId="27" xfId="0" quotePrefix="1" applyNumberFormat="1" applyFont="1" applyFill="1" applyBorder="1" applyAlignment="1">
      <alignment horizontal="center" vertical="center"/>
    </xf>
    <xf numFmtId="0" fontId="20" fillId="13" borderId="131" xfId="0" applyFont="1" applyFill="1" applyBorder="1" applyAlignment="1">
      <alignment horizontal="center" vertical="center"/>
    </xf>
    <xf numFmtId="0" fontId="20" fillId="13" borderId="132" xfId="0" applyFont="1" applyFill="1" applyBorder="1" applyAlignment="1">
      <alignment horizontal="center" vertical="center"/>
    </xf>
    <xf numFmtId="49" fontId="20" fillId="13" borderId="132" xfId="0" applyNumberFormat="1" applyFont="1" applyFill="1" applyBorder="1" applyAlignment="1">
      <alignment horizontal="center" vertical="center"/>
    </xf>
    <xf numFmtId="0" fontId="20" fillId="13" borderId="133" xfId="0" applyFont="1" applyFill="1" applyBorder="1" applyAlignment="1">
      <alignment horizontal="center" vertical="center"/>
    </xf>
    <xf numFmtId="0" fontId="49" fillId="11" borderId="133" xfId="0" applyFont="1" applyFill="1" applyBorder="1" applyAlignment="1">
      <alignment horizontal="center" vertical="center"/>
    </xf>
    <xf numFmtId="0" fontId="20" fillId="13" borderId="134" xfId="0" applyFont="1" applyFill="1" applyBorder="1" applyAlignment="1">
      <alignment horizontal="center" vertical="center"/>
    </xf>
    <xf numFmtId="0" fontId="1" fillId="0" borderId="135" xfId="0" applyFont="1" applyFill="1" applyBorder="1" applyAlignment="1">
      <alignment horizontal="center" vertical="center"/>
    </xf>
    <xf numFmtId="0" fontId="1" fillId="0" borderId="105" xfId="0" applyFont="1" applyFill="1" applyBorder="1" applyAlignment="1">
      <alignment horizontal="center" vertical="center"/>
    </xf>
    <xf numFmtId="49" fontId="1" fillId="0" borderId="105" xfId="0" applyNumberFormat="1" applyFont="1" applyFill="1" applyBorder="1" applyAlignment="1">
      <alignment horizontal="center" vertical="center"/>
    </xf>
    <xf numFmtId="164" fontId="1" fillId="0" borderId="105" xfId="0" applyNumberFormat="1" applyFont="1" applyFill="1" applyBorder="1" applyAlignment="1">
      <alignment horizontal="center" vertical="center"/>
    </xf>
    <xf numFmtId="164" fontId="4" fillId="0" borderId="105" xfId="0" applyNumberFormat="1" applyFont="1" applyFill="1" applyBorder="1" applyAlignment="1">
      <alignment horizontal="center" vertical="center"/>
    </xf>
    <xf numFmtId="164" fontId="4" fillId="0" borderId="105" xfId="0" applyNumberFormat="1" applyFont="1" applyBorder="1" applyAlignment="1">
      <alignment horizontal="center" vertical="center"/>
    </xf>
    <xf numFmtId="1" fontId="50" fillId="11" borderId="105" xfId="0" applyNumberFormat="1" applyFont="1" applyFill="1" applyBorder="1" applyAlignment="1">
      <alignment horizontal="center" vertical="center"/>
    </xf>
    <xf numFmtId="1" fontId="1" fillId="0" borderId="105" xfId="0" applyNumberFormat="1" applyFont="1" applyBorder="1" applyAlignment="1">
      <alignment horizontal="center" vertical="center"/>
    </xf>
    <xf numFmtId="0" fontId="4" fillId="0" borderId="106" xfId="0" applyFont="1" applyFill="1" applyBorder="1" applyAlignment="1">
      <alignment horizontal="center" vertical="center"/>
    </xf>
    <xf numFmtId="0" fontId="1" fillId="0" borderId="69" xfId="0" applyFont="1" applyBorder="1" applyAlignment="1">
      <alignment horizontal="center" vertical="center"/>
    </xf>
    <xf numFmtId="49" fontId="64" fillId="0" borderId="50" xfId="0" applyNumberFormat="1" applyFont="1" applyBorder="1" applyAlignment="1">
      <alignment horizontal="center" vertical="center"/>
    </xf>
    <xf numFmtId="49" fontId="1" fillId="0" borderId="50" xfId="0" applyNumberFormat="1" applyFont="1" applyBorder="1" applyAlignment="1">
      <alignment horizontal="center" vertical="center"/>
    </xf>
    <xf numFmtId="0" fontId="4" fillId="0" borderId="50" xfId="0" applyFont="1" applyBorder="1" applyAlignment="1">
      <alignment horizontal="center" vertical="center"/>
    </xf>
    <xf numFmtId="49" fontId="4" fillId="0" borderId="50" xfId="0" applyNumberFormat="1" applyFont="1" applyBorder="1" applyAlignment="1">
      <alignment horizontal="center" vertical="center"/>
    </xf>
    <xf numFmtId="164" fontId="4" fillId="0" borderId="50" xfId="0" applyNumberFormat="1" applyFont="1" applyBorder="1" applyAlignment="1">
      <alignment horizontal="center" vertical="center"/>
    </xf>
    <xf numFmtId="0" fontId="1" fillId="0" borderId="52" xfId="0" applyFont="1" applyBorder="1" applyAlignment="1">
      <alignment horizontal="center" vertical="center"/>
    </xf>
    <xf numFmtId="0" fontId="1" fillId="0" borderId="91" xfId="0" applyFont="1" applyBorder="1" applyAlignment="1">
      <alignment horizontal="center" vertical="center" shrinkToFit="1"/>
    </xf>
    <xf numFmtId="0" fontId="4" fillId="0" borderId="91" xfId="0" applyFont="1" applyBorder="1" applyAlignment="1">
      <alignment horizontal="center" vertical="center" shrinkToFit="1"/>
    </xf>
    <xf numFmtId="0" fontId="1" fillId="0" borderId="94"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94" xfId="0" applyFont="1" applyBorder="1" applyAlignment="1">
      <alignment horizontal="center" vertical="center" shrinkToFit="1"/>
    </xf>
    <xf numFmtId="1" fontId="6" fillId="0" borderId="26" xfId="0" applyNumberFormat="1" applyFont="1" applyFill="1" applyBorder="1" applyAlignment="1">
      <alignment horizontal="center" vertical="center"/>
    </xf>
    <xf numFmtId="1" fontId="6" fillId="0" borderId="58" xfId="0" applyNumberFormat="1" applyFont="1" applyFill="1" applyBorder="1" applyAlignment="1">
      <alignment horizontal="centerContinuous" vertical="center"/>
    </xf>
    <xf numFmtId="0" fontId="64" fillId="0" borderId="110" xfId="0" applyNumberFormat="1" applyFont="1" applyFill="1" applyBorder="1" applyAlignment="1">
      <alignment horizontal="centerContinuous" vertical="center"/>
    </xf>
    <xf numFmtId="0" fontId="1" fillId="0" borderId="117" xfId="0" quotePrefix="1" applyFont="1" applyFill="1" applyBorder="1" applyAlignment="1">
      <alignment horizontal="center" vertical="center"/>
    </xf>
    <xf numFmtId="1" fontId="6" fillId="0" borderId="28" xfId="0" applyNumberFormat="1" applyFont="1" applyFill="1" applyBorder="1" applyAlignment="1">
      <alignment horizontal="center" vertical="center"/>
    </xf>
    <xf numFmtId="1" fontId="6" fillId="0" borderId="29" xfId="0" applyNumberFormat="1" applyFont="1" applyFill="1" applyBorder="1" applyAlignment="1">
      <alignment horizontal="center" vertical="center"/>
    </xf>
    <xf numFmtId="49" fontId="1" fillId="0" borderId="121" xfId="0" applyNumberFormat="1" applyFont="1" applyFill="1" applyBorder="1" applyAlignment="1">
      <alignment horizontal="center" vertical="center"/>
    </xf>
    <xf numFmtId="164" fontId="1" fillId="0" borderId="121" xfId="0" applyNumberFormat="1" applyFont="1" applyFill="1" applyBorder="1" applyAlignment="1">
      <alignment horizontal="center" vertical="center"/>
    </xf>
    <xf numFmtId="0" fontId="4" fillId="0" borderId="122" xfId="0" applyFont="1" applyFill="1" applyBorder="1" applyAlignment="1">
      <alignment horizontal="center" vertical="center"/>
    </xf>
    <xf numFmtId="164" fontId="4" fillId="0" borderId="44" xfId="0" applyNumberFormat="1" applyFont="1" applyBorder="1" applyAlignment="1">
      <alignment horizontal="center" vertical="center"/>
    </xf>
    <xf numFmtId="1" fontId="50" fillId="11" borderId="44" xfId="0" applyNumberFormat="1" applyFont="1" applyFill="1" applyBorder="1" applyAlignment="1">
      <alignment horizontal="center" vertical="center"/>
    </xf>
    <xf numFmtId="1" fontId="1" fillId="0" borderId="44" xfId="0" applyNumberFormat="1" applyFont="1" applyBorder="1" applyAlignment="1">
      <alignment horizontal="center" vertical="center"/>
    </xf>
    <xf numFmtId="0" fontId="1" fillId="0" borderId="62" xfId="0" applyFont="1" applyFill="1" applyBorder="1" applyAlignment="1">
      <alignment horizontal="centerContinuous" vertical="center"/>
    </xf>
    <xf numFmtId="0" fontId="3" fillId="0" borderId="0" xfId="0" applyFont="1" applyAlignment="1">
      <alignment horizontal="right" vertical="center"/>
    </xf>
    <xf numFmtId="0" fontId="3" fillId="0" borderId="0" xfId="0" applyFont="1" applyAlignment="1">
      <alignment horizontal="center" vertical="center"/>
    </xf>
    <xf numFmtId="9" fontId="3" fillId="0" borderId="0" xfId="8"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9" fontId="1" fillId="0" borderId="0" xfId="8" applyAlignment="1">
      <alignment horizontal="center" vertical="center"/>
    </xf>
    <xf numFmtId="1" fontId="1" fillId="0" borderId="0" xfId="6" applyNumberFormat="1" applyAlignment="1">
      <alignment horizontal="center" vertical="center"/>
    </xf>
    <xf numFmtId="0" fontId="1" fillId="0" borderId="0" xfId="6" applyAlignment="1">
      <alignment vertical="center"/>
    </xf>
    <xf numFmtId="1" fontId="1" fillId="0" borderId="0" xfId="6" applyNumberFormat="1" applyFont="1" applyAlignment="1">
      <alignment horizontal="center" vertical="center"/>
    </xf>
    <xf numFmtId="1" fontId="1" fillId="0" borderId="136" xfId="6" applyNumberFormat="1" applyFont="1" applyBorder="1" applyAlignment="1">
      <alignment horizontal="center" vertical="center"/>
    </xf>
    <xf numFmtId="0" fontId="3" fillId="0" borderId="0" xfId="6" applyFont="1" applyAlignment="1">
      <alignment vertical="center"/>
    </xf>
    <xf numFmtId="1" fontId="3" fillId="0" borderId="0" xfId="6" applyNumberFormat="1" applyFont="1" applyAlignment="1">
      <alignment horizontal="center" vertical="center"/>
    </xf>
    <xf numFmtId="0" fontId="1" fillId="0" borderId="0" xfId="0" applyFont="1" applyAlignment="1">
      <alignment vertical="center"/>
    </xf>
    <xf numFmtId="0" fontId="0" fillId="0" borderId="0" xfId="0" applyAlignment="1">
      <alignment horizontal="center" vertical="center"/>
    </xf>
    <xf numFmtId="0" fontId="5" fillId="4" borderId="137" xfId="0" applyFont="1" applyFill="1" applyBorder="1" applyAlignment="1">
      <alignment horizontal="right" vertical="center"/>
    </xf>
    <xf numFmtId="1" fontId="6" fillId="0" borderId="24" xfId="0" applyNumberFormat="1" applyFont="1" applyBorder="1" applyAlignment="1">
      <alignment horizontal="centerContinuous" vertical="center"/>
    </xf>
    <xf numFmtId="1" fontId="1" fillId="0" borderId="138" xfId="0" applyNumberFormat="1" applyFont="1" applyBorder="1" applyAlignment="1">
      <alignment horizontal="centerContinuous" vertical="center"/>
    </xf>
    <xf numFmtId="0" fontId="65" fillId="4" borderId="139" xfId="0" applyFont="1" applyFill="1" applyBorder="1" applyAlignment="1">
      <alignment horizontal="right" vertical="center"/>
    </xf>
    <xf numFmtId="0" fontId="6" fillId="0" borderId="29" xfId="0" applyFont="1" applyFill="1" applyBorder="1" applyAlignment="1">
      <alignment horizontal="center" vertical="center"/>
    </xf>
    <xf numFmtId="0" fontId="21" fillId="14" borderId="1" xfId="0" applyFont="1" applyFill="1" applyBorder="1" applyAlignment="1">
      <alignment vertical="center"/>
    </xf>
    <xf numFmtId="49" fontId="27" fillId="14" borderId="25" xfId="0" applyNumberFormat="1" applyFont="1" applyFill="1" applyBorder="1" applyAlignment="1">
      <alignment horizontal="center" vertical="center"/>
    </xf>
    <xf numFmtId="0" fontId="27" fillId="14" borderId="26" xfId="0" applyNumberFormat="1" applyFont="1" applyFill="1" applyBorder="1" applyAlignment="1">
      <alignment horizontal="center" vertical="center"/>
    </xf>
    <xf numFmtId="0" fontId="6" fillId="0" borderId="88" xfId="0" applyFont="1" applyFill="1" applyBorder="1" applyAlignment="1">
      <alignment horizontal="centerContinuous" vertical="center"/>
    </xf>
    <xf numFmtId="0" fontId="6" fillId="0" borderId="140" xfId="0" applyFont="1" applyFill="1" applyBorder="1" applyAlignment="1">
      <alignment horizontal="centerContinuous" vertical="center"/>
    </xf>
    <xf numFmtId="0" fontId="6" fillId="0" borderId="142" xfId="0" applyFont="1" applyFill="1" applyBorder="1" applyAlignment="1">
      <alignment horizontal="center" vertical="center" wrapText="1"/>
    </xf>
    <xf numFmtId="9" fontId="6" fillId="0" borderId="142" xfId="2" applyFont="1" applyFill="1" applyBorder="1" applyAlignment="1">
      <alignment horizontal="center" vertical="center" shrinkToFit="1"/>
    </xf>
    <xf numFmtId="9" fontId="6" fillId="0" borderId="143" xfId="2" applyFont="1" applyFill="1" applyBorder="1" applyAlignment="1">
      <alignment horizontal="center" vertical="center" shrinkToFit="1"/>
    </xf>
    <xf numFmtId="0" fontId="6" fillId="0" borderId="143" xfId="2" applyNumberFormat="1" applyFont="1" applyFill="1" applyBorder="1" applyAlignment="1">
      <alignment horizontal="center" vertical="center" shrinkToFit="1"/>
    </xf>
    <xf numFmtId="0" fontId="6" fillId="0" borderId="144" xfId="0" applyNumberFormat="1" applyFont="1" applyFill="1" applyBorder="1" applyAlignment="1">
      <alignment horizontal="center" vertical="center" wrapText="1"/>
    </xf>
    <xf numFmtId="0" fontId="6" fillId="0" borderId="55" xfId="0" applyFont="1" applyFill="1" applyBorder="1" applyAlignment="1">
      <alignment horizontal="center" vertical="center" wrapText="1"/>
    </xf>
    <xf numFmtId="9" fontId="6" fillId="0" borderId="55" xfId="2" applyFont="1" applyFill="1" applyBorder="1" applyAlignment="1">
      <alignment horizontal="center" vertical="center" shrinkToFit="1"/>
    </xf>
    <xf numFmtId="9" fontId="6" fillId="0" borderId="56" xfId="2" applyFont="1" applyFill="1" applyBorder="1" applyAlignment="1">
      <alignment horizontal="center" vertical="center" shrinkToFit="1"/>
    </xf>
    <xf numFmtId="0" fontId="6" fillId="0" borderId="56" xfId="2" applyNumberFormat="1" applyFont="1" applyFill="1" applyBorder="1" applyAlignment="1">
      <alignment horizontal="center" vertical="center" shrinkToFit="1"/>
    </xf>
    <xf numFmtId="0" fontId="6" fillId="0" borderId="39"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26" xfId="0" applyFont="1" applyFill="1" applyBorder="1" applyAlignment="1">
      <alignment horizontal="center" vertical="center" wrapText="1"/>
    </xf>
    <xf numFmtId="0" fontId="6" fillId="0" borderId="141" xfId="0" applyFont="1" applyFill="1" applyBorder="1" applyAlignment="1">
      <alignment horizontal="center" vertical="center" shrinkToFit="1"/>
    </xf>
    <xf numFmtId="0" fontId="6" fillId="0" borderId="143" xfId="0" applyFont="1" applyFill="1" applyBorder="1" applyAlignment="1">
      <alignment horizontal="center" vertical="center" wrapText="1"/>
    </xf>
    <xf numFmtId="0" fontId="6" fillId="0" borderId="8" xfId="0" applyFont="1" applyFill="1" applyBorder="1" applyAlignment="1">
      <alignment horizontal="center" vertical="center" shrinkToFit="1"/>
    </xf>
    <xf numFmtId="0" fontId="6" fillId="0" borderId="56" xfId="0" applyFont="1" applyFill="1" applyBorder="1" applyAlignment="1">
      <alignment horizontal="center" vertical="center" wrapText="1"/>
    </xf>
    <xf numFmtId="0" fontId="4" fillId="0" borderId="145" xfId="0" applyFont="1" applyBorder="1" applyAlignment="1">
      <alignment horizontal="center" vertical="center" shrinkToFit="1"/>
    </xf>
    <xf numFmtId="0" fontId="4" fillId="0" borderId="83" xfId="0" applyFont="1" applyBorder="1" applyAlignment="1">
      <alignment horizontal="left" vertical="center"/>
    </xf>
    <xf numFmtId="1" fontId="1" fillId="0" borderId="93" xfId="0" applyNumberFormat="1" applyFont="1" applyBorder="1" applyAlignment="1">
      <alignment horizontal="center" vertical="center" shrinkToFit="1"/>
    </xf>
    <xf numFmtId="0" fontId="1" fillId="0" borderId="114" xfId="0" applyFont="1" applyBorder="1" applyAlignment="1">
      <alignment horizontal="center" vertical="center" shrinkToFit="1"/>
    </xf>
    <xf numFmtId="49" fontId="1" fillId="15" borderId="121" xfId="2" applyNumberFormat="1" applyFont="1" applyFill="1" applyBorder="1" applyAlignment="1">
      <alignment horizontal="center" vertical="center"/>
    </xf>
    <xf numFmtId="164" fontId="1" fillId="0" borderId="121" xfId="0" applyNumberFormat="1" applyFont="1" applyBorder="1" applyAlignment="1">
      <alignment horizontal="center" vertical="center"/>
    </xf>
    <xf numFmtId="0" fontId="1" fillId="0" borderId="122" xfId="0" quotePrefix="1" applyFont="1" applyFill="1" applyBorder="1" applyAlignment="1">
      <alignment horizontal="center" vertical="center"/>
    </xf>
    <xf numFmtId="164" fontId="1" fillId="12" borderId="121" xfId="0" applyNumberFormat="1" applyFont="1" applyFill="1" applyBorder="1" applyAlignment="1">
      <alignment horizontal="center" vertical="center"/>
    </xf>
    <xf numFmtId="164" fontId="4" fillId="12" borderId="121" xfId="0" applyNumberFormat="1" applyFont="1" applyFill="1" applyBorder="1" applyAlignment="1">
      <alignment horizontal="center" vertical="center"/>
    </xf>
    <xf numFmtId="1" fontId="1" fillId="12" borderId="123" xfId="0" applyNumberFormat="1" applyFont="1" applyFill="1" applyBorder="1" applyAlignment="1">
      <alignment horizontal="center" vertical="center"/>
    </xf>
    <xf numFmtId="0" fontId="1" fillId="0" borderId="116" xfId="0" quotePrefix="1" applyFont="1" applyFill="1" applyBorder="1" applyAlignment="1">
      <alignment horizontal="center" vertical="center" wrapText="1"/>
    </xf>
    <xf numFmtId="0" fontId="1" fillId="0" borderId="121" xfId="0" quotePrefix="1" applyFont="1" applyFill="1" applyBorder="1" applyAlignment="1">
      <alignment horizontal="center" vertical="center" wrapText="1"/>
    </xf>
    <xf numFmtId="0" fontId="1" fillId="0" borderId="112" xfId="0" quotePrefix="1" applyFont="1" applyFill="1" applyBorder="1" applyAlignment="1">
      <alignment horizontal="center" vertical="center" wrapText="1"/>
    </xf>
    <xf numFmtId="0" fontId="1" fillId="0" borderId="83" xfId="0" quotePrefix="1" applyFont="1" applyFill="1" applyBorder="1" applyAlignment="1">
      <alignment horizontal="center" vertical="center" wrapText="1"/>
    </xf>
    <xf numFmtId="1" fontId="1" fillId="0" borderId="40" xfId="0" applyNumberFormat="1" applyFont="1" applyFill="1" applyBorder="1" applyAlignment="1">
      <alignment horizontal="center" vertical="center"/>
    </xf>
    <xf numFmtId="0" fontId="6" fillId="0" borderId="49" xfId="0" applyFont="1" applyFill="1" applyBorder="1" applyAlignment="1">
      <alignment horizontal="center" vertical="center" shrinkToFit="1"/>
    </xf>
    <xf numFmtId="0" fontId="6" fillId="0" borderId="79" xfId="0" applyFont="1" applyFill="1" applyBorder="1" applyAlignment="1">
      <alignment horizontal="center" vertical="center"/>
    </xf>
    <xf numFmtId="1" fontId="6" fillId="0" borderId="79" xfId="0" applyNumberFormat="1" applyFont="1" applyFill="1" applyBorder="1" applyAlignment="1">
      <alignment horizontal="center" vertical="center"/>
    </xf>
    <xf numFmtId="0" fontId="34" fillId="9" borderId="130" xfId="2" applyNumberFormat="1" applyFont="1" applyFill="1" applyBorder="1" applyAlignment="1">
      <alignment horizontal="center" vertical="center" shrinkToFit="1"/>
    </xf>
    <xf numFmtId="0" fontId="66" fillId="0" borderId="34" xfId="0" applyFont="1" applyBorder="1" applyAlignment="1">
      <alignment horizontal="centerContinuous" vertical="center"/>
    </xf>
    <xf numFmtId="0" fontId="67" fillId="0" borderId="34" xfId="0" applyFont="1" applyBorder="1" applyAlignment="1">
      <alignment horizontal="centerContinuous" vertical="center"/>
    </xf>
    <xf numFmtId="0" fontId="1" fillId="0" borderId="11" xfId="0" applyFont="1" applyBorder="1" applyAlignment="1">
      <alignment horizontal="center" vertical="center"/>
    </xf>
    <xf numFmtId="0" fontId="1" fillId="0" borderId="25" xfId="0" applyFont="1" applyBorder="1" applyAlignment="1">
      <alignment horizontal="center" vertical="center"/>
    </xf>
    <xf numFmtId="0" fontId="1" fillId="0" borderId="25" xfId="0" quotePrefix="1" applyFont="1" applyBorder="1" applyAlignment="1">
      <alignment horizontal="center" vertical="center"/>
    </xf>
    <xf numFmtId="9" fontId="1" fillId="0" borderId="25"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64" fontId="1" fillId="0" borderId="26" xfId="0" applyNumberFormat="1" applyFont="1" applyFill="1" applyBorder="1" applyAlignment="1">
      <alignment horizontal="centerContinuous" vertical="center"/>
    </xf>
    <xf numFmtId="164" fontId="4" fillId="0" borderId="0" xfId="0" applyNumberFormat="1" applyFont="1" applyFill="1" applyBorder="1" applyAlignment="1">
      <alignment horizontal="centerContinuous" vertical="center"/>
    </xf>
    <xf numFmtId="0" fontId="4" fillId="0" borderId="2" xfId="0" quotePrefix="1" applyFont="1" applyFill="1" applyBorder="1" applyAlignment="1">
      <alignment horizontal="centerContinuous" vertical="center"/>
    </xf>
    <xf numFmtId="164" fontId="1" fillId="0" borderId="56" xfId="0" applyNumberFormat="1" applyFont="1" applyBorder="1" applyAlignment="1">
      <alignment horizontal="centerContinuous" vertical="center"/>
    </xf>
    <xf numFmtId="0" fontId="1" fillId="0" borderId="146" xfId="0" applyFont="1" applyBorder="1" applyAlignment="1">
      <alignment horizontal="center" vertical="center"/>
    </xf>
    <xf numFmtId="0" fontId="1" fillId="0" borderId="147" xfId="0" applyFont="1" applyBorder="1" applyAlignment="1">
      <alignment horizontal="center" vertical="center"/>
    </xf>
    <xf numFmtId="0" fontId="1" fillId="0" borderId="147" xfId="0" quotePrefix="1" applyFont="1" applyBorder="1" applyAlignment="1">
      <alignment horizontal="center" vertical="center"/>
    </xf>
    <xf numFmtId="9" fontId="1" fillId="0" borderId="147" xfId="0" applyNumberFormat="1" applyFont="1" applyBorder="1" applyAlignment="1">
      <alignment horizontal="center" vertical="center"/>
    </xf>
    <xf numFmtId="164" fontId="1" fillId="0" borderId="147" xfId="0" applyNumberFormat="1" applyFont="1" applyFill="1" applyBorder="1" applyAlignment="1">
      <alignment horizontal="center" vertical="center"/>
    </xf>
    <xf numFmtId="164" fontId="1" fillId="19" borderId="148" xfId="0" applyNumberFormat="1" applyFont="1" applyFill="1" applyBorder="1" applyAlignment="1">
      <alignment horizontal="centerContinuous" vertical="center"/>
    </xf>
    <xf numFmtId="164" fontId="4" fillId="19" borderId="149" xfId="0" applyNumberFormat="1" applyFont="1" applyFill="1" applyBorder="1" applyAlignment="1">
      <alignment horizontal="centerContinuous" vertical="center"/>
    </xf>
    <xf numFmtId="0" fontId="4" fillId="19" borderId="150" xfId="0" quotePrefix="1" applyFont="1" applyFill="1" applyBorder="1" applyAlignment="1">
      <alignment horizontal="centerContinuous" vertical="center"/>
    </xf>
    <xf numFmtId="0" fontId="1" fillId="0" borderId="151" xfId="0" applyFont="1" applyBorder="1" applyAlignment="1">
      <alignment horizontal="center" vertical="center"/>
    </xf>
    <xf numFmtId="0" fontId="1" fillId="0" borderId="152" xfId="0" applyFont="1" applyBorder="1" applyAlignment="1">
      <alignment horizontal="center" vertical="center"/>
    </xf>
    <xf numFmtId="0" fontId="1" fillId="0" borderId="152" xfId="0" quotePrefix="1" applyFont="1" applyBorder="1" applyAlignment="1">
      <alignment horizontal="center" vertical="center"/>
    </xf>
    <xf numFmtId="9" fontId="1" fillId="0" borderId="152" xfId="0" applyNumberFormat="1" applyFont="1" applyBorder="1" applyAlignment="1">
      <alignment horizontal="center" vertical="center"/>
    </xf>
    <xf numFmtId="164" fontId="1" fillId="0" borderId="152" xfId="0" applyNumberFormat="1" applyFont="1" applyFill="1" applyBorder="1" applyAlignment="1">
      <alignment horizontal="center" vertical="center"/>
    </xf>
    <xf numFmtId="164" fontId="1" fillId="0" borderId="153" xfId="0" applyNumberFormat="1" applyFont="1" applyFill="1" applyBorder="1" applyAlignment="1">
      <alignment horizontal="centerContinuous" vertical="center"/>
    </xf>
    <xf numFmtId="164" fontId="4" fillId="0" borderId="128" xfId="0" applyNumberFormat="1" applyFont="1" applyFill="1" applyBorder="1" applyAlignment="1">
      <alignment horizontal="centerContinuous" vertical="center"/>
    </xf>
    <xf numFmtId="0" fontId="4" fillId="0" borderId="154" xfId="0" quotePrefix="1" applyFont="1" applyFill="1" applyBorder="1" applyAlignment="1">
      <alignment horizontal="centerContinuous" vertical="center"/>
    </xf>
    <xf numFmtId="0" fontId="68" fillId="0" borderId="34" xfId="0" applyFont="1" applyBorder="1" applyAlignment="1">
      <alignment horizontal="centerContinuous" vertical="center" wrapText="1"/>
    </xf>
    <xf numFmtId="0" fontId="6" fillId="8" borderId="27" xfId="0" quotePrefix="1" applyNumberFormat="1" applyFont="1" applyFill="1" applyBorder="1" applyAlignment="1">
      <alignment horizontal="center" vertical="center"/>
    </xf>
    <xf numFmtId="0" fontId="8" fillId="0" borderId="12" xfId="0" applyFont="1" applyFill="1" applyBorder="1" applyAlignment="1">
      <alignment horizontal="center" vertical="center"/>
    </xf>
    <xf numFmtId="0" fontId="69" fillId="21" borderId="3" xfId="0" quotePrefix="1" applyFont="1" applyFill="1" applyBorder="1" applyAlignment="1">
      <alignment horizontal="center" vertical="center"/>
    </xf>
    <xf numFmtId="0" fontId="69" fillId="21" borderId="24" xfId="0" quotePrefix="1" applyFont="1" applyFill="1" applyBorder="1" applyAlignment="1">
      <alignment horizontal="center" vertical="center"/>
    </xf>
    <xf numFmtId="49" fontId="6" fillId="14" borderId="25" xfId="0" applyNumberFormat="1" applyFont="1" applyFill="1" applyBorder="1" applyAlignment="1">
      <alignment horizontal="center" vertical="center" wrapText="1"/>
    </xf>
    <xf numFmtId="0" fontId="26" fillId="0" borderId="40" xfId="0" applyFont="1" applyBorder="1" applyAlignment="1">
      <alignment horizontal="centerContinuous"/>
    </xf>
    <xf numFmtId="0" fontId="26" fillId="0" borderId="40" xfId="0" applyFont="1" applyFill="1" applyBorder="1" applyAlignment="1">
      <alignment horizontal="center" shrinkToFit="1"/>
    </xf>
  </cellXfs>
  <cellStyles count="9">
    <cellStyle name="Excel Built-in Normal" xfId="4"/>
    <cellStyle name="Hyperlink" xfId="1" builtinId="8"/>
    <cellStyle name="Normal" xfId="0" builtinId="0"/>
    <cellStyle name="Normal 2" xfId="5"/>
    <cellStyle name="Normal 2 2" xfId="6"/>
    <cellStyle name="Normal 4" xfId="3"/>
    <cellStyle name="Percent" xfId="2" builtinId="5"/>
    <cellStyle name="Percent 2" xfId="7"/>
    <cellStyle name="Percent 2 2" xfId="8"/>
  </cellStyles>
  <dxfs count="44">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33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60960</xdr:colOff>
      <xdr:row>1</xdr:row>
      <xdr:rowOff>91440</xdr:rowOff>
    </xdr:from>
    <xdr:to>
      <xdr:col>6</xdr:col>
      <xdr:colOff>1051560</xdr:colOff>
      <xdr:row>12</xdr:row>
      <xdr:rowOff>144780</xdr:rowOff>
    </xdr:to>
    <xdr:sp macro="" textlink="">
      <xdr:nvSpPr>
        <xdr:cNvPr id="2" name="TextBox 1"/>
        <xdr:cNvSpPr txBox="1"/>
      </xdr:nvSpPr>
      <xdr:spPr>
        <a:xfrm>
          <a:off x="4046220" y="464820"/>
          <a:ext cx="2087880" cy="2209800"/>
        </a:xfrm>
        <a:prstGeom prst="rect">
          <a:avLst/>
        </a:prstGeom>
        <a:solidFill>
          <a:srgbClr val="00B050">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0">
              <a:latin typeface="Times New Roman" panose="02020603050405020304" pitchFamily="18" charset="0"/>
              <a:cs typeface="Times New Roman" panose="02020603050405020304" pitchFamily="18" charset="0"/>
            </a:rPr>
            <a:t>Inspired Greatness</a:t>
          </a:r>
          <a:r>
            <a:rPr lang="en-US" sz="1200" b="0" baseline="0">
              <a:latin typeface="Times New Roman" panose="02020603050405020304" pitchFamily="18" charset="0"/>
              <a:cs typeface="Times New Roman" panose="02020603050405020304" pitchFamily="18" charset="0"/>
            </a:rPr>
            <a:t> </a:t>
          </a:r>
          <a:r>
            <a:rPr lang="en-US" sz="1200" b="0">
              <a:latin typeface="Times New Roman" panose="02020603050405020304" pitchFamily="18" charset="0"/>
              <a:cs typeface="Times New Roman" panose="02020603050405020304" pitchFamily="18" charset="0"/>
            </a:rPr>
            <a:t>(+2 HD)</a:t>
          </a:r>
        </a:p>
        <a:p>
          <a:pPr algn="ctr" rtl="0"/>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algn="ctr" rtl="0"/>
          <a:r>
            <a:rPr lang="en-US" sz="1200" b="0" i="0" baseline="0">
              <a:solidFill>
                <a:schemeClr val="dk1"/>
              </a:solidFill>
              <a:effectLst/>
              <a:latin typeface="Times New Roman" panose="02020603050405020304" pitchFamily="18" charset="0"/>
              <a:ea typeface="+mn-ea"/>
              <a:cs typeface="Times New Roman" panose="02020603050405020304" pitchFamily="18" charset="0"/>
            </a:rPr>
            <a:t>Protected from Evil +2</a:t>
          </a:r>
        </a:p>
      </xdr:txBody>
    </xdr:sp>
    <xdr:clientData/>
  </xdr:twoCellAnchor>
  <xdr:twoCellAnchor>
    <xdr:from>
      <xdr:col>0</xdr:col>
      <xdr:colOff>38100</xdr:colOff>
      <xdr:row>13</xdr:row>
      <xdr:rowOff>137160</xdr:rowOff>
    </xdr:from>
    <xdr:to>
      <xdr:col>7</xdr:col>
      <xdr:colOff>0</xdr:colOff>
      <xdr:row>26</xdr:row>
      <xdr:rowOff>7620</xdr:rowOff>
    </xdr:to>
    <xdr:sp macro="" textlink="">
      <xdr:nvSpPr>
        <xdr:cNvPr id="3" name="TextBox 2"/>
        <xdr:cNvSpPr txBox="1"/>
      </xdr:nvSpPr>
      <xdr:spPr>
        <a:xfrm>
          <a:off x="38100" y="2887980"/>
          <a:ext cx="6141720" cy="2453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a:latin typeface="Times New Roman" panose="02020603050405020304" pitchFamily="18" charset="0"/>
              <a:cs typeface="Times New Roman" panose="02020603050405020304" pitchFamily="18" charset="0"/>
            </a:rPr>
            <a:t>Faith is a human woman with blonde hair often tied back in a braid and intense blue eyes that seem to see more than you would like. She is tall (5'9") and well muscled usually armored in full plate that she seems to wear easily. She even sleeps in her armor and it does not seem to bother her. A shield floats in the by her right arm emblazoned with a right hand gauntlet palm facing out. She wears a silver holy symbol around her neck with a similiar gauntlet upon it. The greatsword on her back seems polished and well cared for. She also carries a bow and heavy flail made of silver. Her backpack seems to hold much more than it ought to.</a:t>
          </a:r>
        </a:p>
        <a:p>
          <a:pPr algn="just"/>
          <a:endParaRPr lang="en-US" sz="1200">
            <a:latin typeface="Times New Roman" panose="02020603050405020304" pitchFamily="18" charset="0"/>
            <a:cs typeface="Times New Roman" panose="02020603050405020304" pitchFamily="18" charset="0"/>
          </a:endParaRPr>
        </a:p>
        <a:p>
          <a:pPr algn="just"/>
          <a:r>
            <a:rPr lang="en-US" sz="1200">
              <a:latin typeface="Times New Roman" panose="02020603050405020304" pitchFamily="18" charset="0"/>
              <a:cs typeface="Times New Roman" panose="02020603050405020304" pitchFamily="18" charset="0"/>
            </a:rPr>
            <a:t>Faith does not hide the fact that she is a Templar of Torm. She does not remember how she got to the Gauntlet, but has found her way free and found her footing in this strange new place. She is content to travel around helping those who need it and she works hard to put down evil outsiders when she can. She is mostly serious, seldom laughing or joking, but knows how to speak well and convincing others of doing the right thing. </a:t>
          </a:r>
        </a:p>
        <a:p>
          <a:pPr algn="just"/>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83" name="Rectangle 1"/>
        <xdr:cNvSpPr>
          <a:spLocks noChangeArrowheads="1"/>
        </xdr:cNvSpPr>
      </xdr:nvSpPr>
      <xdr:spPr bwMode="auto">
        <a:xfrm>
          <a:off x="5724525"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18457" name="Rectangle 1"/>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337185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 military saddle, bit and bridle.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bhapp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workbookViewId="0"/>
  </sheetViews>
  <sheetFormatPr defaultColWidth="13" defaultRowHeight="15.6"/>
  <cols>
    <col min="1" max="1" width="14.3984375" style="192" bestFit="1" customWidth="1"/>
    <col min="2" max="2" width="12.8984375" style="80" customWidth="1"/>
    <col min="3" max="3" width="6" style="80" customWidth="1"/>
    <col min="4" max="4" width="13.69921875" style="192" bestFit="1" customWidth="1"/>
    <col min="5" max="5" width="9.09765625" style="80" bestFit="1" customWidth="1"/>
    <col min="6" max="6" width="14.3984375" style="192" customWidth="1"/>
    <col min="7" max="7" width="14.3984375" style="80" customWidth="1"/>
    <col min="8" max="16384" width="13" style="19"/>
  </cols>
  <sheetData>
    <row r="1" spans="1:7" ht="29.4" thickTop="1" thickBot="1">
      <c r="A1" s="198" t="s">
        <v>191</v>
      </c>
      <c r="B1" s="199" t="s">
        <v>193</v>
      </c>
      <c r="C1" s="200"/>
      <c r="D1" s="201"/>
      <c r="E1" s="202"/>
      <c r="F1" s="201"/>
      <c r="G1" s="203" t="s">
        <v>305</v>
      </c>
    </row>
    <row r="2" spans="1:7" ht="17.399999999999999" thickTop="1">
      <c r="A2" s="204" t="s">
        <v>0</v>
      </c>
      <c r="B2" s="205" t="s">
        <v>90</v>
      </c>
      <c r="C2" s="205"/>
      <c r="D2" s="206" t="s">
        <v>1</v>
      </c>
      <c r="E2" s="207" t="s">
        <v>166</v>
      </c>
      <c r="F2" s="208"/>
      <c r="G2" s="209"/>
    </row>
    <row r="3" spans="1:7" ht="16.8">
      <c r="A3" s="204" t="s">
        <v>66</v>
      </c>
      <c r="B3" s="205" t="s">
        <v>369</v>
      </c>
      <c r="C3" s="205"/>
      <c r="D3" s="206" t="s">
        <v>67</v>
      </c>
      <c r="E3" s="207">
        <v>5</v>
      </c>
      <c r="F3" s="206"/>
      <c r="G3" s="209"/>
    </row>
    <row r="4" spans="1:7" ht="16.8">
      <c r="A4" s="204" t="s">
        <v>66</v>
      </c>
      <c r="B4" s="205" t="s">
        <v>194</v>
      </c>
      <c r="C4" s="205"/>
      <c r="D4" s="206" t="s">
        <v>67</v>
      </c>
      <c r="E4" s="207">
        <v>6</v>
      </c>
      <c r="F4" s="206"/>
      <c r="G4" s="209"/>
    </row>
    <row r="5" spans="1:7" ht="17.399999999999999" thickBot="1">
      <c r="A5" s="204" t="s">
        <v>68</v>
      </c>
      <c r="B5" s="205" t="s">
        <v>192</v>
      </c>
      <c r="C5" s="205"/>
      <c r="D5" s="206" t="s">
        <v>218</v>
      </c>
      <c r="E5" s="207" t="s">
        <v>219</v>
      </c>
      <c r="F5" s="206"/>
      <c r="G5" s="209"/>
    </row>
    <row r="6" spans="1:7" ht="17.399999999999999" thickTop="1">
      <c r="A6" s="210" t="s">
        <v>98</v>
      </c>
      <c r="B6" s="488">
        <f>E3+E4</f>
        <v>11</v>
      </c>
      <c r="C6" s="489"/>
      <c r="D6" s="249" t="s">
        <v>185</v>
      </c>
      <c r="E6" s="211" t="s">
        <v>236</v>
      </c>
      <c r="F6" s="212"/>
      <c r="G6" s="209"/>
    </row>
    <row r="7" spans="1:7" ht="17.399999999999999" thickBot="1">
      <c r="A7" s="514" t="s">
        <v>221</v>
      </c>
      <c r="B7" s="515" t="str">
        <f>C9</f>
        <v>+1</v>
      </c>
      <c r="C7" s="516"/>
      <c r="D7" s="517" t="s">
        <v>331</v>
      </c>
      <c r="E7" s="518" t="s">
        <v>245</v>
      </c>
      <c r="F7" s="212"/>
      <c r="G7" s="209"/>
    </row>
    <row r="8" spans="1:7" ht="17.399999999999999" thickTop="1">
      <c r="A8" s="213" t="s">
        <v>2</v>
      </c>
      <c r="B8" s="588">
        <f>16</f>
        <v>16</v>
      </c>
      <c r="C8" s="214" t="str">
        <f t="shared" ref="C8:C13" si="0">IF(B8&gt;9.9,CONCATENATE("+",ROUNDDOWN((B8-10)/2,0)),ROUNDUP((B8-10)/2,0))</f>
        <v>+3</v>
      </c>
      <c r="D8" s="215" t="s">
        <v>76</v>
      </c>
      <c r="E8" s="248" t="s">
        <v>196</v>
      </c>
      <c r="F8" s="212"/>
      <c r="G8" s="209"/>
    </row>
    <row r="9" spans="1:7" ht="16.8">
      <c r="A9" s="216" t="s">
        <v>3</v>
      </c>
      <c r="B9" s="589">
        <f>10+2</f>
        <v>12</v>
      </c>
      <c r="C9" s="217" t="str">
        <f t="shared" si="0"/>
        <v>+1</v>
      </c>
      <c r="D9" s="218" t="s">
        <v>77</v>
      </c>
      <c r="E9" s="219">
        <f>SUM(Martial!G3:G33,Equipment!C3:C15)</f>
        <v>101.2</v>
      </c>
      <c r="F9" s="212"/>
      <c r="G9" s="209"/>
    </row>
    <row r="10" spans="1:7" ht="16.8">
      <c r="A10" s="220" t="s">
        <v>14</v>
      </c>
      <c r="B10" s="221">
        <f>14-1</f>
        <v>13</v>
      </c>
      <c r="C10" s="222" t="str">
        <f t="shared" si="0"/>
        <v>+1</v>
      </c>
      <c r="D10" s="223" t="s">
        <v>16</v>
      </c>
      <c r="E10" s="247">
        <f>ROUNDUP(((E3*10)*0.75)+((E4*10)*0.75)+((E3+E4)*C10),0)+(E3+E4)+10</f>
        <v>115</v>
      </c>
      <c r="F10" s="212"/>
      <c r="G10" s="209"/>
    </row>
    <row r="11" spans="1:7" ht="16.8">
      <c r="A11" s="224" t="s">
        <v>15</v>
      </c>
      <c r="B11" s="221">
        <v>10</v>
      </c>
      <c r="C11" s="217" t="str">
        <f t="shared" si="0"/>
        <v>+0</v>
      </c>
      <c r="D11" s="226" t="s">
        <v>97</v>
      </c>
      <c r="E11" s="491">
        <f>10+C9</f>
        <v>11</v>
      </c>
      <c r="F11" s="204"/>
      <c r="G11" s="209"/>
    </row>
    <row r="12" spans="1:7" ht="16.8">
      <c r="A12" s="225" t="s">
        <v>17</v>
      </c>
      <c r="B12" s="589">
        <f>14+2</f>
        <v>16</v>
      </c>
      <c r="C12" s="217" t="str">
        <f t="shared" si="0"/>
        <v>+3</v>
      </c>
      <c r="D12" s="226" t="s">
        <v>195</v>
      </c>
      <c r="E12" s="491">
        <f>E13-C9</f>
        <v>24</v>
      </c>
      <c r="F12" s="212"/>
      <c r="G12" s="209"/>
    </row>
    <row r="13" spans="1:7" ht="17.399999999999999" thickBot="1">
      <c r="A13" s="227" t="s">
        <v>13</v>
      </c>
      <c r="B13" s="590">
        <f>14+2</f>
        <v>16</v>
      </c>
      <c r="C13" s="228" t="str">
        <f t="shared" si="0"/>
        <v>+3</v>
      </c>
      <c r="D13" s="229" t="s">
        <v>65</v>
      </c>
      <c r="E13" s="492">
        <f>E11+SUM(Martial!B26:B29)</f>
        <v>25</v>
      </c>
      <c r="F13" s="232"/>
      <c r="G13" s="233"/>
    </row>
    <row r="14" spans="1:7" ht="16.2" thickTop="1"/>
  </sheetData>
  <phoneticPr fontId="0" type="noConversion"/>
  <conditionalFormatting sqref="E9">
    <cfRule type="cellIs" dxfId="43" priority="4" stopIfTrue="1" operator="greaterThan">
      <formula>763</formula>
    </cfRule>
    <cfRule type="cellIs" dxfId="42" priority="5" stopIfTrue="1" operator="between">
      <formula>43</formula>
      <formula>86</formula>
    </cfRule>
  </conditionalFormatting>
  <hyperlinks>
    <hyperlink ref="G1" r:id="rId1" display="Played by Jed"/>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5.09765625" style="2" bestFit="1" customWidth="1"/>
    <col min="11" max="16384" width="13" style="1"/>
  </cols>
  <sheetData>
    <row r="1" spans="1:10" ht="23.4" thickBot="1">
      <c r="A1" s="90" t="s">
        <v>12</v>
      </c>
      <c r="B1" s="91"/>
      <c r="C1" s="91"/>
      <c r="D1" s="91"/>
      <c r="E1" s="91"/>
      <c r="F1" s="91"/>
      <c r="G1" s="92"/>
      <c r="H1" s="92"/>
      <c r="I1" s="92"/>
      <c r="J1" s="91"/>
    </row>
    <row r="2" spans="1:10" s="16" customFormat="1" ht="34.200000000000003" thickBot="1">
      <c r="A2" s="13" t="s">
        <v>282</v>
      </c>
      <c r="B2" s="14" t="s">
        <v>30</v>
      </c>
      <c r="C2" s="14" t="s">
        <v>37</v>
      </c>
      <c r="D2" s="14" t="s">
        <v>29</v>
      </c>
      <c r="E2" s="14" t="s">
        <v>63</v>
      </c>
      <c r="F2" s="14" t="s">
        <v>38</v>
      </c>
      <c r="G2" s="15" t="s">
        <v>69</v>
      </c>
      <c r="H2" s="10" t="s">
        <v>174</v>
      </c>
      <c r="I2" s="11" t="s">
        <v>87</v>
      </c>
      <c r="J2" s="12" t="s">
        <v>85</v>
      </c>
    </row>
    <row r="3" spans="1:10" s="4" customFormat="1" ht="16.8">
      <c r="A3" s="93" t="s">
        <v>71</v>
      </c>
      <c r="B3" s="94">
        <v>8</v>
      </c>
      <c r="C3" s="94" t="s">
        <v>32</v>
      </c>
      <c r="D3" s="95" t="str">
        <f>IF(C3="Str",'Personal File'!$C$8,IF(C3="Dex",'Personal File'!$C$9,IF(C3="Con",'Personal File'!$C$10,IF(C3="Int",'Personal File'!$C$11,IF(C3="Wis",'Personal File'!$C$12,IF(C3="Cha",'Personal File'!$C$13))))))</f>
        <v>+1</v>
      </c>
      <c r="E3" s="95" t="str">
        <f t="shared" ref="E3" si="0">CONCATENATE(C3," (",D3,")")</f>
        <v>Con (+1)</v>
      </c>
      <c r="F3" s="97">
        <f>'Personal File'!C$13+2</f>
        <v>5</v>
      </c>
      <c r="G3" s="97">
        <f t="shared" ref="G3:G43" si="1">B3+D3+F3</f>
        <v>14</v>
      </c>
      <c r="H3" s="98">
        <f t="shared" ref="H3:H5" ca="1" si="2">RANDBETWEEN(1,20)</f>
        <v>12</v>
      </c>
      <c r="I3" s="96">
        <f t="shared" ref="I3" ca="1" si="3">SUM(G3:H3)</f>
        <v>26</v>
      </c>
      <c r="J3" s="333" t="s">
        <v>270</v>
      </c>
    </row>
    <row r="4" spans="1:10" s="4" customFormat="1" ht="16.8">
      <c r="A4" s="99" t="s">
        <v>72</v>
      </c>
      <c r="B4" s="94">
        <v>2</v>
      </c>
      <c r="C4" s="94" t="s">
        <v>35</v>
      </c>
      <c r="D4" s="100" t="str">
        <f>IF(C4="Str",'Personal File'!$C$8,IF(C4="Dex",'Personal File'!$C$9,IF(C4="Con",'Personal File'!$C$10,IF(C4="Int",'Personal File'!$C$11,IF(C4="Wis",'Personal File'!$C$12,IF(C4="Cha",'Personal File'!$C$13))))))</f>
        <v>+1</v>
      </c>
      <c r="E4" s="101" t="str">
        <f t="shared" ref="E4:E5" si="4">CONCATENATE(C4," (",D4,")")</f>
        <v>Dex (+1)</v>
      </c>
      <c r="F4" s="97">
        <f>'Personal File'!C$13+2</f>
        <v>5</v>
      </c>
      <c r="G4" s="97">
        <f t="shared" si="1"/>
        <v>8</v>
      </c>
      <c r="H4" s="98">
        <f t="shared" ca="1" si="2"/>
        <v>15</v>
      </c>
      <c r="I4" s="102">
        <f t="shared" ref="I4:I43" ca="1" si="5">SUM(G4:H4)</f>
        <v>23</v>
      </c>
      <c r="J4" s="103"/>
    </row>
    <row r="5" spans="1:10" s="4" customFormat="1" ht="16.8">
      <c r="A5" s="104" t="s">
        <v>73</v>
      </c>
      <c r="B5" s="105">
        <v>5</v>
      </c>
      <c r="C5" s="105" t="s">
        <v>34</v>
      </c>
      <c r="D5" s="106" t="str">
        <f>IF(C5="Str",'Personal File'!$C$8,IF(C5="Dex",'Personal File'!$C$9,IF(C5="Con",'Personal File'!$C$10,IF(C5="Int",'Personal File'!$C$11,IF(C5="Wis",'Personal File'!$C$12,IF(C5="Cha",'Personal File'!$C$13))))))</f>
        <v>+3</v>
      </c>
      <c r="E5" s="107" t="str">
        <f t="shared" si="4"/>
        <v>Wis (+3)</v>
      </c>
      <c r="F5" s="109">
        <f>'Personal File'!C$13+2</f>
        <v>5</v>
      </c>
      <c r="G5" s="109">
        <f t="shared" si="1"/>
        <v>13</v>
      </c>
      <c r="H5" s="110">
        <f t="shared" ca="1" si="2"/>
        <v>2</v>
      </c>
      <c r="I5" s="108">
        <f t="shared" ca="1" si="5"/>
        <v>15</v>
      </c>
      <c r="J5" s="371" t="s">
        <v>270</v>
      </c>
    </row>
    <row r="6" spans="1:10" s="4" customFormat="1" ht="16.8">
      <c r="A6" s="111" t="s">
        <v>39</v>
      </c>
      <c r="B6" s="112">
        <v>0</v>
      </c>
      <c r="C6" s="113" t="s">
        <v>33</v>
      </c>
      <c r="D6" s="114" t="str">
        <f>IF(C6="Str",'Personal File'!$C$8,IF(C6="Dex",'Personal File'!$C$9,IF(C6="Con",'Personal File'!$C$10,IF(C6="Int",'Personal File'!$C$11,IF(C6="Wis",'Personal File'!$C$12,IF(C6="Cha",'Personal File'!$C$13))))))</f>
        <v>+0</v>
      </c>
      <c r="E6" s="114" t="str">
        <f t="shared" ref="E6" si="6">CONCATENATE(C6," (",D6,")")</f>
        <v>Int (+0)</v>
      </c>
      <c r="F6" s="115" t="s">
        <v>64</v>
      </c>
      <c r="G6" s="116">
        <f t="shared" si="1"/>
        <v>0</v>
      </c>
      <c r="H6" s="98">
        <f ca="1">RANDBETWEEN(1,20)</f>
        <v>11</v>
      </c>
      <c r="I6" s="102">
        <f t="shared" ca="1" si="5"/>
        <v>11</v>
      </c>
      <c r="J6" s="178"/>
    </row>
    <row r="7" spans="1:10" s="8" customFormat="1" ht="16.8">
      <c r="A7" s="117" t="s">
        <v>40</v>
      </c>
      <c r="B7" s="112">
        <v>0</v>
      </c>
      <c r="C7" s="118" t="s">
        <v>35</v>
      </c>
      <c r="D7" s="100" t="str">
        <f>IF(C7="Str",'Personal File'!$C$8,IF(C7="Dex",'Personal File'!$C$9,IF(C7="Con",'Personal File'!$C$10,IF(C7="Int",'Personal File'!$C$11,IF(C7="Wis",'Personal File'!$C$12,IF(C7="Cha",'Personal File'!$C$13))))))</f>
        <v>+1</v>
      </c>
      <c r="E7" s="100" t="str">
        <f t="shared" ref="E7:E43" si="7">CONCATENATE(C7," (",D7,")")</f>
        <v>Dex (+1)</v>
      </c>
      <c r="F7" s="487">
        <f>SUM(Martial!$D$26:$D$29)</f>
        <v>-5</v>
      </c>
      <c r="G7" s="116">
        <f t="shared" si="1"/>
        <v>-4</v>
      </c>
      <c r="H7" s="98">
        <f ca="1">RANDBETWEEN(1,20)</f>
        <v>9</v>
      </c>
      <c r="I7" s="102">
        <f t="shared" ca="1" si="5"/>
        <v>5</v>
      </c>
      <c r="J7" s="178"/>
    </row>
    <row r="8" spans="1:10" s="6" customFormat="1" ht="16.8">
      <c r="A8" s="135" t="s">
        <v>41</v>
      </c>
      <c r="B8" s="126">
        <v>8</v>
      </c>
      <c r="C8" s="136" t="s">
        <v>31</v>
      </c>
      <c r="D8" s="137" t="str">
        <f>IF(C8="Str",'Personal File'!$C$8,IF(C8="Dex",'Personal File'!$C$9,IF(C8="Con",'Personal File'!$C$10,IF(C8="Int",'Personal File'!$C$11,IF(C8="Wis",'Personal File'!$C$12,IF(C8="Cha",'Personal File'!$C$13))))))</f>
        <v>+3</v>
      </c>
      <c r="E8" s="138" t="str">
        <f t="shared" si="7"/>
        <v>Cha (+3)</v>
      </c>
      <c r="F8" s="127" t="s">
        <v>64</v>
      </c>
      <c r="G8" s="127">
        <f t="shared" si="1"/>
        <v>11</v>
      </c>
      <c r="H8" s="98">
        <f t="shared" ref="H8:H43" ca="1" si="8">RANDBETWEEN(1,20)</f>
        <v>18</v>
      </c>
      <c r="I8" s="591">
        <f t="shared" ca="1" si="5"/>
        <v>29</v>
      </c>
      <c r="J8" s="458"/>
    </row>
    <row r="9" spans="1:10" s="5" customFormat="1" ht="16.8">
      <c r="A9" s="123" t="s">
        <v>42</v>
      </c>
      <c r="B9" s="112">
        <v>0</v>
      </c>
      <c r="C9" s="124" t="s">
        <v>36</v>
      </c>
      <c r="D9" s="125" t="str">
        <f>IF(C9="Str",'Personal File'!$C$8,IF(C9="Dex",'Personal File'!$C$9,IF(C9="Con",'Personal File'!$C$10,IF(C9="Int",'Personal File'!$C$11,IF(C9="Wis",'Personal File'!$C$12,IF(C9="Cha",'Personal File'!$C$13))))))</f>
        <v>+3</v>
      </c>
      <c r="E9" s="125" t="str">
        <f t="shared" si="7"/>
        <v>Str (+3)</v>
      </c>
      <c r="F9" s="487">
        <f>SUM(Martial!$D$26:$D$29)</f>
        <v>-5</v>
      </c>
      <c r="G9" s="116">
        <f t="shared" si="1"/>
        <v>-2</v>
      </c>
      <c r="H9" s="98">
        <f t="shared" ca="1" si="8"/>
        <v>9</v>
      </c>
      <c r="I9" s="102">
        <f t="shared" ca="1" si="5"/>
        <v>7</v>
      </c>
      <c r="J9" s="178"/>
    </row>
    <row r="10" spans="1:10" s="5" customFormat="1" ht="16.8">
      <c r="A10" s="262" t="s">
        <v>18</v>
      </c>
      <c r="B10" s="112">
        <v>0</v>
      </c>
      <c r="C10" s="263" t="s">
        <v>32</v>
      </c>
      <c r="D10" s="95" t="str">
        <f>IF(C10="Str",'Personal File'!$C$8,IF(C10="Dex",'Personal File'!$C$9,IF(C10="Con",'Personal File'!$C$10,IF(C10="Int",'Personal File'!$C$11,IF(C10="Wis",'Personal File'!$C$12,IF(C10="Cha",'Personal File'!$C$13))))))</f>
        <v>+1</v>
      </c>
      <c r="E10" s="95" t="str">
        <f t="shared" si="7"/>
        <v>Con (+1)</v>
      </c>
      <c r="F10" s="116" t="s">
        <v>64</v>
      </c>
      <c r="G10" s="116">
        <f t="shared" si="1"/>
        <v>1</v>
      </c>
      <c r="H10" s="98">
        <f t="shared" ca="1" si="8"/>
        <v>1</v>
      </c>
      <c r="I10" s="102">
        <f t="shared" ca="1" si="5"/>
        <v>2</v>
      </c>
      <c r="J10" s="178"/>
    </row>
    <row r="11" spans="1:10" s="4" customFormat="1" ht="16.8">
      <c r="A11" s="111" t="s">
        <v>91</v>
      </c>
      <c r="B11" s="112">
        <v>0</v>
      </c>
      <c r="C11" s="113" t="s">
        <v>33</v>
      </c>
      <c r="D11" s="114" t="str">
        <f>IF(C11="Str",'Personal File'!$C$8,IF(C11="Dex",'Personal File'!$C$9,IF(C11="Con",'Personal File'!$C$10,IF(C11="Int",'Personal File'!$C$11,IF(C11="Wis",'Personal File'!$C$12,IF(C11="Cha",'Personal File'!$C$13))))))</f>
        <v>+0</v>
      </c>
      <c r="E11" s="114" t="str">
        <f t="shared" si="7"/>
        <v>Int (+0)</v>
      </c>
      <c r="F11" s="116" t="s">
        <v>64</v>
      </c>
      <c r="G11" s="116">
        <f t="shared" si="1"/>
        <v>0</v>
      </c>
      <c r="H11" s="98">
        <f t="shared" ca="1" si="8"/>
        <v>6</v>
      </c>
      <c r="I11" s="102">
        <f t="shared" ca="1" si="5"/>
        <v>6</v>
      </c>
      <c r="J11" s="178"/>
    </row>
    <row r="12" spans="1:10" s="7" customFormat="1" ht="16.8">
      <c r="A12" s="129" t="s">
        <v>43</v>
      </c>
      <c r="B12" s="130">
        <v>0</v>
      </c>
      <c r="C12" s="131" t="s">
        <v>33</v>
      </c>
      <c r="D12" s="132" t="str">
        <f>IF(C12="Str",'Personal File'!$C$8,IF(C12="Dex",'Personal File'!$C$9,IF(C12="Con",'Personal File'!$C$10,IF(C12="Int",'Personal File'!$C$11,IF(C12="Wis",'Personal File'!$C$12,IF(C12="Cha",'Personal File'!$C$13))))))</f>
        <v>+0</v>
      </c>
      <c r="E12" s="132" t="str">
        <f t="shared" si="7"/>
        <v>Int (+0)</v>
      </c>
      <c r="F12" s="133" t="s">
        <v>64</v>
      </c>
      <c r="G12" s="133">
        <f t="shared" si="1"/>
        <v>0</v>
      </c>
      <c r="H12" s="98">
        <f t="shared" ca="1" si="8"/>
        <v>18</v>
      </c>
      <c r="I12" s="133">
        <f t="shared" ca="1" si="5"/>
        <v>18</v>
      </c>
      <c r="J12" s="457"/>
    </row>
    <row r="13" spans="1:10" s="8" customFormat="1" ht="16.8">
      <c r="A13" s="119" t="s">
        <v>44</v>
      </c>
      <c r="B13" s="112">
        <v>0</v>
      </c>
      <c r="C13" s="120" t="s">
        <v>31</v>
      </c>
      <c r="D13" s="121" t="str">
        <f>IF(C13="Str",'Personal File'!$C$8,IF(C13="Dex",'Personal File'!$C$9,IF(C13="Con",'Personal File'!$C$10,IF(C13="Int",'Personal File'!$C$11,IF(C13="Wis",'Personal File'!$C$12,IF(C13="Cha",'Personal File'!$C$13))))))</f>
        <v>+3</v>
      </c>
      <c r="E13" s="122" t="str">
        <f t="shared" si="7"/>
        <v>Cha (+3)</v>
      </c>
      <c r="F13" s="116" t="s">
        <v>165</v>
      </c>
      <c r="G13" s="116">
        <f t="shared" si="1"/>
        <v>5</v>
      </c>
      <c r="H13" s="98">
        <f t="shared" ca="1" si="8"/>
        <v>8</v>
      </c>
      <c r="I13" s="116">
        <f t="shared" ca="1" si="5"/>
        <v>13</v>
      </c>
      <c r="J13" s="178"/>
    </row>
    <row r="14" spans="1:10" s="8" customFormat="1" ht="16.8">
      <c r="A14" s="129" t="s">
        <v>45</v>
      </c>
      <c r="B14" s="130">
        <v>0</v>
      </c>
      <c r="C14" s="131" t="s">
        <v>33</v>
      </c>
      <c r="D14" s="132" t="str">
        <f>IF(C14="Str",'Personal File'!$C$8,IF(C14="Dex",'Personal File'!$C$9,IF(C14="Con",'Personal File'!$C$10,IF(C14="Int",'Personal File'!$C$11,IF(C14="Wis",'Personal File'!$C$12,IF(C14="Cha",'Personal File'!$C$13))))))</f>
        <v>+0</v>
      </c>
      <c r="E14" s="132" t="str">
        <f t="shared" si="7"/>
        <v>Int (+0)</v>
      </c>
      <c r="F14" s="133" t="s">
        <v>64</v>
      </c>
      <c r="G14" s="133">
        <f t="shared" si="1"/>
        <v>0</v>
      </c>
      <c r="H14" s="98">
        <f t="shared" ca="1" si="8"/>
        <v>2</v>
      </c>
      <c r="I14" s="133">
        <f t="shared" ca="1" si="5"/>
        <v>2</v>
      </c>
      <c r="J14" s="457"/>
    </row>
    <row r="15" spans="1:10" s="8" customFormat="1" ht="16.8">
      <c r="A15" s="119" t="s">
        <v>46</v>
      </c>
      <c r="B15" s="112">
        <v>0</v>
      </c>
      <c r="C15" s="120" t="s">
        <v>31</v>
      </c>
      <c r="D15" s="121" t="str">
        <f>IF(C15="Str",'Personal File'!$C$8,IF(C15="Dex",'Personal File'!$C$9,IF(C15="Con",'Personal File'!$C$10,IF(C15="Int",'Personal File'!$C$11,IF(C15="Wis",'Personal File'!$C$12,IF(C15="Cha",'Personal File'!$C$13))))))</f>
        <v>+3</v>
      </c>
      <c r="E15" s="122" t="str">
        <f t="shared" si="7"/>
        <v>Cha (+3)</v>
      </c>
      <c r="F15" s="116" t="s">
        <v>64</v>
      </c>
      <c r="G15" s="116">
        <f t="shared" si="1"/>
        <v>3</v>
      </c>
      <c r="H15" s="98">
        <f t="shared" ca="1" si="8"/>
        <v>11</v>
      </c>
      <c r="I15" s="116">
        <f t="shared" ca="1" si="5"/>
        <v>14</v>
      </c>
      <c r="J15" s="268"/>
    </row>
    <row r="16" spans="1:10" s="8" customFormat="1" ht="16.8">
      <c r="A16" s="117" t="s">
        <v>47</v>
      </c>
      <c r="B16" s="112">
        <v>0</v>
      </c>
      <c r="C16" s="118" t="s">
        <v>35</v>
      </c>
      <c r="D16" s="100" t="str">
        <f>IF(C16="Str",'Personal File'!$C$8,IF(C16="Dex",'Personal File'!$C$9,IF(C16="Con",'Personal File'!$C$10,IF(C16="Int",'Personal File'!$C$11,IF(C16="Wis",'Personal File'!$C$12,IF(C16="Cha",'Personal File'!$C$13))))))</f>
        <v>+1</v>
      </c>
      <c r="E16" s="101" t="str">
        <f t="shared" si="7"/>
        <v>Dex (+1)</v>
      </c>
      <c r="F16" s="487">
        <f>SUM(Martial!$D$26:$D$29)</f>
        <v>-5</v>
      </c>
      <c r="G16" s="116">
        <f t="shared" si="1"/>
        <v>-4</v>
      </c>
      <c r="H16" s="98">
        <f t="shared" ca="1" si="8"/>
        <v>15</v>
      </c>
      <c r="I16" s="116">
        <f t="shared" ca="1" si="5"/>
        <v>11</v>
      </c>
      <c r="J16" s="178"/>
    </row>
    <row r="17" spans="1:10" s="8" customFormat="1" ht="16.8">
      <c r="A17" s="140" t="s">
        <v>48</v>
      </c>
      <c r="B17" s="141">
        <v>0</v>
      </c>
      <c r="C17" s="142" t="s">
        <v>33</v>
      </c>
      <c r="D17" s="143" t="str">
        <f>IF(C17="Str",'Personal File'!$C$8,IF(C17="Dex",'Personal File'!$C$9,IF(C17="Con",'Personal File'!$C$10,IF(C17="Int",'Personal File'!$C$11,IF(C17="Wis",'Personal File'!$C$12,IF(C17="Cha",'Personal File'!$C$13))))))</f>
        <v>+0</v>
      </c>
      <c r="E17" s="143" t="str">
        <f t="shared" si="7"/>
        <v>Int (+0)</v>
      </c>
      <c r="F17" s="144" t="s">
        <v>64</v>
      </c>
      <c r="G17" s="144">
        <f t="shared" si="1"/>
        <v>0</v>
      </c>
      <c r="H17" s="98">
        <f t="shared" ca="1" si="8"/>
        <v>5</v>
      </c>
      <c r="I17" s="144">
        <f t="shared" ca="1" si="5"/>
        <v>5</v>
      </c>
      <c r="J17" s="459"/>
    </row>
    <row r="18" spans="1:10" s="8" customFormat="1" ht="16.8">
      <c r="A18" s="119" t="s">
        <v>49</v>
      </c>
      <c r="B18" s="112">
        <v>0</v>
      </c>
      <c r="C18" s="120" t="s">
        <v>31</v>
      </c>
      <c r="D18" s="121" t="str">
        <f>IF(C18="Str",'Personal File'!$C$8,IF(C18="Dex",'Personal File'!$C$9,IF(C18="Con",'Personal File'!$C$10,IF(C18="Int",'Personal File'!$C$11,IF(C18="Wis",'Personal File'!$C$12,IF(C18="Cha",'Personal File'!$C$13))))))</f>
        <v>+3</v>
      </c>
      <c r="E18" s="122" t="str">
        <f t="shared" si="7"/>
        <v>Cha (+3)</v>
      </c>
      <c r="F18" s="116" t="s">
        <v>64</v>
      </c>
      <c r="G18" s="116">
        <f t="shared" si="1"/>
        <v>3</v>
      </c>
      <c r="H18" s="98">
        <f t="shared" ca="1" si="8"/>
        <v>16</v>
      </c>
      <c r="I18" s="116">
        <f t="shared" ca="1" si="5"/>
        <v>19</v>
      </c>
      <c r="J18" s="178"/>
    </row>
    <row r="19" spans="1:10" s="8" customFormat="1" ht="16.8">
      <c r="A19" s="119" t="s">
        <v>20</v>
      </c>
      <c r="B19" s="112">
        <v>0</v>
      </c>
      <c r="C19" s="120" t="s">
        <v>31</v>
      </c>
      <c r="D19" s="121" t="str">
        <f>IF(C19="Str",'Personal File'!$C$8,IF(C19="Dex",'Personal File'!$C$9,IF(C19="Con",'Personal File'!$C$10,IF(C19="Int",'Personal File'!$C$11,IF(C19="Wis",'Personal File'!$C$12,IF(C19="Cha",'Personal File'!$C$13))))))</f>
        <v>+3</v>
      </c>
      <c r="E19" s="121" t="str">
        <f t="shared" si="7"/>
        <v>Cha (+3)</v>
      </c>
      <c r="F19" s="116" t="s">
        <v>64</v>
      </c>
      <c r="G19" s="116">
        <f t="shared" si="1"/>
        <v>3</v>
      </c>
      <c r="H19" s="98">
        <f t="shared" ca="1" si="8"/>
        <v>10</v>
      </c>
      <c r="I19" s="116">
        <f t="shared" ca="1" si="5"/>
        <v>13</v>
      </c>
      <c r="J19" s="178"/>
    </row>
    <row r="20" spans="1:10" s="8" customFormat="1" ht="16.8">
      <c r="A20" s="519" t="s">
        <v>50</v>
      </c>
      <c r="B20" s="126">
        <v>9</v>
      </c>
      <c r="C20" s="520" t="s">
        <v>34</v>
      </c>
      <c r="D20" s="521" t="str">
        <f>IF(C20="Str",'Personal File'!$C$8,IF(C20="Dex",'Personal File'!$C$9,IF(C20="Con",'Personal File'!$C$10,IF(C20="Int",'Personal File'!$C$11,IF(C20="Wis",'Personal File'!$C$12,IF(C20="Cha",'Personal File'!$C$13))))))</f>
        <v>+3</v>
      </c>
      <c r="E20" s="521" t="str">
        <f t="shared" si="7"/>
        <v>Wis (+3)</v>
      </c>
      <c r="F20" s="127" t="s">
        <v>64</v>
      </c>
      <c r="G20" s="127">
        <f t="shared" si="1"/>
        <v>12</v>
      </c>
      <c r="H20" s="98">
        <f t="shared" ca="1" si="8"/>
        <v>20</v>
      </c>
      <c r="I20" s="127">
        <f t="shared" ca="1" si="5"/>
        <v>32</v>
      </c>
      <c r="J20" s="458"/>
    </row>
    <row r="21" spans="1:10" s="8" customFormat="1" ht="16.8">
      <c r="A21" s="117" t="s">
        <v>51</v>
      </c>
      <c r="B21" s="112">
        <v>0</v>
      </c>
      <c r="C21" s="118" t="s">
        <v>35</v>
      </c>
      <c r="D21" s="100" t="str">
        <f>IF(C21="Str",'Personal File'!$C$8,IF(C21="Dex",'Personal File'!$C$9,IF(C21="Con",'Personal File'!$C$10,IF(C21="Int",'Personal File'!$C$11,IF(C21="Wis",'Personal File'!$C$12,IF(C21="Cha",'Personal File'!$C$13))))))</f>
        <v>+1</v>
      </c>
      <c r="E21" s="100" t="str">
        <f t="shared" si="7"/>
        <v>Dex (+1)</v>
      </c>
      <c r="F21" s="487">
        <f>SUM(Martial!$D$26:$D$29)</f>
        <v>-5</v>
      </c>
      <c r="G21" s="116">
        <f t="shared" si="1"/>
        <v>-4</v>
      </c>
      <c r="H21" s="98">
        <f t="shared" ca="1" si="8"/>
        <v>9</v>
      </c>
      <c r="I21" s="116">
        <f t="shared" ca="1" si="5"/>
        <v>5</v>
      </c>
      <c r="J21" s="459"/>
    </row>
    <row r="22" spans="1:10" s="8" customFormat="1" ht="16.8">
      <c r="A22" s="148" t="s">
        <v>52</v>
      </c>
      <c r="B22" s="141">
        <v>0</v>
      </c>
      <c r="C22" s="149" t="s">
        <v>31</v>
      </c>
      <c r="D22" s="150" t="str">
        <f>IF(C22="Str",'Personal File'!$C$8,IF(C22="Dex",'Personal File'!$C$9,IF(C22="Con",'Personal File'!$C$10,IF(C22="Int",'Personal File'!$C$11,IF(C22="Wis",'Personal File'!$C$12,IF(C22="Cha",'Personal File'!$C$13))))))</f>
        <v>+3</v>
      </c>
      <c r="E22" s="151" t="str">
        <f t="shared" si="7"/>
        <v>Cha (+3)</v>
      </c>
      <c r="F22" s="144" t="s">
        <v>64</v>
      </c>
      <c r="G22" s="144">
        <f t="shared" si="1"/>
        <v>3</v>
      </c>
      <c r="H22" s="98">
        <f t="shared" ca="1" si="8"/>
        <v>12</v>
      </c>
      <c r="I22" s="144">
        <f t="shared" ca="1" si="5"/>
        <v>15</v>
      </c>
      <c r="J22" s="459"/>
    </row>
    <row r="23" spans="1:10" s="8" customFormat="1" ht="16.8">
      <c r="A23" s="123" t="s">
        <v>53</v>
      </c>
      <c r="B23" s="112">
        <v>0</v>
      </c>
      <c r="C23" s="124" t="s">
        <v>36</v>
      </c>
      <c r="D23" s="125" t="str">
        <f>IF(C23="Str",'Personal File'!$C$8,IF(C23="Dex",'Personal File'!$C$9,IF(C23="Con",'Personal File'!$C$10,IF(C23="Int",'Personal File'!$C$11,IF(C23="Wis",'Personal File'!$C$12,IF(C23="Cha",'Personal File'!$C$13))))))</f>
        <v>+3</v>
      </c>
      <c r="E23" s="125" t="str">
        <f t="shared" si="7"/>
        <v>Str (+3)</v>
      </c>
      <c r="F23" s="487">
        <f>SUM(Martial!$D$26:$D$29)</f>
        <v>-5</v>
      </c>
      <c r="G23" s="116">
        <f t="shared" si="1"/>
        <v>-2</v>
      </c>
      <c r="H23" s="98">
        <f t="shared" ca="1" si="8"/>
        <v>8</v>
      </c>
      <c r="I23" s="116">
        <f t="shared" ca="1" si="5"/>
        <v>6</v>
      </c>
      <c r="J23" s="178"/>
    </row>
    <row r="24" spans="1:10" s="8" customFormat="1" ht="16.8">
      <c r="A24" s="152" t="s">
        <v>285</v>
      </c>
      <c r="B24" s="126">
        <v>4</v>
      </c>
      <c r="C24" s="153" t="s">
        <v>33</v>
      </c>
      <c r="D24" s="154" t="str">
        <f>IF(C24="Str",'Personal File'!$C$8,IF(C24="Dex",'Personal File'!$C$9,IF(C24="Con",'Personal File'!$C$10,IF(C24="Int",'Personal File'!$C$11,IF(C24="Wis",'Personal File'!$C$12,IF(C24="Cha",'Personal File'!$C$13))))))</f>
        <v>+0</v>
      </c>
      <c r="E24" s="154" t="str">
        <f>CONCATENATE(C24," (",D24,")")</f>
        <v>Int (+0)</v>
      </c>
      <c r="F24" s="127" t="s">
        <v>64</v>
      </c>
      <c r="G24" s="127">
        <f t="shared" si="1"/>
        <v>4</v>
      </c>
      <c r="H24" s="98">
        <f t="shared" ca="1" si="8"/>
        <v>12</v>
      </c>
      <c r="I24" s="127">
        <f t="shared" ca="1" si="5"/>
        <v>16</v>
      </c>
      <c r="J24" s="128" t="s">
        <v>298</v>
      </c>
    </row>
    <row r="25" spans="1:10" s="8" customFormat="1" ht="16.8">
      <c r="A25" s="152" t="s">
        <v>203</v>
      </c>
      <c r="B25" s="126">
        <v>1</v>
      </c>
      <c r="C25" s="153" t="s">
        <v>33</v>
      </c>
      <c r="D25" s="154" t="str">
        <f>IF(C25="Str",'Personal File'!$C$8,IF(C25="Dex",'Personal File'!$C$9,IF(C25="Con",'Personal File'!$C$10,IF(C25="Int",'Personal File'!$C$11,IF(C25="Wis",'Personal File'!$C$12,IF(C25="Cha",'Personal File'!$C$13))))))</f>
        <v>+0</v>
      </c>
      <c r="E25" s="154" t="str">
        <f>CONCATENATE(C25," (",D25,")")</f>
        <v>Int (+0)</v>
      </c>
      <c r="F25" s="127" t="s">
        <v>64</v>
      </c>
      <c r="G25" s="127">
        <f t="shared" ref="G25" si="9">B25+D25+F25</f>
        <v>1</v>
      </c>
      <c r="H25" s="98">
        <f t="shared" ca="1" si="8"/>
        <v>17</v>
      </c>
      <c r="I25" s="127">
        <f t="shared" ref="I25" ca="1" si="10">SUM(G25:H25)</f>
        <v>18</v>
      </c>
      <c r="J25" s="128"/>
    </row>
    <row r="26" spans="1:10" s="8" customFormat="1" ht="16.8">
      <c r="A26" s="152" t="s">
        <v>93</v>
      </c>
      <c r="B26" s="126">
        <v>8</v>
      </c>
      <c r="C26" s="153" t="s">
        <v>33</v>
      </c>
      <c r="D26" s="154" t="str">
        <f>IF(C26="Str",'Personal File'!$C$8,IF(C26="Dex",'Personal File'!$C$9,IF(C26="Con",'Personal File'!$C$10,IF(C26="Int",'Personal File'!$C$11,IF(C26="Wis",'Personal File'!$C$12,IF(C26="Cha",'Personal File'!$C$13))))))</f>
        <v>+0</v>
      </c>
      <c r="E26" s="154" t="str">
        <f>CONCATENATE(C26," (",D26,")")</f>
        <v>Int (+0)</v>
      </c>
      <c r="F26" s="127" t="s">
        <v>64</v>
      </c>
      <c r="G26" s="127">
        <f t="shared" ref="G26" si="11">B26+D26+F26</f>
        <v>8</v>
      </c>
      <c r="H26" s="98">
        <f t="shared" ca="1" si="8"/>
        <v>3</v>
      </c>
      <c r="I26" s="127">
        <f t="shared" ref="I26" ca="1" si="12">SUM(G26:H26)</f>
        <v>11</v>
      </c>
      <c r="J26" s="128"/>
    </row>
    <row r="27" spans="1:10" s="8" customFormat="1" ht="16.8">
      <c r="A27" s="145" t="s">
        <v>54</v>
      </c>
      <c r="B27" s="112">
        <v>0</v>
      </c>
      <c r="C27" s="146" t="s">
        <v>34</v>
      </c>
      <c r="D27" s="147" t="str">
        <f>IF(C27="Str",'Personal File'!$C$8,IF(C27="Dex",'Personal File'!$C$9,IF(C27="Con",'Personal File'!$C$10,IF(C27="Int",'Personal File'!$C$11,IF(C27="Wis",'Personal File'!$C$12,IF(C27="Cha",'Personal File'!$C$13))))))</f>
        <v>+3</v>
      </c>
      <c r="E27" s="155" t="str">
        <f t="shared" si="7"/>
        <v>Wis (+3)</v>
      </c>
      <c r="F27" s="116" t="s">
        <v>64</v>
      </c>
      <c r="G27" s="116">
        <f t="shared" si="1"/>
        <v>3</v>
      </c>
      <c r="H27" s="98">
        <f t="shared" ca="1" si="8"/>
        <v>9</v>
      </c>
      <c r="I27" s="116">
        <f t="shared" ca="1" si="5"/>
        <v>12</v>
      </c>
      <c r="J27" s="103"/>
    </row>
    <row r="28" spans="1:10" s="8" customFormat="1" ht="16.8">
      <c r="A28" s="117" t="s">
        <v>21</v>
      </c>
      <c r="B28" s="112">
        <v>0</v>
      </c>
      <c r="C28" s="118" t="s">
        <v>35</v>
      </c>
      <c r="D28" s="100" t="str">
        <f>IF(C28="Str",'Personal File'!$C$8,IF(C28="Dex",'Personal File'!$C$9,IF(C28="Con",'Personal File'!$C$10,IF(C28="Int",'Personal File'!$C$11,IF(C28="Wis",'Personal File'!$C$12,IF(C28="Cha",'Personal File'!$C$13))))))</f>
        <v>+1</v>
      </c>
      <c r="E28" s="100" t="str">
        <f t="shared" si="7"/>
        <v>Dex (+1)</v>
      </c>
      <c r="F28" s="487">
        <f>SUM(Martial!$D$26:$D$29)</f>
        <v>-5</v>
      </c>
      <c r="G28" s="116">
        <f t="shared" si="1"/>
        <v>-4</v>
      </c>
      <c r="H28" s="98">
        <f t="shared" ca="1" si="8"/>
        <v>10</v>
      </c>
      <c r="I28" s="116">
        <f t="shared" ca="1" si="5"/>
        <v>6</v>
      </c>
      <c r="J28" s="103"/>
    </row>
    <row r="29" spans="1:10" s="8" customFormat="1" ht="16.8">
      <c r="A29" s="156" t="s">
        <v>55</v>
      </c>
      <c r="B29" s="130">
        <v>0</v>
      </c>
      <c r="C29" s="157" t="s">
        <v>35</v>
      </c>
      <c r="D29" s="158" t="str">
        <f>IF(C29="Str",'Personal File'!$C$8,IF(C29="Dex",'Personal File'!$C$9,IF(C29="Con",'Personal File'!$C$10,IF(C29="Int",'Personal File'!$C$11,IF(C29="Wis",'Personal File'!$C$12,IF(C29="Cha",'Personal File'!$C$13))))))</f>
        <v>+1</v>
      </c>
      <c r="E29" s="158" t="str">
        <f t="shared" si="7"/>
        <v>Dex (+1)</v>
      </c>
      <c r="F29" s="133" t="s">
        <v>64</v>
      </c>
      <c r="G29" s="133">
        <f t="shared" si="1"/>
        <v>1</v>
      </c>
      <c r="H29" s="98">
        <f t="shared" ca="1" si="8"/>
        <v>15</v>
      </c>
      <c r="I29" s="133">
        <f t="shared" ca="1" si="5"/>
        <v>16</v>
      </c>
      <c r="J29" s="134"/>
    </row>
    <row r="30" spans="1:10" ht="16.8">
      <c r="A30" s="119" t="s">
        <v>94</v>
      </c>
      <c r="B30" s="112">
        <v>0</v>
      </c>
      <c r="C30" s="120" t="s">
        <v>31</v>
      </c>
      <c r="D30" s="121" t="str">
        <f>IF(C30="Str",'Personal File'!$C$8,IF(C30="Dex",'Personal File'!$C$9,IF(C30="Con",'Personal File'!$C$10,IF(C30="Int",'Personal File'!$C$11,IF(C30="Wis",'Personal File'!$C$12,IF(C30="Cha",'Personal File'!$C$13))))))</f>
        <v>+3</v>
      </c>
      <c r="E30" s="121" t="str">
        <f t="shared" si="7"/>
        <v>Cha (+3)</v>
      </c>
      <c r="F30" s="116" t="s">
        <v>64</v>
      </c>
      <c r="G30" s="116">
        <f t="shared" si="1"/>
        <v>3</v>
      </c>
      <c r="H30" s="98">
        <f t="shared" ca="1" si="8"/>
        <v>17</v>
      </c>
      <c r="I30" s="116">
        <f t="shared" ca="1" si="5"/>
        <v>20</v>
      </c>
      <c r="J30" s="103"/>
    </row>
    <row r="31" spans="1:10" ht="16.8">
      <c r="A31" s="159" t="s">
        <v>56</v>
      </c>
      <c r="B31" s="130">
        <v>0</v>
      </c>
      <c r="C31" s="160" t="s">
        <v>34</v>
      </c>
      <c r="D31" s="161" t="str">
        <f>IF(C31="Str",'Personal File'!$C$8,IF(C31="Dex",'Personal File'!$C$9,IF(C31="Con",'Personal File'!$C$10,IF(C31="Int",'Personal File'!$C$11,IF(C31="Wis",'Personal File'!$C$12,IF(C31="Cha",'Personal File'!$C$13))))))</f>
        <v>+3</v>
      </c>
      <c r="E31" s="161" t="str">
        <f t="shared" si="7"/>
        <v>Wis (+3)</v>
      </c>
      <c r="F31" s="133" t="s">
        <v>64</v>
      </c>
      <c r="G31" s="133">
        <f t="shared" si="1"/>
        <v>3</v>
      </c>
      <c r="H31" s="98">
        <f t="shared" ca="1" si="8"/>
        <v>5</v>
      </c>
      <c r="I31" s="133">
        <f t="shared" ca="1" si="5"/>
        <v>8</v>
      </c>
      <c r="J31" s="134"/>
    </row>
    <row r="32" spans="1:10" ht="16.8">
      <c r="A32" s="162" t="s">
        <v>22</v>
      </c>
      <c r="B32" s="163">
        <v>2</v>
      </c>
      <c r="C32" s="164" t="s">
        <v>35</v>
      </c>
      <c r="D32" s="165" t="str">
        <f>IF(C32="Str",'Personal File'!$C$8,IF(C32="Dex",'Personal File'!$C$9,IF(C32="Con",'Personal File'!$C$10,IF(C32="Int",'Personal File'!$C$11,IF(C32="Wis",'Personal File'!$C$12,IF(C32="Cha",'Personal File'!$C$13))))))</f>
        <v>+1</v>
      </c>
      <c r="E32" s="166" t="str">
        <f t="shared" si="7"/>
        <v>Dex (+1)</v>
      </c>
      <c r="F32" s="167" t="s">
        <v>64</v>
      </c>
      <c r="G32" s="167">
        <f t="shared" si="1"/>
        <v>3</v>
      </c>
      <c r="H32" s="98">
        <f t="shared" ca="1" si="8"/>
        <v>19</v>
      </c>
      <c r="I32" s="167">
        <f t="shared" ca="1" si="5"/>
        <v>22</v>
      </c>
      <c r="J32" s="587" t="s">
        <v>365</v>
      </c>
    </row>
    <row r="33" spans="1:10" ht="16.8">
      <c r="A33" s="111" t="s">
        <v>23</v>
      </c>
      <c r="B33" s="112">
        <v>0</v>
      </c>
      <c r="C33" s="113" t="s">
        <v>33</v>
      </c>
      <c r="D33" s="114" t="str">
        <f>IF(C33="Str",'Personal File'!$C$8,IF(C33="Dex",'Personal File'!$C$9,IF(C33="Con",'Personal File'!$C$10,IF(C33="Int",'Personal File'!$C$11,IF(C33="Wis",'Personal File'!$C$12,IF(C33="Cha",'Personal File'!$C$13))))))</f>
        <v>+0</v>
      </c>
      <c r="E33" s="114" t="str">
        <f t="shared" si="7"/>
        <v>Int (+0)</v>
      </c>
      <c r="F33" s="116" t="s">
        <v>64</v>
      </c>
      <c r="G33" s="116">
        <f t="shared" si="1"/>
        <v>0</v>
      </c>
      <c r="H33" s="98">
        <f t="shared" ca="1" si="8"/>
        <v>10</v>
      </c>
      <c r="I33" s="116">
        <f t="shared" ca="1" si="5"/>
        <v>10</v>
      </c>
      <c r="J33" s="103"/>
    </row>
    <row r="34" spans="1:10" ht="16.8">
      <c r="A34" s="169" t="s">
        <v>57</v>
      </c>
      <c r="B34" s="163">
        <v>5</v>
      </c>
      <c r="C34" s="170" t="s">
        <v>34</v>
      </c>
      <c r="D34" s="171" t="str">
        <f>IF(C34="Str",'Personal File'!$C$8,IF(C34="Dex",'Personal File'!$C$9,IF(C34="Con",'Personal File'!$C$10,IF(C34="Int",'Personal File'!$C$11,IF(C34="Wis",'Personal File'!$C$12,IF(C34="Cha",'Personal File'!$C$13))))))</f>
        <v>+3</v>
      </c>
      <c r="E34" s="171" t="str">
        <f t="shared" si="7"/>
        <v>Wis (+3)</v>
      </c>
      <c r="F34" s="167" t="s">
        <v>64</v>
      </c>
      <c r="G34" s="167">
        <f t="shared" si="1"/>
        <v>8</v>
      </c>
      <c r="H34" s="98">
        <f t="shared" ca="1" si="8"/>
        <v>2</v>
      </c>
      <c r="I34" s="167">
        <f t="shared" ca="1" si="5"/>
        <v>10</v>
      </c>
      <c r="J34" s="168"/>
    </row>
    <row r="35" spans="1:10" ht="16.8">
      <c r="A35" s="156" t="s">
        <v>95</v>
      </c>
      <c r="B35" s="130">
        <v>0</v>
      </c>
      <c r="C35" s="157" t="s">
        <v>35</v>
      </c>
      <c r="D35" s="158" t="str">
        <f>IF(C35="Str",'Personal File'!$C$8,IF(C35="Dex",'Personal File'!$C$9,IF(C35="Con",'Personal File'!$C$10,IF(C35="Int",'Personal File'!$C$11,IF(C35="Wis",'Personal File'!$C$12,IF(C35="Cha",'Personal File'!$C$13))))))</f>
        <v>+1</v>
      </c>
      <c r="E35" s="158" t="str">
        <f t="shared" si="7"/>
        <v>Dex (+1)</v>
      </c>
      <c r="F35" s="176">
        <f>SUM(Martial!$D$26:$D$29)</f>
        <v>-5</v>
      </c>
      <c r="G35" s="133">
        <f t="shared" si="1"/>
        <v>-4</v>
      </c>
      <c r="H35" s="98">
        <f t="shared" ca="1" si="8"/>
        <v>17</v>
      </c>
      <c r="I35" s="133">
        <f t="shared" ca="1" si="5"/>
        <v>13</v>
      </c>
      <c r="J35" s="134"/>
    </row>
    <row r="36" spans="1:10" ht="16.8">
      <c r="A36" s="172" t="s">
        <v>92</v>
      </c>
      <c r="B36" s="173">
        <v>0</v>
      </c>
      <c r="C36" s="174" t="s">
        <v>33</v>
      </c>
      <c r="D36" s="175" t="str">
        <f>IF(C36="Str",'Personal File'!$C$8,IF(C36="Dex",'Personal File'!$C$9,IF(C36="Con",'Personal File'!$C$10,IF(C36="Int",'Personal File'!$C$11,IF(C36="Wis",'Personal File'!$C$12,IF(C36="Cha",'Personal File'!$C$13))))))</f>
        <v>+0</v>
      </c>
      <c r="E36" s="175" t="str">
        <f t="shared" si="7"/>
        <v>Int (+0)</v>
      </c>
      <c r="F36" s="176" t="s">
        <v>64</v>
      </c>
      <c r="G36" s="176">
        <f t="shared" si="1"/>
        <v>0</v>
      </c>
      <c r="H36" s="98">
        <f t="shared" ca="1" si="8"/>
        <v>20</v>
      </c>
      <c r="I36" s="176">
        <f t="shared" ca="1" si="5"/>
        <v>20</v>
      </c>
      <c r="J36" s="177"/>
    </row>
    <row r="37" spans="1:10" ht="16.8">
      <c r="A37" s="172" t="s">
        <v>58</v>
      </c>
      <c r="B37" s="173">
        <v>0</v>
      </c>
      <c r="C37" s="174" t="s">
        <v>33</v>
      </c>
      <c r="D37" s="175" t="str">
        <f>IF(C37="Str",'Personal File'!$C$8,IF(C37="Dex",'Personal File'!$C$9,IF(C37="Con",'Personal File'!$C$10,IF(C37="Int",'Personal File'!$C$11,IF(C37="Wis",'Personal File'!$C$12,IF(C37="Cha",'Personal File'!$C$13))))))</f>
        <v>+0</v>
      </c>
      <c r="E37" s="175" t="str">
        <f t="shared" si="7"/>
        <v>Int (+0)</v>
      </c>
      <c r="F37" s="176" t="s">
        <v>64</v>
      </c>
      <c r="G37" s="176">
        <f t="shared" si="1"/>
        <v>0</v>
      </c>
      <c r="H37" s="98">
        <f t="shared" ca="1" si="8"/>
        <v>17</v>
      </c>
      <c r="I37" s="176">
        <f t="shared" ca="1" si="5"/>
        <v>17</v>
      </c>
      <c r="J37" s="177"/>
    </row>
    <row r="38" spans="1:10" ht="16.8">
      <c r="A38" s="145" t="s">
        <v>59</v>
      </c>
      <c r="B38" s="112">
        <v>0</v>
      </c>
      <c r="C38" s="146" t="s">
        <v>34</v>
      </c>
      <c r="D38" s="147" t="str">
        <f>IF(C38="Str",'Personal File'!$C$8,IF(C38="Dex",'Personal File'!$C$9,IF(C38="Con",'Personal File'!$C$10,IF(C38="Int",'Personal File'!$C$11,IF(C38="Wis",'Personal File'!$C$12,IF(C38="Cha",'Personal File'!$C$13))))))</f>
        <v>+3</v>
      </c>
      <c r="E38" s="147" t="str">
        <f t="shared" si="7"/>
        <v>Wis (+3)</v>
      </c>
      <c r="F38" s="116" t="s">
        <v>64</v>
      </c>
      <c r="G38" s="116">
        <f t="shared" si="1"/>
        <v>3</v>
      </c>
      <c r="H38" s="98">
        <f t="shared" ca="1" si="8"/>
        <v>16</v>
      </c>
      <c r="I38" s="116">
        <f t="shared" ca="1" si="5"/>
        <v>19</v>
      </c>
      <c r="J38" s="103"/>
    </row>
    <row r="39" spans="1:10" ht="16.8">
      <c r="A39" s="145" t="s">
        <v>96</v>
      </c>
      <c r="B39" s="112">
        <v>0</v>
      </c>
      <c r="C39" s="146" t="s">
        <v>34</v>
      </c>
      <c r="D39" s="147" t="str">
        <f>IF(C39="Str",'Personal File'!$C$8,IF(C39="Dex",'Personal File'!$C$9,IF(C39="Con",'Personal File'!$C$10,IF(C39="Int",'Personal File'!$C$11,IF(C39="Wis",'Personal File'!$C$12,IF(C39="Cha",'Personal File'!$C$13))))))</f>
        <v>+3</v>
      </c>
      <c r="E39" s="147" t="str">
        <f t="shared" si="7"/>
        <v>Wis (+3)</v>
      </c>
      <c r="F39" s="116" t="s">
        <v>64</v>
      </c>
      <c r="G39" s="116">
        <f t="shared" si="1"/>
        <v>3</v>
      </c>
      <c r="H39" s="98">
        <f t="shared" ca="1" si="8"/>
        <v>15</v>
      </c>
      <c r="I39" s="116">
        <f t="shared" ca="1" si="5"/>
        <v>18</v>
      </c>
      <c r="J39" s="178"/>
    </row>
    <row r="40" spans="1:10" ht="16.8">
      <c r="A40" s="259" t="s">
        <v>24</v>
      </c>
      <c r="B40" s="126">
        <v>1</v>
      </c>
      <c r="C40" s="260" t="s">
        <v>36</v>
      </c>
      <c r="D40" s="261" t="str">
        <f>IF(C40="Str",'Personal File'!$C$8,IF(C40="Dex",'Personal File'!$C$9,IF(C40="Con",'Personal File'!$C$10,IF(C40="Int",'Personal File'!$C$11,IF(C40="Wis",'Personal File'!$C$12,IF(C40="Cha",'Personal File'!$C$13))))))</f>
        <v>+3</v>
      </c>
      <c r="E40" s="261" t="str">
        <f t="shared" si="7"/>
        <v>Str (+3)</v>
      </c>
      <c r="F40" s="127" t="s">
        <v>64</v>
      </c>
      <c r="G40" s="127">
        <f t="shared" si="1"/>
        <v>4</v>
      </c>
      <c r="H40" s="98">
        <f t="shared" ca="1" si="8"/>
        <v>18</v>
      </c>
      <c r="I40" s="127">
        <f t="shared" ca="1" si="5"/>
        <v>22</v>
      </c>
      <c r="J40" s="128"/>
    </row>
    <row r="41" spans="1:10" ht="16.8">
      <c r="A41" s="179" t="s">
        <v>60</v>
      </c>
      <c r="B41" s="173">
        <v>0</v>
      </c>
      <c r="C41" s="180" t="s">
        <v>35</v>
      </c>
      <c r="D41" s="181" t="str">
        <f>IF(C41="Str",'Personal File'!$C$8,IF(C41="Dex",'Personal File'!$C$9,IF(C41="Con",'Personal File'!$C$10,IF(C41="Int",'Personal File'!$C$11,IF(C41="Wis",'Personal File'!$C$12,IF(C41="Cha",'Personal File'!$C$13))))))</f>
        <v>+1</v>
      </c>
      <c r="E41" s="181" t="str">
        <f t="shared" si="7"/>
        <v>Dex (+1)</v>
      </c>
      <c r="F41" s="176">
        <f>SUM(Martial!$D$26:$D$29)</f>
        <v>-5</v>
      </c>
      <c r="G41" s="176">
        <f t="shared" si="1"/>
        <v>-4</v>
      </c>
      <c r="H41" s="98">
        <f t="shared" ca="1" si="8"/>
        <v>12</v>
      </c>
      <c r="I41" s="176">
        <f t="shared" ca="1" si="5"/>
        <v>8</v>
      </c>
      <c r="J41" s="177"/>
    </row>
    <row r="42" spans="1:10" ht="16.8">
      <c r="A42" s="182" t="s">
        <v>61</v>
      </c>
      <c r="B42" s="130">
        <v>0</v>
      </c>
      <c r="C42" s="183" t="s">
        <v>31</v>
      </c>
      <c r="D42" s="184" t="str">
        <f>IF(C42="Str",'Personal File'!$C$8,IF(C42="Dex",'Personal File'!$C$9,IF(C42="Con",'Personal File'!$C$10,IF(C42="Int",'Personal File'!$C$11,IF(C42="Wis",'Personal File'!$C$12,IF(C42="Cha",'Personal File'!$C$13))))))</f>
        <v>+3</v>
      </c>
      <c r="E42" s="184" t="str">
        <f t="shared" si="7"/>
        <v>Cha (+3)</v>
      </c>
      <c r="F42" s="133" t="s">
        <v>64</v>
      </c>
      <c r="G42" s="133">
        <f t="shared" si="1"/>
        <v>3</v>
      </c>
      <c r="H42" s="98">
        <f t="shared" ca="1" si="8"/>
        <v>16</v>
      </c>
      <c r="I42" s="133">
        <f t="shared" ca="1" si="5"/>
        <v>19</v>
      </c>
      <c r="J42" s="134"/>
    </row>
    <row r="43" spans="1:10" ht="17.399999999999999" thickBot="1">
      <c r="A43" s="185" t="s">
        <v>62</v>
      </c>
      <c r="B43" s="186">
        <v>0</v>
      </c>
      <c r="C43" s="187" t="s">
        <v>35</v>
      </c>
      <c r="D43" s="188" t="str">
        <f>IF(C43="Str",'Personal File'!$C$8,IF(C43="Dex",'Personal File'!$C$9,IF(C43="Con",'Personal File'!$C$10,IF(C43="Int",'Personal File'!$C$11,IF(C43="Wis",'Personal File'!$C$12,IF(C43="Cha",'Personal File'!$C$13))))))</f>
        <v>+1</v>
      </c>
      <c r="E43" s="188" t="str">
        <f t="shared" si="7"/>
        <v>Dex (+1)</v>
      </c>
      <c r="F43" s="189" t="s">
        <v>64</v>
      </c>
      <c r="G43" s="189">
        <f t="shared" si="1"/>
        <v>1</v>
      </c>
      <c r="H43" s="190">
        <f t="shared" ca="1" si="8"/>
        <v>14</v>
      </c>
      <c r="I43" s="189">
        <f t="shared" ca="1" si="5"/>
        <v>15</v>
      </c>
      <c r="J43" s="191"/>
    </row>
    <row r="44" spans="1:10" ht="16.2" thickTop="1">
      <c r="A44" s="250"/>
      <c r="B44" s="251">
        <f>SUM(B6:B43,B24)</f>
        <v>42</v>
      </c>
      <c r="C44" s="252"/>
      <c r="D44" s="252"/>
      <c r="E44" s="253">
        <f>SUM(E45:E55)</f>
        <v>40</v>
      </c>
      <c r="F44" s="254" t="s">
        <v>69</v>
      </c>
      <c r="G44" s="252"/>
      <c r="H44" s="252"/>
      <c r="I44" s="252"/>
      <c r="J44" s="250"/>
    </row>
    <row r="45" spans="1:10">
      <c r="A45" s="250"/>
      <c r="B45" s="251"/>
      <c r="C45" s="252"/>
      <c r="D45" s="252"/>
      <c r="E45" s="256">
        <f>4*(2+'Personal File'!$C$11)</f>
        <v>8</v>
      </c>
      <c r="F45" s="255" t="s">
        <v>175</v>
      </c>
      <c r="G45" s="252"/>
      <c r="H45" s="252"/>
      <c r="I45" s="252"/>
      <c r="J45" s="250"/>
    </row>
    <row r="46" spans="1:10">
      <c r="A46" s="250"/>
      <c r="B46" s="251"/>
      <c r="C46" s="252"/>
      <c r="D46" s="252"/>
      <c r="E46" s="256">
        <f>2+'Personal File'!$C$11</f>
        <v>2</v>
      </c>
      <c r="F46" s="255" t="s">
        <v>186</v>
      </c>
      <c r="G46" s="252"/>
      <c r="H46" s="252"/>
      <c r="I46" s="252"/>
      <c r="J46" s="250"/>
    </row>
    <row r="47" spans="1:10">
      <c r="A47" s="250"/>
      <c r="B47" s="251"/>
      <c r="C47" s="252"/>
      <c r="D47" s="252"/>
      <c r="E47" s="256">
        <f>2+'Personal File'!$C$11</f>
        <v>2</v>
      </c>
      <c r="F47" s="255" t="s">
        <v>197</v>
      </c>
      <c r="G47" s="252"/>
      <c r="H47" s="252"/>
      <c r="I47" s="252"/>
      <c r="J47" s="250"/>
    </row>
    <row r="48" spans="1:10">
      <c r="A48" s="250"/>
      <c r="B48" s="251"/>
      <c r="C48" s="252"/>
      <c r="D48" s="252"/>
      <c r="E48" s="256">
        <f>2+'Personal File'!$C$11</f>
        <v>2</v>
      </c>
      <c r="F48" s="255" t="s">
        <v>198</v>
      </c>
      <c r="G48" s="252"/>
      <c r="H48" s="252"/>
      <c r="I48" s="252"/>
      <c r="J48" s="250"/>
    </row>
    <row r="49" spans="1:10">
      <c r="A49" s="250"/>
      <c r="B49" s="251"/>
      <c r="C49" s="252"/>
      <c r="D49" s="252"/>
      <c r="E49" s="256">
        <f>2+'Personal File'!$C$11</f>
        <v>2</v>
      </c>
      <c r="F49" s="255" t="s">
        <v>199</v>
      </c>
      <c r="G49" s="252"/>
      <c r="H49" s="252"/>
      <c r="I49" s="252"/>
      <c r="J49" s="250"/>
    </row>
    <row r="50" spans="1:10">
      <c r="A50" s="250"/>
      <c r="B50" s="251"/>
      <c r="C50" s="252"/>
      <c r="D50" s="252"/>
      <c r="E50" s="256">
        <f>2+'Personal File'!$C$11</f>
        <v>2</v>
      </c>
      <c r="F50" s="255" t="s">
        <v>200</v>
      </c>
      <c r="G50" s="252"/>
      <c r="H50" s="252"/>
      <c r="I50" s="252"/>
      <c r="J50" s="250"/>
    </row>
    <row r="51" spans="1:10">
      <c r="A51" s="250"/>
      <c r="B51" s="251"/>
      <c r="C51" s="252"/>
      <c r="D51" s="252"/>
      <c r="E51" s="256">
        <f>2+'Personal File'!$C$11</f>
        <v>2</v>
      </c>
      <c r="F51" s="255" t="s">
        <v>201</v>
      </c>
      <c r="G51" s="252"/>
      <c r="H51" s="252"/>
      <c r="I51" s="252"/>
      <c r="J51" s="250"/>
    </row>
    <row r="52" spans="1:10">
      <c r="A52" s="250"/>
      <c r="B52" s="251"/>
      <c r="C52" s="252"/>
      <c r="D52" s="252"/>
      <c r="E52" s="256">
        <f>2+'Personal File'!$C$11</f>
        <v>2</v>
      </c>
      <c r="F52" s="255" t="s">
        <v>202</v>
      </c>
      <c r="G52" s="252"/>
      <c r="H52" s="252"/>
      <c r="I52" s="252"/>
      <c r="J52" s="250"/>
    </row>
    <row r="53" spans="1:10">
      <c r="A53" s="250"/>
      <c r="B53" s="251"/>
      <c r="C53" s="252"/>
      <c r="D53" s="252"/>
      <c r="E53" s="256">
        <f>2+'Personal File'!$C$11</f>
        <v>2</v>
      </c>
      <c r="F53" s="255" t="s">
        <v>286</v>
      </c>
      <c r="G53" s="252"/>
      <c r="H53" s="252"/>
      <c r="I53" s="252"/>
      <c r="J53" s="250"/>
    </row>
    <row r="54" spans="1:10">
      <c r="A54" s="250"/>
      <c r="B54" s="251"/>
      <c r="C54" s="252"/>
      <c r="D54" s="252"/>
      <c r="E54" s="256">
        <f>2+'Personal File'!$C$11</f>
        <v>2</v>
      </c>
      <c r="F54" s="255" t="s">
        <v>299</v>
      </c>
      <c r="G54" s="252"/>
      <c r="H54" s="252"/>
      <c r="I54" s="252"/>
      <c r="J54" s="250"/>
    </row>
    <row r="55" spans="1:10">
      <c r="A55" s="250"/>
      <c r="B55" s="250"/>
      <c r="C55" s="252"/>
      <c r="D55" s="252"/>
      <c r="E55" s="253">
        <f>3+'Personal File'!E3+'Personal File'!E4</f>
        <v>14</v>
      </c>
      <c r="F55" s="255" t="s">
        <v>90</v>
      </c>
      <c r="G55" s="252"/>
      <c r="H55" s="252"/>
      <c r="I55" s="252"/>
      <c r="J55" s="250"/>
    </row>
    <row r="56" spans="1:10">
      <c r="A56" s="257"/>
      <c r="B56" s="257"/>
      <c r="C56" s="258"/>
      <c r="D56" s="258"/>
      <c r="E56" s="258"/>
      <c r="F56" s="258"/>
      <c r="G56" s="258"/>
      <c r="H56" s="258"/>
      <c r="I56" s="258"/>
      <c r="J56" s="257"/>
    </row>
    <row r="57" spans="1:10">
      <c r="A57" s="257"/>
      <c r="B57" s="257"/>
      <c r="C57" s="258"/>
      <c r="D57" s="258"/>
      <c r="E57" s="258"/>
      <c r="F57" s="258"/>
      <c r="G57" s="258"/>
      <c r="H57" s="258"/>
      <c r="I57" s="258"/>
      <c r="J57" s="257"/>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3"/>
  <sheetViews>
    <sheetView showGridLines="0" workbookViewId="0">
      <pane ySplit="2" topLeftCell="A3" activePane="bottomLeft" state="frozen"/>
      <selection pane="bottomLeft" activeCell="A3" sqref="A3"/>
    </sheetView>
  </sheetViews>
  <sheetFormatPr defaultColWidth="13" defaultRowHeight="15.6"/>
  <cols>
    <col min="1" max="1" width="20.59765625" style="88" bestFit="1" customWidth="1"/>
    <col min="2" max="2" width="6.19921875" style="88" bestFit="1" customWidth="1"/>
    <col min="3" max="3" width="13.3984375" style="87" bestFit="1" customWidth="1"/>
    <col min="4" max="4" width="11.19921875" style="87" bestFit="1" customWidth="1"/>
    <col min="5" max="5" width="8.59765625" style="87" bestFit="1" customWidth="1"/>
    <col min="6" max="6" width="12.59765625" style="87" bestFit="1" customWidth="1"/>
    <col min="7" max="7" width="9.5" style="87" bestFit="1" customWidth="1"/>
    <col min="8" max="8" width="30.69921875" style="88" customWidth="1"/>
    <col min="9" max="16384" width="13" style="76"/>
  </cols>
  <sheetData>
    <row r="1" spans="1:9" ht="23.4" thickBot="1">
      <c r="A1" s="278" t="s">
        <v>187</v>
      </c>
      <c r="B1" s="193"/>
      <c r="C1" s="193"/>
      <c r="D1" s="193"/>
      <c r="E1" s="193"/>
      <c r="F1" s="193"/>
      <c r="G1" s="193"/>
      <c r="H1" s="193"/>
    </row>
    <row r="2" spans="1:9" s="16" customFormat="1" ht="31.2">
      <c r="A2" s="194" t="s">
        <v>78</v>
      </c>
      <c r="B2" s="195" t="s">
        <v>4</v>
      </c>
      <c r="C2" s="195" t="s">
        <v>103</v>
      </c>
      <c r="D2" s="196" t="s">
        <v>104</v>
      </c>
      <c r="E2" s="196" t="s">
        <v>105</v>
      </c>
      <c r="F2" s="195" t="s">
        <v>106</v>
      </c>
      <c r="G2" s="195" t="s">
        <v>107</v>
      </c>
      <c r="H2" s="195" t="s">
        <v>336</v>
      </c>
      <c r="I2" s="197" t="s">
        <v>337</v>
      </c>
    </row>
    <row r="3" spans="1:9" ht="16.8">
      <c r="A3" s="534" t="s">
        <v>176</v>
      </c>
      <c r="B3" s="264">
        <v>1</v>
      </c>
      <c r="C3" s="265" t="s">
        <v>265</v>
      </c>
      <c r="D3" s="266" t="s">
        <v>131</v>
      </c>
      <c r="E3" s="266" t="s">
        <v>111</v>
      </c>
      <c r="F3" s="267" t="s">
        <v>133</v>
      </c>
      <c r="G3" s="267" t="s">
        <v>117</v>
      </c>
      <c r="H3" s="267" t="s">
        <v>134</v>
      </c>
      <c r="I3" s="268"/>
    </row>
    <row r="4" spans="1:9" ht="16.8">
      <c r="A4" s="534" t="s">
        <v>263</v>
      </c>
      <c r="B4" s="264">
        <v>1</v>
      </c>
      <c r="C4" s="265" t="s">
        <v>264</v>
      </c>
      <c r="D4" s="266" t="s">
        <v>110</v>
      </c>
      <c r="E4" s="266" t="s">
        <v>111</v>
      </c>
      <c r="F4" s="267" t="s">
        <v>116</v>
      </c>
      <c r="G4" s="267" t="s">
        <v>117</v>
      </c>
      <c r="H4" s="267" t="s">
        <v>339</v>
      </c>
      <c r="I4" s="268">
        <v>205</v>
      </c>
    </row>
    <row r="5" spans="1:9" ht="16.8">
      <c r="A5" s="534" t="s">
        <v>177</v>
      </c>
      <c r="B5" s="264">
        <v>1</v>
      </c>
      <c r="C5" s="265" t="s">
        <v>264</v>
      </c>
      <c r="D5" s="266" t="s">
        <v>135</v>
      </c>
      <c r="E5" s="266" t="s">
        <v>111</v>
      </c>
      <c r="F5" s="267" t="s">
        <v>116</v>
      </c>
      <c r="G5" s="267" t="s">
        <v>113</v>
      </c>
      <c r="H5" s="267" t="s">
        <v>136</v>
      </c>
      <c r="I5" s="269"/>
    </row>
    <row r="6" spans="1:9" ht="16.8">
      <c r="A6" s="534" t="s">
        <v>178</v>
      </c>
      <c r="B6" s="264">
        <v>1</v>
      </c>
      <c r="C6" s="265" t="s">
        <v>264</v>
      </c>
      <c r="D6" s="266" t="s">
        <v>110</v>
      </c>
      <c r="E6" s="266" t="s">
        <v>111</v>
      </c>
      <c r="F6" s="267" t="s">
        <v>116</v>
      </c>
      <c r="G6" s="267" t="s">
        <v>117</v>
      </c>
      <c r="H6" s="267" t="s">
        <v>339</v>
      </c>
      <c r="I6" s="269" t="s">
        <v>338</v>
      </c>
    </row>
    <row r="7" spans="1:9" ht="16.8">
      <c r="A7" s="534" t="s">
        <v>137</v>
      </c>
      <c r="B7" s="264">
        <v>1</v>
      </c>
      <c r="C7" s="265" t="s">
        <v>265</v>
      </c>
      <c r="D7" s="266" t="s">
        <v>138</v>
      </c>
      <c r="E7" s="266" t="s">
        <v>111</v>
      </c>
      <c r="F7" s="267" t="s">
        <v>112</v>
      </c>
      <c r="G7" s="267" t="s">
        <v>139</v>
      </c>
      <c r="H7" s="267" t="s">
        <v>340</v>
      </c>
      <c r="I7" s="139">
        <v>211</v>
      </c>
    </row>
    <row r="8" spans="1:9" ht="16.8">
      <c r="A8" s="534" t="s">
        <v>108</v>
      </c>
      <c r="B8" s="264">
        <v>1</v>
      </c>
      <c r="C8" s="265" t="s">
        <v>109</v>
      </c>
      <c r="D8" s="266" t="s">
        <v>110</v>
      </c>
      <c r="E8" s="266" t="s">
        <v>111</v>
      </c>
      <c r="F8" s="267" t="s">
        <v>112</v>
      </c>
      <c r="G8" s="267" t="s">
        <v>113</v>
      </c>
      <c r="H8" s="267" t="s">
        <v>114</v>
      </c>
      <c r="I8" s="139"/>
    </row>
    <row r="9" spans="1:9" ht="16.8">
      <c r="A9" s="534" t="s">
        <v>140</v>
      </c>
      <c r="B9" s="264">
        <v>1</v>
      </c>
      <c r="C9" s="265" t="s">
        <v>115</v>
      </c>
      <c r="D9" s="266" t="s">
        <v>110</v>
      </c>
      <c r="E9" s="266" t="s">
        <v>111</v>
      </c>
      <c r="F9" s="267" t="s">
        <v>116</v>
      </c>
      <c r="G9" s="267" t="s">
        <v>113</v>
      </c>
      <c r="H9" s="267" t="s">
        <v>141</v>
      </c>
      <c r="I9" s="139"/>
    </row>
    <row r="10" spans="1:9" ht="16.8">
      <c r="A10" s="534" t="s">
        <v>118</v>
      </c>
      <c r="B10" s="264">
        <v>1</v>
      </c>
      <c r="C10" s="265" t="s">
        <v>119</v>
      </c>
      <c r="D10" s="266" t="s">
        <v>110</v>
      </c>
      <c r="E10" s="266" t="s">
        <v>111</v>
      </c>
      <c r="F10" s="267" t="s">
        <v>112</v>
      </c>
      <c r="G10" s="267" t="s">
        <v>113</v>
      </c>
      <c r="H10" s="267" t="s">
        <v>339</v>
      </c>
      <c r="I10" s="139">
        <v>219</v>
      </c>
    </row>
    <row r="11" spans="1:9" ht="16.8">
      <c r="A11" s="534" t="s">
        <v>150</v>
      </c>
      <c r="B11" s="264">
        <v>1</v>
      </c>
      <c r="C11" s="265" t="s">
        <v>119</v>
      </c>
      <c r="D11" s="266" t="s">
        <v>128</v>
      </c>
      <c r="E11" s="535" t="s">
        <v>111</v>
      </c>
      <c r="F11" s="267" t="s">
        <v>271</v>
      </c>
      <c r="G11" s="267" t="s">
        <v>113</v>
      </c>
      <c r="H11" s="267" t="s">
        <v>339</v>
      </c>
      <c r="I11" s="139">
        <v>220</v>
      </c>
    </row>
    <row r="12" spans="1:9" ht="16.8">
      <c r="A12" s="534" t="s">
        <v>142</v>
      </c>
      <c r="B12" s="264">
        <v>1</v>
      </c>
      <c r="C12" s="265" t="s">
        <v>121</v>
      </c>
      <c r="D12" s="266" t="s">
        <v>131</v>
      </c>
      <c r="E12" s="266" t="s">
        <v>111</v>
      </c>
      <c r="F12" s="267" t="s">
        <v>125</v>
      </c>
      <c r="G12" s="267" t="s">
        <v>120</v>
      </c>
      <c r="H12" s="267" t="s">
        <v>143</v>
      </c>
      <c r="I12" s="268"/>
    </row>
    <row r="13" spans="1:9" ht="16.8">
      <c r="A13" s="534" t="s">
        <v>168</v>
      </c>
      <c r="B13" s="264">
        <v>1</v>
      </c>
      <c r="C13" s="265" t="s">
        <v>121</v>
      </c>
      <c r="D13" s="266" t="s">
        <v>110</v>
      </c>
      <c r="E13" s="266" t="s">
        <v>111</v>
      </c>
      <c r="F13" s="267" t="s">
        <v>125</v>
      </c>
      <c r="G13" s="267" t="s">
        <v>155</v>
      </c>
      <c r="H13" s="267" t="s">
        <v>341</v>
      </c>
      <c r="I13" s="268">
        <v>163</v>
      </c>
    </row>
    <row r="14" spans="1:9" ht="16.8">
      <c r="A14" s="534" t="s">
        <v>144</v>
      </c>
      <c r="B14" s="264">
        <v>1</v>
      </c>
      <c r="C14" s="265" t="s">
        <v>127</v>
      </c>
      <c r="D14" s="266" t="s">
        <v>110</v>
      </c>
      <c r="E14" s="266" t="s">
        <v>111</v>
      </c>
      <c r="F14" s="267" t="s">
        <v>116</v>
      </c>
      <c r="G14" s="267" t="s">
        <v>145</v>
      </c>
      <c r="H14" s="267" t="s">
        <v>146</v>
      </c>
      <c r="I14" s="139"/>
    </row>
    <row r="15" spans="1:9" ht="16.8">
      <c r="A15" s="534" t="s">
        <v>147</v>
      </c>
      <c r="B15" s="264">
        <v>1</v>
      </c>
      <c r="C15" s="265" t="s">
        <v>264</v>
      </c>
      <c r="D15" s="266" t="s">
        <v>148</v>
      </c>
      <c r="E15" s="266" t="s">
        <v>111</v>
      </c>
      <c r="F15" s="267" t="s">
        <v>116</v>
      </c>
      <c r="G15" s="267" t="s">
        <v>117</v>
      </c>
      <c r="H15" s="267" t="s">
        <v>149</v>
      </c>
      <c r="I15" s="268"/>
    </row>
    <row r="16" spans="1:9" ht="16.8">
      <c r="A16" s="534" t="s">
        <v>179</v>
      </c>
      <c r="B16" s="264">
        <v>1</v>
      </c>
      <c r="C16" s="265" t="s">
        <v>127</v>
      </c>
      <c r="D16" s="266" t="s">
        <v>128</v>
      </c>
      <c r="E16" s="266" t="s">
        <v>111</v>
      </c>
      <c r="F16" s="267" t="s">
        <v>116</v>
      </c>
      <c r="G16" s="267" t="s">
        <v>117</v>
      </c>
      <c r="H16" s="267" t="s">
        <v>339</v>
      </c>
      <c r="I16" s="139">
        <v>266</v>
      </c>
    </row>
    <row r="17" spans="1:9" ht="16.8">
      <c r="A17" s="534" t="s">
        <v>266</v>
      </c>
      <c r="B17" s="264">
        <v>1</v>
      </c>
      <c r="C17" s="265" t="s">
        <v>127</v>
      </c>
      <c r="D17" s="266" t="s">
        <v>128</v>
      </c>
      <c r="E17" s="266" t="s">
        <v>111</v>
      </c>
      <c r="F17" s="267" t="s">
        <v>116</v>
      </c>
      <c r="G17" s="267" t="s">
        <v>117</v>
      </c>
      <c r="H17" s="267" t="s">
        <v>339</v>
      </c>
      <c r="I17" s="139">
        <v>266</v>
      </c>
    </row>
    <row r="18" spans="1:9" ht="16.8">
      <c r="A18" s="534" t="s">
        <v>123</v>
      </c>
      <c r="B18" s="264">
        <v>1</v>
      </c>
      <c r="C18" s="265" t="s">
        <v>115</v>
      </c>
      <c r="D18" s="266" t="s">
        <v>124</v>
      </c>
      <c r="E18" s="266" t="s">
        <v>111</v>
      </c>
      <c r="F18" s="267" t="s">
        <v>125</v>
      </c>
      <c r="G18" s="267" t="s">
        <v>122</v>
      </c>
      <c r="H18" s="267" t="s">
        <v>339</v>
      </c>
      <c r="I18" s="139">
        <v>269</v>
      </c>
    </row>
    <row r="19" spans="1:9" ht="16.8">
      <c r="A19" s="534" t="s">
        <v>126</v>
      </c>
      <c r="B19" s="264">
        <v>1</v>
      </c>
      <c r="C19" s="265" t="s">
        <v>127</v>
      </c>
      <c r="D19" s="266" t="s">
        <v>128</v>
      </c>
      <c r="E19" s="266" t="s">
        <v>111</v>
      </c>
      <c r="F19" s="267" t="s">
        <v>116</v>
      </c>
      <c r="G19" s="267" t="s">
        <v>120</v>
      </c>
      <c r="H19" s="267" t="s">
        <v>129</v>
      </c>
      <c r="I19" s="269"/>
    </row>
    <row r="20" spans="1:9" ht="16.8">
      <c r="A20" s="534" t="s">
        <v>163</v>
      </c>
      <c r="B20" s="264">
        <v>1</v>
      </c>
      <c r="C20" s="265" t="s">
        <v>109</v>
      </c>
      <c r="D20" s="266" t="s">
        <v>110</v>
      </c>
      <c r="E20" s="535" t="s">
        <v>111</v>
      </c>
      <c r="F20" s="267" t="s">
        <v>116</v>
      </c>
      <c r="G20" s="267" t="s">
        <v>113</v>
      </c>
      <c r="H20" s="267" t="s">
        <v>164</v>
      </c>
      <c r="I20" s="139"/>
    </row>
    <row r="21" spans="1:9" ht="16.8">
      <c r="A21" s="534" t="s">
        <v>156</v>
      </c>
      <c r="B21" s="264">
        <v>1</v>
      </c>
      <c r="C21" s="265" t="s">
        <v>109</v>
      </c>
      <c r="D21" s="266" t="s">
        <v>110</v>
      </c>
      <c r="E21" s="535" t="s">
        <v>111</v>
      </c>
      <c r="F21" s="267" t="s">
        <v>272</v>
      </c>
      <c r="G21" s="267" t="s">
        <v>155</v>
      </c>
      <c r="H21" s="267" t="s">
        <v>342</v>
      </c>
      <c r="I21" s="139">
        <v>128</v>
      </c>
    </row>
    <row r="22" spans="1:9" ht="16.8">
      <c r="A22" s="534" t="s">
        <v>276</v>
      </c>
      <c r="B22" s="264">
        <v>1</v>
      </c>
      <c r="C22" s="265" t="s">
        <v>264</v>
      </c>
      <c r="D22" s="266" t="s">
        <v>110</v>
      </c>
      <c r="E22" s="535" t="s">
        <v>277</v>
      </c>
      <c r="F22" s="267" t="s">
        <v>125</v>
      </c>
      <c r="G22" s="267" t="s">
        <v>139</v>
      </c>
      <c r="H22" s="267" t="s">
        <v>343</v>
      </c>
      <c r="I22" s="139">
        <v>176</v>
      </c>
    </row>
    <row r="23" spans="1:9" ht="16.8">
      <c r="A23" s="275" t="s">
        <v>130</v>
      </c>
      <c r="B23" s="270">
        <v>1</v>
      </c>
      <c r="C23" s="271" t="s">
        <v>264</v>
      </c>
      <c r="D23" s="272" t="s">
        <v>131</v>
      </c>
      <c r="E23" s="272" t="s">
        <v>111</v>
      </c>
      <c r="F23" s="273" t="s">
        <v>116</v>
      </c>
      <c r="G23" s="273" t="s">
        <v>120</v>
      </c>
      <c r="H23" s="273" t="s">
        <v>132</v>
      </c>
      <c r="I23" s="274"/>
    </row>
    <row r="24" spans="1:9" ht="16.8">
      <c r="A24" s="534" t="s">
        <v>152</v>
      </c>
      <c r="B24" s="264">
        <v>2</v>
      </c>
      <c r="C24" s="265" t="s">
        <v>109</v>
      </c>
      <c r="D24" s="266" t="s">
        <v>110</v>
      </c>
      <c r="E24" s="535" t="s">
        <v>111</v>
      </c>
      <c r="F24" s="267" t="s">
        <v>125</v>
      </c>
      <c r="G24" s="267" t="s">
        <v>122</v>
      </c>
      <c r="H24" s="267" t="s">
        <v>342</v>
      </c>
      <c r="I24" s="139">
        <v>118</v>
      </c>
    </row>
    <row r="25" spans="1:9" ht="16.8">
      <c r="A25" s="534" t="s">
        <v>278</v>
      </c>
      <c r="B25" s="264">
        <v>2</v>
      </c>
      <c r="C25" s="265" t="s">
        <v>264</v>
      </c>
      <c r="D25" s="266" t="s">
        <v>128</v>
      </c>
      <c r="E25" s="391" t="s">
        <v>111</v>
      </c>
      <c r="F25" s="267" t="s">
        <v>116</v>
      </c>
      <c r="G25" s="267" t="s">
        <v>117</v>
      </c>
      <c r="H25" s="267" t="s">
        <v>339</v>
      </c>
      <c r="I25" s="139">
        <v>207</v>
      </c>
    </row>
    <row r="26" spans="1:9" ht="16.8">
      <c r="A26" s="534" t="s">
        <v>161</v>
      </c>
      <c r="B26" s="264">
        <v>2</v>
      </c>
      <c r="C26" s="265" t="s">
        <v>127</v>
      </c>
      <c r="D26" s="266" t="s">
        <v>131</v>
      </c>
      <c r="E26" s="535" t="s">
        <v>162</v>
      </c>
      <c r="F26" s="267" t="s">
        <v>116</v>
      </c>
      <c r="G26" s="267" t="s">
        <v>122</v>
      </c>
      <c r="H26" s="267" t="s">
        <v>342</v>
      </c>
      <c r="I26" s="139">
        <v>116</v>
      </c>
    </row>
    <row r="27" spans="1:9" ht="16.8">
      <c r="A27" s="534" t="s">
        <v>153</v>
      </c>
      <c r="B27" s="264">
        <v>2</v>
      </c>
      <c r="C27" s="265" t="s">
        <v>264</v>
      </c>
      <c r="D27" s="266" t="s">
        <v>110</v>
      </c>
      <c r="E27" s="535" t="s">
        <v>111</v>
      </c>
      <c r="F27" s="267" t="s">
        <v>125</v>
      </c>
      <c r="G27" s="267" t="s">
        <v>122</v>
      </c>
      <c r="H27" s="267" t="s">
        <v>342</v>
      </c>
      <c r="I27" s="139">
        <v>119</v>
      </c>
    </row>
    <row r="28" spans="1:9" ht="16.8">
      <c r="A28" s="534" t="s">
        <v>154</v>
      </c>
      <c r="B28" s="264">
        <v>2</v>
      </c>
      <c r="C28" s="265" t="s">
        <v>264</v>
      </c>
      <c r="D28" s="266" t="s">
        <v>110</v>
      </c>
      <c r="E28" s="535" t="s">
        <v>111</v>
      </c>
      <c r="F28" s="267" t="s">
        <v>125</v>
      </c>
      <c r="G28" s="267" t="s">
        <v>155</v>
      </c>
      <c r="H28" s="267" t="s">
        <v>342</v>
      </c>
      <c r="I28" s="139">
        <v>125</v>
      </c>
    </row>
    <row r="29" spans="1:9" ht="16.8">
      <c r="A29" s="534" t="s">
        <v>157</v>
      </c>
      <c r="B29" s="264">
        <v>2</v>
      </c>
      <c r="C29" s="265" t="s">
        <v>109</v>
      </c>
      <c r="D29" s="266" t="s">
        <v>110</v>
      </c>
      <c r="E29" s="535" t="s">
        <v>111</v>
      </c>
      <c r="F29" s="267" t="s">
        <v>125</v>
      </c>
      <c r="G29" s="267" t="s">
        <v>120</v>
      </c>
      <c r="H29" s="267" t="s">
        <v>342</v>
      </c>
      <c r="I29" s="139">
        <v>129</v>
      </c>
    </row>
    <row r="30" spans="1:9" ht="16.8">
      <c r="A30" s="534" t="s">
        <v>158</v>
      </c>
      <c r="B30" s="264">
        <v>2</v>
      </c>
      <c r="C30" s="265" t="s">
        <v>265</v>
      </c>
      <c r="D30" s="266" t="s">
        <v>131</v>
      </c>
      <c r="E30" s="535" t="s">
        <v>111</v>
      </c>
      <c r="F30" s="267" t="s">
        <v>125</v>
      </c>
      <c r="G30" s="267" t="s">
        <v>159</v>
      </c>
      <c r="H30" s="267" t="s">
        <v>342</v>
      </c>
      <c r="I30" s="139">
        <v>129</v>
      </c>
    </row>
    <row r="31" spans="1:9" ht="16.8">
      <c r="A31" s="536" t="s">
        <v>335</v>
      </c>
      <c r="B31" s="524">
        <v>3</v>
      </c>
      <c r="C31" s="525" t="s">
        <v>264</v>
      </c>
      <c r="D31" s="526" t="s">
        <v>131</v>
      </c>
      <c r="E31" s="537" t="s">
        <v>111</v>
      </c>
      <c r="F31" s="527" t="s">
        <v>125</v>
      </c>
      <c r="G31" s="527" t="s">
        <v>117</v>
      </c>
      <c r="H31" s="527" t="s">
        <v>343</v>
      </c>
      <c r="I31" s="528">
        <v>177</v>
      </c>
    </row>
    <row r="32" spans="1:9" ht="17.399999999999999" thickBot="1">
      <c r="A32" s="538" t="s">
        <v>160</v>
      </c>
      <c r="B32" s="529">
        <v>3</v>
      </c>
      <c r="C32" s="530" t="s">
        <v>264</v>
      </c>
      <c r="D32" s="531" t="s">
        <v>110</v>
      </c>
      <c r="E32" s="539" t="s">
        <v>111</v>
      </c>
      <c r="F32" s="532" t="s">
        <v>116</v>
      </c>
      <c r="G32" s="532" t="s">
        <v>117</v>
      </c>
      <c r="H32" s="532" t="s">
        <v>342</v>
      </c>
      <c r="I32" s="533">
        <v>129</v>
      </c>
    </row>
    <row r="33"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showGridLines="0" workbookViewId="0"/>
  </sheetViews>
  <sheetFormatPr defaultColWidth="13" defaultRowHeight="15.6"/>
  <cols>
    <col min="1" max="1" width="19.5" style="88" bestFit="1" customWidth="1"/>
    <col min="2" max="2" width="6.19921875" style="88" bestFit="1" customWidth="1"/>
    <col min="3" max="3" width="4.09765625" style="88" bestFit="1" customWidth="1"/>
    <col min="4" max="4" width="6.296875" style="87" bestFit="1" customWidth="1"/>
    <col min="5" max="5" width="1.8984375" style="87" customWidth="1"/>
    <col min="6" max="6" width="18.59765625" style="87" bestFit="1" customWidth="1"/>
    <col min="7" max="7" width="3.5" style="87" bestFit="1" customWidth="1"/>
    <col min="8" max="8" width="3.3984375" style="87" bestFit="1" customWidth="1"/>
    <col min="9" max="9" width="3.8984375" style="87" bestFit="1" customWidth="1"/>
    <col min="10" max="10" width="3.59765625" style="87" bestFit="1" customWidth="1"/>
    <col min="11" max="14" width="3.5" style="87" bestFit="1" customWidth="1"/>
    <col min="15" max="15" width="1.8984375" style="87" customWidth="1"/>
    <col min="16" max="16" width="33.796875" style="87" bestFit="1" customWidth="1"/>
    <col min="17" max="17" width="3" style="76" customWidth="1"/>
    <col min="18" max="18" width="35.3984375" style="76" bestFit="1" customWidth="1"/>
    <col min="19" max="19" width="2.796875" style="76" customWidth="1"/>
    <col min="20" max="16384" width="13" style="76"/>
  </cols>
  <sheetData>
    <row r="1" spans="1:19" ht="24" thickTop="1" thickBot="1">
      <c r="A1" s="73" t="s">
        <v>99</v>
      </c>
      <c r="B1" s="74"/>
      <c r="C1" s="74"/>
      <c r="D1" s="75"/>
      <c r="E1" s="76"/>
      <c r="F1" s="83"/>
      <c r="G1" s="360" t="s">
        <v>258</v>
      </c>
      <c r="H1" s="361"/>
      <c r="I1" s="362"/>
      <c r="J1" s="362"/>
      <c r="K1" s="362"/>
      <c r="L1" s="362"/>
      <c r="M1" s="362"/>
      <c r="N1" s="363"/>
      <c r="O1" s="76"/>
      <c r="P1" s="560" t="s">
        <v>101</v>
      </c>
      <c r="R1" s="560" t="s">
        <v>373</v>
      </c>
    </row>
    <row r="2" spans="1:19" ht="18" thickTop="1" thickBot="1">
      <c r="A2" s="77" t="s">
        <v>78</v>
      </c>
      <c r="B2" s="78" t="s">
        <v>4</v>
      </c>
      <c r="C2" s="78" t="s">
        <v>102</v>
      </c>
      <c r="D2" s="79" t="s">
        <v>79</v>
      </c>
      <c r="E2" s="80"/>
      <c r="F2" s="83"/>
      <c r="G2" s="364" t="s">
        <v>249</v>
      </c>
      <c r="H2" s="365" t="s">
        <v>250</v>
      </c>
      <c r="I2" s="365" t="s">
        <v>251</v>
      </c>
      <c r="J2" s="365" t="s">
        <v>252</v>
      </c>
      <c r="K2" s="365" t="s">
        <v>253</v>
      </c>
      <c r="L2" s="365" t="s">
        <v>254</v>
      </c>
      <c r="M2" s="365" t="s">
        <v>255</v>
      </c>
      <c r="N2" s="366" t="s">
        <v>256</v>
      </c>
      <c r="O2" s="80"/>
      <c r="P2" s="81" t="s">
        <v>241</v>
      </c>
      <c r="Q2" s="83"/>
      <c r="R2" s="86" t="s">
        <v>204</v>
      </c>
    </row>
    <row r="3" spans="1:19" ht="17.399999999999999" thickTop="1">
      <c r="A3" s="368" t="s">
        <v>263</v>
      </c>
      <c r="B3" s="369">
        <v>1</v>
      </c>
      <c r="C3" s="385">
        <f>SUM(10+B3+'Personal File'!$C$13)</f>
        <v>14</v>
      </c>
      <c r="D3" s="370" t="s">
        <v>80</v>
      </c>
      <c r="E3" s="80"/>
      <c r="F3" s="355" t="s">
        <v>259</v>
      </c>
      <c r="G3" s="356">
        <v>0</v>
      </c>
      <c r="H3" s="374">
        <v>0</v>
      </c>
      <c r="I3" s="374">
        <v>0</v>
      </c>
      <c r="J3" s="374">
        <v>0</v>
      </c>
      <c r="K3" s="374">
        <v>0</v>
      </c>
      <c r="L3" s="374">
        <v>0</v>
      </c>
      <c r="M3" s="374">
        <v>0</v>
      </c>
      <c r="N3" s="376">
        <v>0</v>
      </c>
      <c r="O3" s="80"/>
      <c r="P3" s="85" t="s">
        <v>273</v>
      </c>
      <c r="R3" s="593" t="str">
        <f>CONCATENATE("Lay on Hands (",RIGHT('Personal File'!$C$13,1)*'Personal File'!$E$3," points)")</f>
        <v>Lay on Hands (15 points)</v>
      </c>
      <c r="S3" s="83"/>
    </row>
    <row r="4" spans="1:19" ht="16.8">
      <c r="A4" s="380" t="s">
        <v>301</v>
      </c>
      <c r="B4" s="381">
        <v>1</v>
      </c>
      <c r="C4" s="386">
        <f>SUM(10+B4+'Personal File'!$C$13)</f>
        <v>14</v>
      </c>
      <c r="D4" s="382" t="s">
        <v>80</v>
      </c>
      <c r="E4" s="80"/>
      <c r="F4" s="357" t="s">
        <v>261</v>
      </c>
      <c r="G4" s="358">
        <v>1</v>
      </c>
      <c r="H4" s="375">
        <v>0</v>
      </c>
      <c r="I4" s="375">
        <v>0</v>
      </c>
      <c r="J4" s="375">
        <v>0</v>
      </c>
      <c r="K4" s="375">
        <v>0</v>
      </c>
      <c r="L4" s="375">
        <v>0</v>
      </c>
      <c r="M4" s="375">
        <v>0</v>
      </c>
      <c r="N4" s="377">
        <v>0</v>
      </c>
      <c r="O4" s="80"/>
      <c r="P4" s="85" t="s">
        <v>274</v>
      </c>
      <c r="R4" s="592" t="s">
        <v>370</v>
      </c>
    </row>
    <row r="5" spans="1:19" ht="16.8">
      <c r="A5" s="275" t="s">
        <v>276</v>
      </c>
      <c r="B5" s="105">
        <v>1</v>
      </c>
      <c r="C5" s="387">
        <f>SUM(10+B5+'Personal File'!$C$13)</f>
        <v>14</v>
      </c>
      <c r="D5" s="382" t="s">
        <v>364</v>
      </c>
      <c r="E5" s="80"/>
      <c r="F5" s="357" t="s">
        <v>260</v>
      </c>
      <c r="G5" s="358">
        <v>1</v>
      </c>
      <c r="H5" s="372">
        <v>1</v>
      </c>
      <c r="I5" s="372">
        <v>1</v>
      </c>
      <c r="J5" s="375">
        <v>0</v>
      </c>
      <c r="K5" s="375">
        <v>0</v>
      </c>
      <c r="L5" s="375">
        <v>0</v>
      </c>
      <c r="M5" s="375">
        <v>0</v>
      </c>
      <c r="N5" s="377">
        <v>0</v>
      </c>
      <c r="O5" s="80"/>
      <c r="P5" s="85" t="s">
        <v>279</v>
      </c>
      <c r="R5" s="592" t="s">
        <v>371</v>
      </c>
    </row>
    <row r="6" spans="1:19" ht="17.399999999999999" thickBot="1">
      <c r="A6" s="368" t="s">
        <v>278</v>
      </c>
      <c r="B6" s="369">
        <v>2</v>
      </c>
      <c r="C6" s="385">
        <f>SUM(10+B6+'Personal File'!$C$13)</f>
        <v>15</v>
      </c>
      <c r="D6" s="370" t="s">
        <v>364</v>
      </c>
      <c r="E6" s="80"/>
      <c r="F6" s="357" t="s">
        <v>262</v>
      </c>
      <c r="G6" s="358">
        <v>1</v>
      </c>
      <c r="H6" s="372">
        <v>1</v>
      </c>
      <c r="I6" s="372">
        <v>0</v>
      </c>
      <c r="J6" s="375">
        <v>0</v>
      </c>
      <c r="K6" s="375">
        <v>0</v>
      </c>
      <c r="L6" s="375">
        <v>0</v>
      </c>
      <c r="M6" s="375">
        <v>0</v>
      </c>
      <c r="N6" s="377">
        <v>0</v>
      </c>
      <c r="O6" s="80"/>
      <c r="P6" s="434" t="s">
        <v>283</v>
      </c>
      <c r="R6" s="86" t="s">
        <v>334</v>
      </c>
    </row>
    <row r="7" spans="1:19" ht="18" thickTop="1" thickBot="1">
      <c r="A7" s="275" t="s">
        <v>278</v>
      </c>
      <c r="B7" s="105">
        <v>2</v>
      </c>
      <c r="C7" s="387">
        <f>SUM(10+B7+'Personal File'!$C$13)</f>
        <v>15</v>
      </c>
      <c r="D7" s="84" t="s">
        <v>80</v>
      </c>
      <c r="E7" s="80"/>
      <c r="F7" s="359" t="s">
        <v>257</v>
      </c>
      <c r="G7" s="367">
        <f t="shared" ref="G7:N7" si="0">SUM(G3:G6)</f>
        <v>3</v>
      </c>
      <c r="H7" s="373">
        <f t="shared" si="0"/>
        <v>2</v>
      </c>
      <c r="I7" s="373">
        <f t="shared" ref="I7" si="1">SUM(I3:I6)</f>
        <v>1</v>
      </c>
      <c r="J7" s="378">
        <f t="shared" si="0"/>
        <v>0</v>
      </c>
      <c r="K7" s="378">
        <f t="shared" si="0"/>
        <v>0</v>
      </c>
      <c r="L7" s="378">
        <f t="shared" si="0"/>
        <v>0</v>
      </c>
      <c r="M7" s="378">
        <f t="shared" si="0"/>
        <v>0</v>
      </c>
      <c r="N7" s="379">
        <f t="shared" si="0"/>
        <v>0</v>
      </c>
      <c r="O7" s="80"/>
      <c r="R7" s="82" t="s">
        <v>184</v>
      </c>
    </row>
    <row r="8" spans="1:19" ht="22.2" thickTop="1" thickBot="1">
      <c r="A8" s="368" t="s">
        <v>335</v>
      </c>
      <c r="B8" s="369">
        <v>3</v>
      </c>
      <c r="C8" s="385">
        <f>SUM(10+B8+'Personal File'!$C$13)</f>
        <v>16</v>
      </c>
      <c r="D8" s="370" t="s">
        <v>364</v>
      </c>
      <c r="E8" s="80"/>
      <c r="F8" s="80"/>
      <c r="G8" s="80"/>
      <c r="H8" s="80"/>
      <c r="I8" s="80"/>
      <c r="J8" s="80"/>
      <c r="K8" s="80"/>
      <c r="L8" s="80"/>
      <c r="M8" s="80"/>
      <c r="N8" s="80"/>
      <c r="O8" s="80"/>
      <c r="P8" s="560" t="s">
        <v>267</v>
      </c>
      <c r="R8" s="276" t="s">
        <v>100</v>
      </c>
    </row>
    <row r="9" spans="1:19" ht="24" thickTop="1" thickBot="1">
      <c r="A9" s="555" t="s">
        <v>335</v>
      </c>
      <c r="B9" s="556">
        <v>3</v>
      </c>
      <c r="C9" s="557">
        <f>SUM(10+B9+'Personal File'!$C$13)</f>
        <v>16</v>
      </c>
      <c r="D9" s="558" t="s">
        <v>80</v>
      </c>
      <c r="E9" s="80"/>
      <c r="F9" s="438" t="s">
        <v>290</v>
      </c>
      <c r="G9" s="439"/>
      <c r="H9" s="440"/>
      <c r="J9" s="80"/>
      <c r="K9" s="80"/>
      <c r="L9" s="80"/>
      <c r="N9" s="80"/>
      <c r="O9" s="80"/>
      <c r="P9" s="383" t="s">
        <v>268</v>
      </c>
      <c r="R9" s="277" t="s">
        <v>303</v>
      </c>
    </row>
    <row r="10" spans="1:19" ht="18" thickTop="1" thickBot="1">
      <c r="E10" s="80"/>
      <c r="F10" s="441"/>
      <c r="G10" s="442" t="s">
        <v>291</v>
      </c>
      <c r="H10" s="453">
        <f>'Personal File'!E3+'Personal File'!E4</f>
        <v>11</v>
      </c>
      <c r="J10" s="80"/>
      <c r="K10" s="80"/>
      <c r="L10" s="80"/>
      <c r="M10" s="80"/>
      <c r="N10" s="80"/>
      <c r="O10" s="80"/>
      <c r="P10" s="383" t="s">
        <v>374</v>
      </c>
      <c r="R10" s="593" t="s">
        <v>372</v>
      </c>
    </row>
    <row r="11" spans="1:19" ht="24" thickTop="1" thickBot="1">
      <c r="A11" s="73" t="s">
        <v>333</v>
      </c>
      <c r="B11" s="74"/>
      <c r="C11" s="74"/>
      <c r="D11" s="75"/>
      <c r="E11" s="80"/>
      <c r="F11" s="441"/>
      <c r="G11" s="442" t="s">
        <v>292</v>
      </c>
      <c r="H11" s="447">
        <f>3+'Personal File'!$C$13</f>
        <v>6</v>
      </c>
      <c r="J11" s="80"/>
      <c r="K11" s="80"/>
      <c r="L11" s="80"/>
      <c r="M11" s="80"/>
      <c r="N11" s="80"/>
      <c r="O11" s="80"/>
      <c r="P11" s="384" t="s">
        <v>280</v>
      </c>
      <c r="Q11" s="83"/>
      <c r="R11" s="276" t="s">
        <v>167</v>
      </c>
    </row>
    <row r="12" spans="1:19" ht="18" thickTop="1" thickBot="1">
      <c r="A12" s="77" t="s">
        <v>78</v>
      </c>
      <c r="B12" s="78" t="s">
        <v>4</v>
      </c>
      <c r="C12" s="78" t="s">
        <v>102</v>
      </c>
      <c r="D12" s="79" t="s">
        <v>79</v>
      </c>
      <c r="E12" s="80"/>
      <c r="F12" s="443"/>
      <c r="G12" s="444" t="s">
        <v>293</v>
      </c>
      <c r="H12" s="454">
        <f ca="1">RANDBETWEEN(1,20)</f>
        <v>16</v>
      </c>
      <c r="J12" s="80"/>
      <c r="K12" s="80"/>
      <c r="L12" s="80"/>
      <c r="M12" s="80"/>
      <c r="N12" s="80"/>
      <c r="O12" s="80"/>
      <c r="P12" s="384" t="s">
        <v>269</v>
      </c>
      <c r="R12" s="390" t="s">
        <v>205</v>
      </c>
    </row>
    <row r="13" spans="1:19" ht="18" thickTop="1" thickBot="1">
      <c r="A13" s="368" t="s">
        <v>263</v>
      </c>
      <c r="B13" s="369">
        <v>1</v>
      </c>
      <c r="C13" s="385">
        <f>SUM(10+B13+'Personal File'!$C$13)</f>
        <v>14</v>
      </c>
      <c r="D13" s="370" t="s">
        <v>80</v>
      </c>
      <c r="E13" s="80"/>
      <c r="F13" s="445"/>
      <c r="G13" s="446" t="s">
        <v>294</v>
      </c>
      <c r="H13" s="447">
        <f ca="1">H12+'Personal File'!$C$13+2</f>
        <v>21</v>
      </c>
      <c r="J13" s="80"/>
      <c r="K13" s="80"/>
      <c r="L13" s="80"/>
      <c r="M13" s="80"/>
      <c r="N13" s="80"/>
      <c r="O13" s="80"/>
      <c r="P13" s="435" t="s">
        <v>284</v>
      </c>
    </row>
    <row r="14" spans="1:19" ht="22.2" thickTop="1" thickBot="1">
      <c r="A14" s="380" t="s">
        <v>301</v>
      </c>
      <c r="B14" s="381">
        <v>1</v>
      </c>
      <c r="C14" s="386">
        <f>SUM(10+B14+'Personal File'!$C$13)</f>
        <v>14</v>
      </c>
      <c r="D14" s="382" t="s">
        <v>80</v>
      </c>
      <c r="E14" s="80"/>
      <c r="F14" s="448"/>
      <c r="G14" s="449" t="s">
        <v>295</v>
      </c>
      <c r="H14" s="455">
        <f ca="1">RANDBETWEEN(1,6)+RANDBETWEEN(1,6)</f>
        <v>6</v>
      </c>
      <c r="J14" s="80"/>
      <c r="K14" s="80"/>
      <c r="L14" s="80"/>
      <c r="M14" s="80"/>
      <c r="N14" s="80"/>
      <c r="O14" s="80"/>
      <c r="R14" s="586" t="s">
        <v>363</v>
      </c>
    </row>
    <row r="15" spans="1:19" ht="22.2" thickTop="1" thickBot="1">
      <c r="A15" s="275" t="s">
        <v>276</v>
      </c>
      <c r="B15" s="105">
        <v>1</v>
      </c>
      <c r="C15" s="387">
        <f>SUM(10+B15+'Personal File'!$C$13)</f>
        <v>14</v>
      </c>
      <c r="D15" s="382" t="s">
        <v>80</v>
      </c>
      <c r="E15" s="80"/>
      <c r="F15" s="450"/>
      <c r="G15" s="446" t="s">
        <v>296</v>
      </c>
      <c r="H15" s="447">
        <f ca="1">H10+H14+'Personal File'!C13</f>
        <v>20</v>
      </c>
      <c r="J15" s="80"/>
      <c r="K15" s="80"/>
      <c r="L15" s="80"/>
      <c r="M15" s="80"/>
      <c r="N15" s="80"/>
      <c r="O15" s="80"/>
      <c r="P15" s="559" t="s">
        <v>81</v>
      </c>
      <c r="R15" s="522" t="s">
        <v>180</v>
      </c>
    </row>
    <row r="16" spans="1:19" ht="17.399999999999999" thickBot="1">
      <c r="A16" s="368" t="s">
        <v>278</v>
      </c>
      <c r="B16" s="369">
        <v>2</v>
      </c>
      <c r="C16" s="385">
        <f>SUM(10+B16+'Personal File'!$C$13)</f>
        <v>15</v>
      </c>
      <c r="D16" s="370" t="s">
        <v>80</v>
      </c>
      <c r="E16" s="80"/>
      <c r="F16" s="451"/>
      <c r="G16" s="452" t="s">
        <v>297</v>
      </c>
      <c r="H16" s="456">
        <v>0</v>
      </c>
      <c r="J16" s="80"/>
      <c r="K16" s="80"/>
      <c r="L16" s="80"/>
      <c r="M16" s="80"/>
      <c r="N16" s="80"/>
      <c r="O16" s="80"/>
      <c r="P16" s="89" t="s">
        <v>240</v>
      </c>
      <c r="R16" s="523" t="s">
        <v>181</v>
      </c>
    </row>
    <row r="17" spans="1:18" ht="17.399999999999999" thickTop="1">
      <c r="A17" s="275" t="s">
        <v>278</v>
      </c>
      <c r="B17" s="105">
        <v>2</v>
      </c>
      <c r="C17" s="387">
        <f>SUM(10+B17+'Personal File'!$C$13)</f>
        <v>15</v>
      </c>
      <c r="D17" s="84" t="s">
        <v>80</v>
      </c>
      <c r="E17" s="80"/>
      <c r="F17" s="80"/>
      <c r="G17" s="80"/>
      <c r="H17" s="80"/>
      <c r="I17" s="80"/>
      <c r="J17" s="80"/>
      <c r="K17" s="80"/>
      <c r="L17" s="80"/>
      <c r="M17" s="80"/>
      <c r="N17" s="80"/>
      <c r="O17" s="80"/>
      <c r="R17" s="88"/>
    </row>
    <row r="18" spans="1:18" ht="16.8">
      <c r="A18" s="368" t="s">
        <v>335</v>
      </c>
      <c r="B18" s="369">
        <v>3</v>
      </c>
      <c r="C18" s="385">
        <f>SUM(10+B18+'Personal File'!$C$13)</f>
        <v>16</v>
      </c>
      <c r="D18" s="370" t="s">
        <v>80</v>
      </c>
      <c r="E18" s="80"/>
      <c r="F18" s="80"/>
      <c r="G18" s="80"/>
      <c r="H18" s="80"/>
      <c r="I18" s="80"/>
      <c r="J18" s="80"/>
      <c r="K18" s="80"/>
      <c r="L18" s="80"/>
      <c r="M18" s="80"/>
      <c r="N18" s="80"/>
      <c r="O18" s="80"/>
    </row>
    <row r="19" spans="1:18" ht="17.399999999999999" thickBot="1">
      <c r="A19" s="555" t="s">
        <v>335</v>
      </c>
      <c r="B19" s="556">
        <v>3</v>
      </c>
      <c r="C19" s="557">
        <f>SUM(10+B19+'Personal File'!$C$13)</f>
        <v>16</v>
      </c>
      <c r="D19" s="558" t="s">
        <v>80</v>
      </c>
    </row>
    <row r="20" spans="1:18" ht="16.2" thickTop="1">
      <c r="E20" s="80"/>
      <c r="F20" s="80"/>
      <c r="G20" s="80"/>
      <c r="H20" s="80"/>
      <c r="I20" s="80"/>
      <c r="J20" s="80"/>
      <c r="K20" s="80"/>
      <c r="L20" s="80"/>
      <c r="M20" s="80"/>
      <c r="N20" s="80"/>
      <c r="O20" s="80"/>
      <c r="P20" s="76"/>
    </row>
  </sheetData>
  <phoneticPr fontId="0" type="noConversion"/>
  <conditionalFormatting sqref="D18 D13:D15">
    <cfRule type="cellIs" dxfId="41" priority="8" stopIfTrue="1" operator="equal">
      <formula>"þ"</formula>
    </cfRule>
  </conditionalFormatting>
  <conditionalFormatting sqref="D17">
    <cfRule type="cellIs" dxfId="40" priority="7" stopIfTrue="1" operator="equal">
      <formula>"þ"</formula>
    </cfRule>
  </conditionalFormatting>
  <conditionalFormatting sqref="D16">
    <cfRule type="cellIs" dxfId="39" priority="6" stopIfTrue="1" operator="equal">
      <formula>"þ"</formula>
    </cfRule>
  </conditionalFormatting>
  <conditionalFormatting sqref="D19">
    <cfRule type="cellIs" dxfId="38" priority="5" stopIfTrue="1" operator="equal">
      <formula>"þ"</formula>
    </cfRule>
  </conditionalFormatting>
  <conditionalFormatting sqref="D8 D3:D5">
    <cfRule type="cellIs" dxfId="37" priority="4" stopIfTrue="1" operator="equal">
      <formula>"þ"</formula>
    </cfRule>
  </conditionalFormatting>
  <conditionalFormatting sqref="D7">
    <cfRule type="cellIs" dxfId="36" priority="3" stopIfTrue="1" operator="equal">
      <formula>"þ"</formula>
    </cfRule>
  </conditionalFormatting>
  <conditionalFormatting sqref="D6">
    <cfRule type="cellIs" dxfId="35" priority="2" stopIfTrue="1" operator="equal">
      <formula>"þ"</formula>
    </cfRule>
  </conditionalFormatting>
  <conditionalFormatting sqref="D9">
    <cfRule type="cellIs" dxfId="3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showGridLines="0" zoomScaleNormal="100" workbookViewId="0"/>
  </sheetViews>
  <sheetFormatPr defaultColWidth="13" defaultRowHeight="15.6"/>
  <cols>
    <col min="1" max="1" width="37.19921875" style="32" bestFit="1" customWidth="1"/>
    <col min="2" max="2" width="8.59765625" style="32" customWidth="1"/>
    <col min="3" max="3" width="7.09765625" style="32" customWidth="1"/>
    <col min="4" max="4" width="8.19921875" style="32" customWidth="1"/>
    <col min="5" max="5" width="8.3984375" style="32" customWidth="1"/>
    <col min="6" max="6" width="8.3984375" style="32" bestFit="1" customWidth="1"/>
    <col min="7" max="7" width="7.8984375" style="32" bestFit="1" customWidth="1"/>
    <col min="8" max="10" width="5.59765625" style="32" customWidth="1"/>
    <col min="11" max="11" width="27.69921875" style="32" bestFit="1" customWidth="1"/>
    <col min="12" max="12" width="2" style="19" customWidth="1"/>
    <col min="13" max="13" width="5.8984375" style="19" bestFit="1" customWidth="1"/>
    <col min="14" max="16384" width="13" style="19"/>
  </cols>
  <sheetData>
    <row r="1" spans="1:13" ht="23.4" thickBot="1">
      <c r="A1" s="18" t="s">
        <v>332</v>
      </c>
      <c r="B1" s="18"/>
      <c r="C1" s="18"/>
      <c r="D1" s="18"/>
      <c r="E1" s="18"/>
      <c r="F1" s="18"/>
      <c r="G1" s="18"/>
      <c r="H1" s="18"/>
      <c r="I1" s="18"/>
      <c r="J1" s="18"/>
      <c r="K1" s="18"/>
    </row>
    <row r="2" spans="1:13" ht="16.8" thickTop="1" thickBot="1">
      <c r="A2" s="20" t="s">
        <v>6</v>
      </c>
      <c r="B2" s="21" t="s">
        <v>7</v>
      </c>
      <c r="C2" s="21" t="s">
        <v>26</v>
      </c>
      <c r="D2" s="21" t="s">
        <v>27</v>
      </c>
      <c r="E2" s="22" t="s">
        <v>70</v>
      </c>
      <c r="F2" s="21" t="s">
        <v>25</v>
      </c>
      <c r="G2" s="21" t="s">
        <v>28</v>
      </c>
      <c r="H2" s="23" t="s">
        <v>151</v>
      </c>
      <c r="I2" s="24" t="s">
        <v>174</v>
      </c>
      <c r="J2" s="23" t="s">
        <v>87</v>
      </c>
      <c r="K2" s="25" t="s">
        <v>5</v>
      </c>
      <c r="M2" s="284" t="s">
        <v>213</v>
      </c>
    </row>
    <row r="3" spans="1:13">
      <c r="A3" s="410" t="s">
        <v>344</v>
      </c>
      <c r="B3" s="411" t="s">
        <v>355</v>
      </c>
      <c r="C3" s="550" t="str">
        <f>CONCATENATE("+",'Personal File'!$C$8*2," + 1")</f>
        <v>+6 + 1</v>
      </c>
      <c r="D3" s="412" t="s">
        <v>214</v>
      </c>
      <c r="E3" s="436" t="s">
        <v>289</v>
      </c>
      <c r="F3" s="413" t="s">
        <v>242</v>
      </c>
      <c r="G3" s="431">
        <v>16</v>
      </c>
      <c r="H3" s="432" t="str">
        <f>CONCATENATE("+",'Personal File'!$B$6+'Personal File'!$C$8+D3+1)</f>
        <v>+16</v>
      </c>
      <c r="I3" s="414">
        <f t="shared" ref="I3:I15" ca="1" si="0">RANDBETWEEN(1,20)</f>
        <v>11</v>
      </c>
      <c r="J3" s="415">
        <f t="shared" ref="J3:J15" ca="1" si="1">I3+RIGHT(H3,2)</f>
        <v>27</v>
      </c>
      <c r="K3" s="490" t="s">
        <v>349</v>
      </c>
      <c r="M3" s="416">
        <v>21550</v>
      </c>
    </row>
    <row r="4" spans="1:13">
      <c r="A4" s="422" t="s">
        <v>287</v>
      </c>
      <c r="B4" s="423" t="s">
        <v>355</v>
      </c>
      <c r="C4" s="551" t="str">
        <f>CONCATENATE("+",'Personal File'!$C$8*2," + 1")</f>
        <v>+6 + 1</v>
      </c>
      <c r="D4" s="424" t="s">
        <v>214</v>
      </c>
      <c r="E4" s="544" t="s">
        <v>289</v>
      </c>
      <c r="F4" s="426" t="s">
        <v>242</v>
      </c>
      <c r="G4" s="547"/>
      <c r="H4" s="429" t="str">
        <f t="shared" ref="H4:H5" si="2">CONCATENATE("+",H3-5)</f>
        <v>+11</v>
      </c>
      <c r="I4" s="428">
        <f t="shared" ca="1" si="0"/>
        <v>12</v>
      </c>
      <c r="J4" s="429">
        <f t="shared" ref="J4" ca="1" si="3">I4+RIGHT(H4,2)</f>
        <v>23</v>
      </c>
      <c r="K4" s="546"/>
      <c r="M4" s="417"/>
    </row>
    <row r="5" spans="1:13">
      <c r="A5" s="422" t="s">
        <v>351</v>
      </c>
      <c r="B5" s="423" t="s">
        <v>355</v>
      </c>
      <c r="C5" s="551" t="str">
        <f>CONCATENATE("+",'Personal File'!$C$8*2," + 1")</f>
        <v>+6 + 1</v>
      </c>
      <c r="D5" s="424" t="s">
        <v>214</v>
      </c>
      <c r="E5" s="544" t="s">
        <v>289</v>
      </c>
      <c r="F5" s="426" t="s">
        <v>242</v>
      </c>
      <c r="G5" s="547"/>
      <c r="H5" s="545" t="str">
        <f t="shared" si="2"/>
        <v>+6</v>
      </c>
      <c r="I5" s="428">
        <f t="shared" ca="1" si="0"/>
        <v>14</v>
      </c>
      <c r="J5" s="429">
        <f t="shared" ca="1" si="1"/>
        <v>20</v>
      </c>
      <c r="K5" s="430"/>
      <c r="M5" s="417"/>
    </row>
    <row r="6" spans="1:13">
      <c r="A6" s="392" t="s">
        <v>352</v>
      </c>
      <c r="B6" s="393" t="s">
        <v>355</v>
      </c>
      <c r="C6" s="552" t="str">
        <f>CONCATENATE("+",'Personal File'!$C$8*2," + 1")</f>
        <v>+6 + 1</v>
      </c>
      <c r="D6" s="394" t="s">
        <v>214</v>
      </c>
      <c r="E6" s="437" t="s">
        <v>289</v>
      </c>
      <c r="F6" s="396" t="s">
        <v>242</v>
      </c>
      <c r="G6" s="421"/>
      <c r="H6" s="420" t="str">
        <f>CONCATENATE("+",'Personal File'!$B$6+'Personal File'!$C$8+D6+1)</f>
        <v>+16</v>
      </c>
      <c r="I6" s="397">
        <f t="shared" ca="1" si="0"/>
        <v>17</v>
      </c>
      <c r="J6" s="398">
        <f t="shared" ref="J6" ca="1" si="4">I6+RIGHT(H6,2)</f>
        <v>33</v>
      </c>
      <c r="K6" s="399"/>
      <c r="M6" s="417"/>
    </row>
    <row r="7" spans="1:13">
      <c r="A7" s="400" t="s">
        <v>233</v>
      </c>
      <c r="B7" s="401" t="s">
        <v>183</v>
      </c>
      <c r="C7" s="553" t="str">
        <f>CONCATENATE("+",'Personal File'!$C$8*2," - 1")</f>
        <v>+6 - 1</v>
      </c>
      <c r="D7" s="402" t="s">
        <v>214</v>
      </c>
      <c r="E7" s="403" t="s">
        <v>189</v>
      </c>
      <c r="F7" s="404" t="s">
        <v>190</v>
      </c>
      <c r="G7" s="405">
        <v>10</v>
      </c>
      <c r="H7" s="406" t="str">
        <f>CONCATENATE("+",'Personal File'!$B$6+'Personal File'!$C$8+D7)</f>
        <v>+15</v>
      </c>
      <c r="I7" s="407">
        <f t="shared" ca="1" si="0"/>
        <v>9</v>
      </c>
      <c r="J7" s="408">
        <f t="shared" ca="1" si="1"/>
        <v>24</v>
      </c>
      <c r="K7" s="409" t="s">
        <v>244</v>
      </c>
      <c r="M7" s="433">
        <v>405</v>
      </c>
    </row>
    <row r="8" spans="1:13">
      <c r="A8" s="422" t="s">
        <v>287</v>
      </c>
      <c r="B8" s="423" t="s">
        <v>183</v>
      </c>
      <c r="C8" s="551" t="str">
        <f>CONCATENATE("+",'Personal File'!$C$8*2," - 1")</f>
        <v>+6 - 1</v>
      </c>
      <c r="D8" s="424" t="s">
        <v>214</v>
      </c>
      <c r="E8" s="425" t="s">
        <v>189</v>
      </c>
      <c r="F8" s="426" t="s">
        <v>190</v>
      </c>
      <c r="G8" s="548"/>
      <c r="H8" s="429" t="str">
        <f t="shared" ref="H8:H14" si="5">CONCATENATE("+",H7-5)</f>
        <v>+10</v>
      </c>
      <c r="I8" s="428">
        <f t="shared" ca="1" si="0"/>
        <v>13</v>
      </c>
      <c r="J8" s="429">
        <f t="shared" ca="1" si="1"/>
        <v>23</v>
      </c>
      <c r="K8" s="430"/>
      <c r="M8" s="417"/>
    </row>
    <row r="9" spans="1:13">
      <c r="A9" s="422" t="s">
        <v>351</v>
      </c>
      <c r="B9" s="423" t="s">
        <v>183</v>
      </c>
      <c r="C9" s="551" t="str">
        <f>CONCATENATE("+",'Personal File'!$C$8*2," - 1")</f>
        <v>+6 - 1</v>
      </c>
      <c r="D9" s="424" t="s">
        <v>214</v>
      </c>
      <c r="E9" s="425" t="s">
        <v>189</v>
      </c>
      <c r="F9" s="426" t="s">
        <v>190</v>
      </c>
      <c r="G9" s="548"/>
      <c r="H9" s="545" t="str">
        <f t="shared" si="5"/>
        <v>+5</v>
      </c>
      <c r="I9" s="428">
        <f t="shared" ca="1" si="0"/>
        <v>1</v>
      </c>
      <c r="J9" s="429">
        <f t="shared" ref="J9:J10" ca="1" si="6">I9+RIGHT(H9,2)</f>
        <v>6</v>
      </c>
      <c r="K9" s="430"/>
      <c r="M9" s="549"/>
    </row>
    <row r="10" spans="1:13">
      <c r="A10" s="392" t="s">
        <v>352</v>
      </c>
      <c r="B10" s="393" t="s">
        <v>183</v>
      </c>
      <c r="C10" s="552" t="str">
        <f>CONCATENATE("+",'Personal File'!$C$8*2," - 1")</f>
        <v>+6 - 1</v>
      </c>
      <c r="D10" s="394" t="s">
        <v>214</v>
      </c>
      <c r="E10" s="395" t="s">
        <v>189</v>
      </c>
      <c r="F10" s="396" t="s">
        <v>190</v>
      </c>
      <c r="G10" s="419"/>
      <c r="H10" s="420" t="str">
        <f t="shared" si="5"/>
        <v>+0</v>
      </c>
      <c r="I10" s="397">
        <f t="shared" ca="1" si="0"/>
        <v>20</v>
      </c>
      <c r="J10" s="398">
        <f t="shared" ca="1" si="6"/>
        <v>20</v>
      </c>
      <c r="K10" s="399"/>
      <c r="M10" s="549"/>
    </row>
    <row r="11" spans="1:13">
      <c r="A11" s="400" t="s">
        <v>207</v>
      </c>
      <c r="B11" s="401" t="s">
        <v>237</v>
      </c>
      <c r="C11" s="553" t="str">
        <f>CONCATENATE("+",'Personal File'!$C$8*2)</f>
        <v>+6</v>
      </c>
      <c r="D11" s="402">
        <v>0</v>
      </c>
      <c r="E11" s="403" t="s">
        <v>238</v>
      </c>
      <c r="F11" s="404" t="s">
        <v>239</v>
      </c>
      <c r="G11" s="405" t="s">
        <v>217</v>
      </c>
      <c r="H11" s="406" t="str">
        <f>CONCATENATE("+",'Personal File'!$B$6+'Personal File'!$C$8+D11)</f>
        <v>+14</v>
      </c>
      <c r="I11" s="407">
        <f t="shared" ca="1" si="0"/>
        <v>4</v>
      </c>
      <c r="J11" s="408">
        <f t="shared" ca="1" si="1"/>
        <v>18</v>
      </c>
      <c r="K11" s="409"/>
      <c r="M11" s="297">
        <v>10</v>
      </c>
    </row>
    <row r="12" spans="1:13">
      <c r="A12" s="422" t="s">
        <v>287</v>
      </c>
      <c r="B12" s="423" t="s">
        <v>237</v>
      </c>
      <c r="C12" s="551" t="str">
        <f>CONCATENATE("+",'Personal File'!$C$8*2)</f>
        <v>+6</v>
      </c>
      <c r="D12" s="424" t="s">
        <v>64</v>
      </c>
      <c r="E12" s="425" t="s">
        <v>238</v>
      </c>
      <c r="F12" s="426" t="s">
        <v>239</v>
      </c>
      <c r="G12" s="548"/>
      <c r="H12" s="429" t="str">
        <f t="shared" si="5"/>
        <v>+9</v>
      </c>
      <c r="I12" s="428">
        <f t="shared" ca="1" si="0"/>
        <v>10</v>
      </c>
      <c r="J12" s="429">
        <f t="shared" ca="1" si="1"/>
        <v>19</v>
      </c>
      <c r="K12" s="430"/>
      <c r="M12" s="417"/>
    </row>
    <row r="13" spans="1:13">
      <c r="A13" s="422" t="s">
        <v>351</v>
      </c>
      <c r="B13" s="423" t="s">
        <v>237</v>
      </c>
      <c r="C13" s="551" t="str">
        <f>CONCATENATE("+",'Personal File'!$C$8*2)</f>
        <v>+6</v>
      </c>
      <c r="D13" s="424" t="s">
        <v>64</v>
      </c>
      <c r="E13" s="425" t="s">
        <v>238</v>
      </c>
      <c r="F13" s="426" t="s">
        <v>239</v>
      </c>
      <c r="G13" s="548"/>
      <c r="H13" s="545" t="str">
        <f t="shared" si="5"/>
        <v>+4</v>
      </c>
      <c r="I13" s="428">
        <f t="shared" ca="1" si="0"/>
        <v>17</v>
      </c>
      <c r="J13" s="429">
        <f t="shared" ref="J13:J14" ca="1" si="7">I13+RIGHT(H13,2)</f>
        <v>21</v>
      </c>
      <c r="K13" s="430"/>
      <c r="M13" s="549"/>
    </row>
    <row r="14" spans="1:13">
      <c r="A14" s="392" t="s">
        <v>352</v>
      </c>
      <c r="B14" s="393" t="s">
        <v>237</v>
      </c>
      <c r="C14" s="552" t="str">
        <f>CONCATENATE("+",'Personal File'!$C$8*2)</f>
        <v>+6</v>
      </c>
      <c r="D14" s="394" t="s">
        <v>64</v>
      </c>
      <c r="E14" s="395" t="s">
        <v>238</v>
      </c>
      <c r="F14" s="396" t="s">
        <v>239</v>
      </c>
      <c r="G14" s="419"/>
      <c r="H14" s="420" t="str">
        <f t="shared" si="5"/>
        <v>+-1</v>
      </c>
      <c r="I14" s="397">
        <f t="shared" ca="1" si="0"/>
        <v>11</v>
      </c>
      <c r="J14" s="398">
        <f t="shared" ca="1" si="7"/>
        <v>10</v>
      </c>
      <c r="K14" s="399"/>
      <c r="M14" s="549"/>
    </row>
    <row r="15" spans="1:13" ht="16.2" thickBot="1">
      <c r="A15" s="280" t="s">
        <v>281</v>
      </c>
      <c r="B15" s="26" t="s">
        <v>247</v>
      </c>
      <c r="C15" s="27" t="s">
        <v>247</v>
      </c>
      <c r="D15" s="26">
        <v>0</v>
      </c>
      <c r="E15" s="28" t="s">
        <v>247</v>
      </c>
      <c r="F15" s="26" t="s">
        <v>247</v>
      </c>
      <c r="G15" s="29">
        <v>0</v>
      </c>
      <c r="H15" s="30" t="str">
        <f>CONCATENATE("+",'Personal File'!$B$6+'Personal File'!$C$8+D15)</f>
        <v>+14</v>
      </c>
      <c r="I15" s="388">
        <f t="shared" ca="1" si="0"/>
        <v>3</v>
      </c>
      <c r="J15" s="389">
        <f t="shared" ca="1" si="1"/>
        <v>17</v>
      </c>
      <c r="K15" s="31"/>
      <c r="M15" s="418"/>
    </row>
    <row r="16" spans="1:13" ht="16.8" thickTop="1" thickBot="1"/>
    <row r="17" spans="1:13" ht="16.8" thickTop="1" thickBot="1">
      <c r="A17" s="460" t="s">
        <v>9</v>
      </c>
      <c r="B17" s="461" t="s">
        <v>10</v>
      </c>
      <c r="C17" s="461" t="s">
        <v>26</v>
      </c>
      <c r="D17" s="461" t="s">
        <v>27</v>
      </c>
      <c r="E17" s="462" t="s">
        <v>70</v>
      </c>
      <c r="F17" s="461" t="s">
        <v>11</v>
      </c>
      <c r="G17" s="461" t="s">
        <v>28</v>
      </c>
      <c r="H17" s="463" t="s">
        <v>151</v>
      </c>
      <c r="I17" s="464" t="s">
        <v>174</v>
      </c>
      <c r="J17" s="463" t="s">
        <v>87</v>
      </c>
      <c r="K17" s="465" t="s">
        <v>5</v>
      </c>
      <c r="M17" s="284" t="s">
        <v>213</v>
      </c>
    </row>
    <row r="18" spans="1:13" ht="16.2" thickTop="1">
      <c r="A18" s="466" t="s">
        <v>288</v>
      </c>
      <c r="B18" s="467" t="s">
        <v>234</v>
      </c>
      <c r="C18" s="468" t="s">
        <v>357</v>
      </c>
      <c r="D18" s="468" t="s">
        <v>64</v>
      </c>
      <c r="E18" s="467" t="s">
        <v>235</v>
      </c>
      <c r="F18" s="469" t="s">
        <v>236</v>
      </c>
      <c r="G18" s="470">
        <f>2*RIGHT(A18,1)</f>
        <v>6</v>
      </c>
      <c r="H18" s="471" t="str">
        <f>CONCATENATE("+",'Personal File'!$B$6+'Personal File'!$C$9+D18)</f>
        <v>+12</v>
      </c>
      <c r="I18" s="472">
        <f ca="1">RANDBETWEEN(1,20)</f>
        <v>10</v>
      </c>
      <c r="J18" s="473">
        <f t="shared" ref="J18:J23" ca="1" si="8">I18+RIGHT(H18,2)</f>
        <v>22</v>
      </c>
      <c r="K18" s="474"/>
      <c r="M18" s="291" t="str">
        <f>RIGHT(A18,1)</f>
        <v>3</v>
      </c>
    </row>
    <row r="19" spans="1:13">
      <c r="A19" s="422" t="s">
        <v>350</v>
      </c>
      <c r="B19" s="423" t="s">
        <v>237</v>
      </c>
      <c r="C19" s="493" t="s">
        <v>357</v>
      </c>
      <c r="D19" s="493" t="s">
        <v>214</v>
      </c>
      <c r="E19" s="423" t="s">
        <v>238</v>
      </c>
      <c r="F19" s="494" t="s">
        <v>309</v>
      </c>
      <c r="G19" s="427">
        <v>3</v>
      </c>
      <c r="H19" s="496" t="str">
        <f>CONCATENATE("+",'Personal File'!$B$6+'Personal File'!$C$9+D19)</f>
        <v>+13</v>
      </c>
      <c r="I19" s="497">
        <f ca="1">RANDBETWEEN(1,20)</f>
        <v>1</v>
      </c>
      <c r="J19" s="498">
        <f t="shared" ref="J19" ca="1" si="9">I19+RIGHT(H19,2)</f>
        <v>14</v>
      </c>
      <c r="K19" s="495"/>
      <c r="M19" s="433">
        <v>700</v>
      </c>
    </row>
    <row r="20" spans="1:13">
      <c r="A20" s="422" t="s">
        <v>287</v>
      </c>
      <c r="B20" s="423" t="s">
        <v>237</v>
      </c>
      <c r="C20" s="493" t="s">
        <v>357</v>
      </c>
      <c r="D20" s="493" t="s">
        <v>214</v>
      </c>
      <c r="E20" s="423" t="s">
        <v>238</v>
      </c>
      <c r="F20" s="494" t="s">
        <v>309</v>
      </c>
      <c r="G20" s="548"/>
      <c r="H20" s="429" t="str">
        <f t="shared" ref="H20:H22" si="10">CONCATENATE("+",H19-5)</f>
        <v>+8</v>
      </c>
      <c r="I20" s="497">
        <f t="shared" ref="I20:I22" ca="1" si="11">RANDBETWEEN(1,20)</f>
        <v>7</v>
      </c>
      <c r="J20" s="498">
        <f t="shared" ref="J20:J22" ca="1" si="12">I20+RIGHT(H20,2)</f>
        <v>15</v>
      </c>
      <c r="K20" s="495"/>
      <c r="M20" s="549"/>
    </row>
    <row r="21" spans="1:13">
      <c r="A21" s="422" t="s">
        <v>351</v>
      </c>
      <c r="B21" s="423" t="s">
        <v>237</v>
      </c>
      <c r="C21" s="493" t="s">
        <v>357</v>
      </c>
      <c r="D21" s="493" t="s">
        <v>214</v>
      </c>
      <c r="E21" s="423" t="s">
        <v>238</v>
      </c>
      <c r="F21" s="494" t="s">
        <v>309</v>
      </c>
      <c r="G21" s="548"/>
      <c r="H21" s="545" t="str">
        <f t="shared" si="10"/>
        <v>+3</v>
      </c>
      <c r="I21" s="497">
        <f t="shared" ca="1" si="11"/>
        <v>11</v>
      </c>
      <c r="J21" s="498">
        <f t="shared" ca="1" si="12"/>
        <v>14</v>
      </c>
      <c r="K21" s="495"/>
      <c r="M21" s="549"/>
    </row>
    <row r="22" spans="1:13">
      <c r="A22" s="422" t="s">
        <v>353</v>
      </c>
      <c r="B22" s="423" t="s">
        <v>237</v>
      </c>
      <c r="C22" s="493" t="s">
        <v>357</v>
      </c>
      <c r="D22" s="493" t="s">
        <v>214</v>
      </c>
      <c r="E22" s="423" t="s">
        <v>238</v>
      </c>
      <c r="F22" s="494" t="s">
        <v>309</v>
      </c>
      <c r="G22" s="419"/>
      <c r="H22" s="420" t="str">
        <f t="shared" si="10"/>
        <v>+-2</v>
      </c>
      <c r="I22" s="497">
        <f t="shared" ca="1" si="11"/>
        <v>1</v>
      </c>
      <c r="J22" s="498">
        <f t="shared" ca="1" si="12"/>
        <v>-1</v>
      </c>
      <c r="K22" s="495"/>
      <c r="M22" s="549"/>
    </row>
    <row r="23" spans="1:13" ht="16.2" thickBot="1">
      <c r="A23" s="475"/>
      <c r="B23" s="28"/>
      <c r="C23" s="476"/>
      <c r="D23" s="477"/>
      <c r="E23" s="478"/>
      <c r="F23" s="479"/>
      <c r="G23" s="480"/>
      <c r="H23" s="480" t="str">
        <f>CONCATENATE("+",'Personal File'!$B$6+'Personal File'!$C$9+D23)</f>
        <v>+12</v>
      </c>
      <c r="I23" s="388">
        <f ca="1">RANDBETWEEN(1,20)</f>
        <v>6</v>
      </c>
      <c r="J23" s="389">
        <f t="shared" ca="1" si="8"/>
        <v>18</v>
      </c>
      <c r="K23" s="481"/>
      <c r="M23" s="304"/>
    </row>
    <row r="24" spans="1:13" ht="16.8" thickTop="1" thickBot="1">
      <c r="D24" s="35"/>
      <c r="E24" s="35"/>
      <c r="G24" s="36"/>
      <c r="H24" s="36"/>
      <c r="I24" s="36"/>
      <c r="J24" s="36"/>
    </row>
    <row r="25" spans="1:13" ht="16.8" thickTop="1" thickBot="1">
      <c r="A25" s="20" t="s">
        <v>74</v>
      </c>
      <c r="B25" s="21" t="s">
        <v>19</v>
      </c>
      <c r="C25" s="21" t="s">
        <v>35</v>
      </c>
      <c r="D25" s="21" t="s">
        <v>87</v>
      </c>
      <c r="E25" s="21" t="s">
        <v>88</v>
      </c>
      <c r="F25" s="21" t="s">
        <v>89</v>
      </c>
      <c r="G25" s="21" t="s">
        <v>28</v>
      </c>
      <c r="H25" s="37" t="s">
        <v>5</v>
      </c>
      <c r="I25" s="38"/>
      <c r="J25" s="38"/>
      <c r="K25" s="39"/>
      <c r="M25" s="284" t="s">
        <v>213</v>
      </c>
    </row>
    <row r="26" spans="1:13">
      <c r="A26" s="570" t="s">
        <v>354</v>
      </c>
      <c r="B26" s="571">
        <f>8+3</f>
        <v>11</v>
      </c>
      <c r="C26" s="572">
        <v>8</v>
      </c>
      <c r="D26" s="571">
        <v>-5</v>
      </c>
      <c r="E26" s="573">
        <v>0.35</v>
      </c>
      <c r="F26" s="571" t="s">
        <v>245</v>
      </c>
      <c r="G26" s="574">
        <v>50</v>
      </c>
      <c r="H26" s="575" t="s">
        <v>348</v>
      </c>
      <c r="I26" s="576"/>
      <c r="J26" s="576"/>
      <c r="K26" s="577"/>
      <c r="M26" s="291">
        <v>10650</v>
      </c>
    </row>
    <row r="27" spans="1:13">
      <c r="A27" s="578" t="s">
        <v>210</v>
      </c>
      <c r="B27" s="579" t="s">
        <v>247</v>
      </c>
      <c r="C27" s="580" t="s">
        <v>247</v>
      </c>
      <c r="D27" s="579" t="s">
        <v>247</v>
      </c>
      <c r="E27" s="581" t="s">
        <v>247</v>
      </c>
      <c r="F27" s="579" t="s">
        <v>247</v>
      </c>
      <c r="G27" s="582">
        <v>0</v>
      </c>
      <c r="H27" s="583" t="s">
        <v>356</v>
      </c>
      <c r="I27" s="584"/>
      <c r="J27" s="584"/>
      <c r="K27" s="585"/>
      <c r="M27" s="554">
        <v>500</v>
      </c>
    </row>
    <row r="28" spans="1:13">
      <c r="A28" s="561" t="s">
        <v>246</v>
      </c>
      <c r="B28" s="562">
        <v>3</v>
      </c>
      <c r="C28" s="563">
        <v>0</v>
      </c>
      <c r="D28" s="562">
        <v>0</v>
      </c>
      <c r="E28" s="564">
        <v>0.15</v>
      </c>
      <c r="F28" s="562" t="s">
        <v>247</v>
      </c>
      <c r="G28" s="565">
        <v>5</v>
      </c>
      <c r="H28" s="566"/>
      <c r="I28" s="567"/>
      <c r="J28" s="567"/>
      <c r="K28" s="568"/>
      <c r="M28" s="433">
        <v>9257</v>
      </c>
    </row>
    <row r="29" spans="1:13" ht="16.2" thickBot="1">
      <c r="A29" s="279" t="s">
        <v>306</v>
      </c>
      <c r="B29" s="33" t="s">
        <v>247</v>
      </c>
      <c r="C29" s="33" t="s">
        <v>247</v>
      </c>
      <c r="D29" s="33" t="s">
        <v>247</v>
      </c>
      <c r="E29" s="41" t="s">
        <v>247</v>
      </c>
      <c r="F29" s="354" t="s">
        <v>247</v>
      </c>
      <c r="G29" s="34">
        <v>0</v>
      </c>
      <c r="H29" s="569" t="s">
        <v>358</v>
      </c>
      <c r="I29" s="42"/>
      <c r="J29" s="42"/>
      <c r="K29" s="43"/>
      <c r="M29" s="304">
        <v>500</v>
      </c>
    </row>
    <row r="30" spans="1:13" ht="16.8" thickTop="1" thickBot="1"/>
    <row r="31" spans="1:13" ht="16.8" thickTop="1" thickBot="1">
      <c r="A31" s="44"/>
      <c r="B31" s="36"/>
      <c r="D31" s="45" t="s">
        <v>75</v>
      </c>
      <c r="E31" s="46"/>
      <c r="F31" s="37" t="s">
        <v>8</v>
      </c>
      <c r="G31" s="21" t="s">
        <v>28</v>
      </c>
      <c r="H31" s="23" t="s">
        <v>151</v>
      </c>
      <c r="I31" s="23"/>
      <c r="J31" s="38"/>
      <c r="K31" s="47" t="s">
        <v>5</v>
      </c>
      <c r="M31" s="284" t="s">
        <v>213</v>
      </c>
    </row>
    <row r="32" spans="1:13">
      <c r="A32" s="44"/>
      <c r="B32" s="36"/>
      <c r="D32" s="499" t="s">
        <v>310</v>
      </c>
      <c r="E32" s="48"/>
      <c r="F32" s="49">
        <v>50</v>
      </c>
      <c r="G32" s="50">
        <f>F32/20</f>
        <v>2.5</v>
      </c>
      <c r="H32" s="51" t="s">
        <v>64</v>
      </c>
      <c r="I32" s="51"/>
      <c r="J32" s="40"/>
      <c r="K32" s="52"/>
      <c r="M32" s="291">
        <v>0</v>
      </c>
    </row>
    <row r="33" spans="4:13" ht="16.2" thickBot="1">
      <c r="D33" s="53"/>
      <c r="E33" s="54"/>
      <c r="F33" s="55"/>
      <c r="G33" s="56"/>
      <c r="H33" s="57"/>
      <c r="I33" s="57"/>
      <c r="J33" s="58"/>
      <c r="K33" s="59"/>
      <c r="M33" s="304"/>
    </row>
    <row r="34" spans="4:13" ht="16.8" thickTop="1" thickBot="1"/>
    <row r="35" spans="4:13" ht="16.8" thickTop="1" thickBot="1">
      <c r="D35" s="45" t="s">
        <v>211</v>
      </c>
      <c r="E35" s="38"/>
      <c r="F35" s="38"/>
      <c r="G35" s="38"/>
      <c r="H35" s="282" t="s">
        <v>8</v>
      </c>
      <c r="I35" s="282" t="s">
        <v>4</v>
      </c>
      <c r="J35" s="282" t="s">
        <v>212</v>
      </c>
      <c r="K35" s="39" t="s">
        <v>85</v>
      </c>
      <c r="L35" s="283"/>
      <c r="M35" s="284" t="s">
        <v>213</v>
      </c>
    </row>
    <row r="36" spans="4:13">
      <c r="D36" s="285" t="s">
        <v>302</v>
      </c>
      <c r="E36" s="286"/>
      <c r="F36" s="286"/>
      <c r="G36" s="287"/>
      <c r="H36" s="288">
        <v>0</v>
      </c>
      <c r="I36" s="289">
        <v>2</v>
      </c>
      <c r="J36" s="289">
        <v>4</v>
      </c>
      <c r="K36" s="290"/>
      <c r="L36" s="283"/>
      <c r="M36" s="291">
        <f>250*H36</f>
        <v>0</v>
      </c>
    </row>
    <row r="37" spans="4:13">
      <c r="D37" s="292" t="s">
        <v>307</v>
      </c>
      <c r="E37" s="293"/>
      <c r="F37" s="293"/>
      <c r="G37" s="294"/>
      <c r="H37" s="295">
        <v>1</v>
      </c>
      <c r="I37" s="17">
        <v>1</v>
      </c>
      <c r="J37" s="17">
        <v>1</v>
      </c>
      <c r="K37" s="296" t="s">
        <v>308</v>
      </c>
      <c r="L37" s="283"/>
      <c r="M37" s="297">
        <v>750</v>
      </c>
    </row>
    <row r="38" spans="4:13" ht="16.2" thickBot="1">
      <c r="D38" s="298" t="s">
        <v>359</v>
      </c>
      <c r="E38" s="299"/>
      <c r="F38" s="299"/>
      <c r="G38" s="300"/>
      <c r="H38" s="301">
        <v>2</v>
      </c>
      <c r="I38" s="302">
        <v>2</v>
      </c>
      <c r="J38" s="302">
        <v>4</v>
      </c>
      <c r="K38" s="303"/>
      <c r="L38" s="283"/>
      <c r="M38" s="304">
        <f>H38*300</f>
        <v>600</v>
      </c>
    </row>
    <row r="39" spans="4:13" ht="16.2" thickTop="1"/>
  </sheetData>
  <phoneticPr fontId="0" type="noConversion"/>
  <conditionalFormatting sqref="I18">
    <cfRule type="cellIs" dxfId="33" priority="37" operator="equal">
      <formula>20</formula>
    </cfRule>
    <cfRule type="cellIs" dxfId="32" priority="38" operator="equal">
      <formula>1</formula>
    </cfRule>
  </conditionalFormatting>
  <conditionalFormatting sqref="I23">
    <cfRule type="cellIs" dxfId="31" priority="35" operator="equal">
      <formula>20</formula>
    </cfRule>
    <cfRule type="cellIs" dxfId="30" priority="36" operator="equal">
      <formula>1</formula>
    </cfRule>
  </conditionalFormatting>
  <conditionalFormatting sqref="I11:I12">
    <cfRule type="cellIs" dxfId="29" priority="33" operator="equal">
      <formula>20</formula>
    </cfRule>
    <cfRule type="cellIs" dxfId="28" priority="34" operator="equal">
      <formula>1</formula>
    </cfRule>
  </conditionalFormatting>
  <conditionalFormatting sqref="I15">
    <cfRule type="cellIs" dxfId="27" priority="31" operator="equal">
      <formula>20</formula>
    </cfRule>
    <cfRule type="cellIs" dxfId="26" priority="32" operator="equal">
      <formula>1</formula>
    </cfRule>
  </conditionalFormatting>
  <conditionalFormatting sqref="I11:I12">
    <cfRule type="cellIs" dxfId="25" priority="29" operator="equal">
      <formula>20</formula>
    </cfRule>
    <cfRule type="cellIs" dxfId="24" priority="30" operator="equal">
      <formula>1</formula>
    </cfRule>
  </conditionalFormatting>
  <conditionalFormatting sqref="I7:I8">
    <cfRule type="cellIs" dxfId="23" priority="27" operator="equal">
      <formula>20</formula>
    </cfRule>
    <cfRule type="cellIs" dxfId="22" priority="28" operator="equal">
      <formula>1</formula>
    </cfRule>
  </conditionalFormatting>
  <conditionalFormatting sqref="I3 I5">
    <cfRule type="cellIs" dxfId="21" priority="25" operator="equal">
      <formula>20</formula>
    </cfRule>
    <cfRule type="cellIs" dxfId="20" priority="26" operator="equal">
      <formula>1</formula>
    </cfRule>
  </conditionalFormatting>
  <conditionalFormatting sqref="I19">
    <cfRule type="cellIs" dxfId="19" priority="17" operator="equal">
      <formula>20</formula>
    </cfRule>
    <cfRule type="cellIs" dxfId="18" priority="18" operator="equal">
      <formula>1</formula>
    </cfRule>
  </conditionalFormatting>
  <conditionalFormatting sqref="I6">
    <cfRule type="cellIs" dxfId="17" priority="15" operator="equal">
      <formula>20</formula>
    </cfRule>
    <cfRule type="cellIs" dxfId="16" priority="16" operator="equal">
      <formula>1</formula>
    </cfRule>
  </conditionalFormatting>
  <conditionalFormatting sqref="I4">
    <cfRule type="cellIs" dxfId="15" priority="13" operator="equal">
      <formula>20</formula>
    </cfRule>
    <cfRule type="cellIs" dxfId="14" priority="14" operator="equal">
      <formula>1</formula>
    </cfRule>
  </conditionalFormatting>
  <conditionalFormatting sqref="I9">
    <cfRule type="cellIs" dxfId="13" priority="11" operator="equal">
      <formula>20</formula>
    </cfRule>
    <cfRule type="cellIs" dxfId="12" priority="12" operator="equal">
      <formula>1</formula>
    </cfRule>
  </conditionalFormatting>
  <conditionalFormatting sqref="I13">
    <cfRule type="cellIs" dxfId="11" priority="9" operator="equal">
      <formula>20</formula>
    </cfRule>
    <cfRule type="cellIs" dxfId="10" priority="10" operator="equal">
      <formula>1</formula>
    </cfRule>
  </conditionalFormatting>
  <conditionalFormatting sqref="I13">
    <cfRule type="cellIs" dxfId="9" priority="7" operator="equal">
      <formula>20</formula>
    </cfRule>
    <cfRule type="cellIs" dxfId="8" priority="8" operator="equal">
      <formula>1</formula>
    </cfRule>
  </conditionalFormatting>
  <conditionalFormatting sqref="I10">
    <cfRule type="cellIs" dxfId="7" priority="5" operator="equal">
      <formula>20</formula>
    </cfRule>
    <cfRule type="cellIs" dxfId="6" priority="6" operator="equal">
      <formula>1</formula>
    </cfRule>
  </conditionalFormatting>
  <conditionalFormatting sqref="I14">
    <cfRule type="cellIs" dxfId="5" priority="3" operator="equal">
      <formula>20</formula>
    </cfRule>
    <cfRule type="cellIs" dxfId="4" priority="4" operator="equal">
      <formula>1</formula>
    </cfRule>
  </conditionalFormatting>
  <conditionalFormatting sqref="I20:I22">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showGridLines="0" workbookViewId="0">
      <selection activeCell="A7" sqref="A7"/>
    </sheetView>
  </sheetViews>
  <sheetFormatPr defaultColWidth="13" defaultRowHeight="15.6"/>
  <cols>
    <col min="1" max="1" width="27" style="32" bestFit="1" customWidth="1"/>
    <col min="2" max="2" width="4.69921875" style="32" bestFit="1" customWidth="1"/>
    <col min="3" max="3" width="5.59765625" style="36" bestFit="1" customWidth="1"/>
    <col min="4" max="5" width="26.59765625" style="19" customWidth="1"/>
    <col min="6" max="6" width="2.69921875" style="19" customWidth="1"/>
    <col min="7" max="7" width="8.3984375" style="19" bestFit="1" customWidth="1"/>
    <col min="8" max="16384" width="13" style="19"/>
  </cols>
  <sheetData>
    <row r="1" spans="1:7" ht="23.4" thickBot="1">
      <c r="A1" s="18" t="s">
        <v>82</v>
      </c>
      <c r="B1" s="18"/>
      <c r="C1" s="60"/>
      <c r="D1" s="18"/>
      <c r="E1" s="18"/>
    </row>
    <row r="2" spans="1:7" s="32" customFormat="1" ht="16.8" thickTop="1" thickBot="1">
      <c r="A2" s="61" t="s">
        <v>83</v>
      </c>
      <c r="B2" s="61" t="s">
        <v>8</v>
      </c>
      <c r="C2" s="62" t="s">
        <v>28</v>
      </c>
      <c r="D2" s="63" t="s">
        <v>84</v>
      </c>
      <c r="E2" s="64" t="s">
        <v>85</v>
      </c>
      <c r="G2" s="305" t="s">
        <v>213</v>
      </c>
    </row>
    <row r="3" spans="1:7">
      <c r="A3" s="243" t="s">
        <v>206</v>
      </c>
      <c r="B3" s="485">
        <v>1</v>
      </c>
      <c r="C3" s="66">
        <v>0</v>
      </c>
      <c r="D3" s="67"/>
      <c r="E3" s="68"/>
      <c r="G3" s="306">
        <v>25</v>
      </c>
    </row>
    <row r="4" spans="1:7">
      <c r="A4" s="69" t="s">
        <v>173</v>
      </c>
      <c r="B4" s="483">
        <v>1</v>
      </c>
      <c r="C4" s="70" t="s">
        <v>182</v>
      </c>
      <c r="D4" s="67"/>
      <c r="E4" s="68"/>
      <c r="G4" s="351" t="s">
        <v>247</v>
      </c>
    </row>
    <row r="5" spans="1:7">
      <c r="A5" s="65" t="s">
        <v>171</v>
      </c>
      <c r="B5" s="482">
        <v>1</v>
      </c>
      <c r="C5" s="66">
        <v>0.5</v>
      </c>
      <c r="D5" s="71"/>
      <c r="E5" s="72"/>
      <c r="G5" s="353">
        <v>0.5</v>
      </c>
    </row>
    <row r="6" spans="1:7">
      <c r="A6" s="65" t="s">
        <v>304</v>
      </c>
      <c r="B6" s="482">
        <v>4</v>
      </c>
      <c r="C6" s="281">
        <v>0</v>
      </c>
      <c r="D6" s="71"/>
      <c r="E6" s="72"/>
      <c r="G6" s="306">
        <f>1000*B6</f>
        <v>4000</v>
      </c>
    </row>
    <row r="7" spans="1:7">
      <c r="A7" s="65" t="s">
        <v>345</v>
      </c>
      <c r="B7" s="482">
        <v>1</v>
      </c>
      <c r="C7" s="281">
        <v>0</v>
      </c>
      <c r="D7" s="71"/>
      <c r="E7" s="72"/>
      <c r="G7" s="306">
        <v>4000</v>
      </c>
    </row>
    <row r="8" spans="1:7">
      <c r="A8" s="65" t="s">
        <v>300</v>
      </c>
      <c r="B8" s="482">
        <v>1</v>
      </c>
      <c r="C8" s="281">
        <v>1</v>
      </c>
      <c r="D8" s="71"/>
      <c r="E8" s="72"/>
      <c r="G8" s="306">
        <f>1000*RIGHT(A8,1)</f>
        <v>2000</v>
      </c>
    </row>
    <row r="9" spans="1:7">
      <c r="A9" s="65" t="s">
        <v>208</v>
      </c>
      <c r="B9" s="482">
        <v>1</v>
      </c>
      <c r="C9" s="281">
        <v>2</v>
      </c>
      <c r="D9" s="71"/>
      <c r="E9" s="72"/>
      <c r="G9" s="306">
        <v>4000</v>
      </c>
    </row>
    <row r="10" spans="1:7" ht="16.2" thickBot="1">
      <c r="A10" s="349" t="s">
        <v>209</v>
      </c>
      <c r="B10" s="484">
        <v>1</v>
      </c>
      <c r="C10" s="234">
        <v>0</v>
      </c>
      <c r="D10" s="235"/>
      <c r="E10" s="236"/>
      <c r="G10" s="307">
        <v>4000</v>
      </c>
    </row>
    <row r="11" spans="1:7" ht="24" thickTop="1" thickBot="1">
      <c r="A11" s="18" t="s">
        <v>86</v>
      </c>
      <c r="B11" s="18"/>
      <c r="C11" s="237"/>
      <c r="D11" s="18"/>
      <c r="E11" s="238"/>
    </row>
    <row r="12" spans="1:7" ht="16.8" thickTop="1" thickBot="1">
      <c r="A12" s="61" t="s">
        <v>83</v>
      </c>
      <c r="B12" s="61" t="s">
        <v>8</v>
      </c>
      <c r="C12" s="62" t="s">
        <v>28</v>
      </c>
      <c r="D12" s="63" t="s">
        <v>84</v>
      </c>
      <c r="E12" s="64" t="s">
        <v>85</v>
      </c>
      <c r="G12" s="305" t="s">
        <v>213</v>
      </c>
    </row>
    <row r="13" spans="1:7">
      <c r="A13" s="69" t="s">
        <v>172</v>
      </c>
      <c r="B13" s="483">
        <v>1</v>
      </c>
      <c r="C13" s="66">
        <v>0</v>
      </c>
      <c r="D13" s="239"/>
      <c r="E13" s="68"/>
      <c r="G13" s="306">
        <v>0</v>
      </c>
    </row>
    <row r="14" spans="1:7">
      <c r="A14" s="543" t="s">
        <v>346</v>
      </c>
      <c r="B14" s="540">
        <v>1</v>
      </c>
      <c r="C14" s="281">
        <v>5</v>
      </c>
      <c r="D14" s="541"/>
      <c r="E14" s="72"/>
      <c r="G14" s="542">
        <v>3000</v>
      </c>
    </row>
    <row r="15" spans="1:7" ht="16.2" thickBot="1">
      <c r="A15" s="349" t="s">
        <v>366</v>
      </c>
      <c r="B15" s="484">
        <v>1</v>
      </c>
      <c r="C15" s="234">
        <v>0.2</v>
      </c>
      <c r="D15" s="350" t="s">
        <v>368</v>
      </c>
      <c r="E15" s="236"/>
      <c r="G15" s="307" t="s">
        <v>367</v>
      </c>
    </row>
    <row r="16" spans="1:7" ht="24" thickTop="1" thickBot="1">
      <c r="A16" s="192"/>
      <c r="B16" s="192"/>
      <c r="D16" s="242" t="s">
        <v>215</v>
      </c>
      <c r="E16" s="238"/>
    </row>
    <row r="17" spans="1:7" ht="16.8" thickTop="1" thickBot="1">
      <c r="A17" s="61" t="s">
        <v>83</v>
      </c>
      <c r="B17" s="61" t="s">
        <v>8</v>
      </c>
      <c r="C17" s="62" t="s">
        <v>28</v>
      </c>
      <c r="D17" s="63" t="s">
        <v>84</v>
      </c>
      <c r="E17" s="64" t="s">
        <v>85</v>
      </c>
      <c r="G17" s="305" t="s">
        <v>213</v>
      </c>
    </row>
    <row r="18" spans="1:7">
      <c r="A18" s="243" t="s">
        <v>169</v>
      </c>
      <c r="B18" s="485">
        <v>1</v>
      </c>
      <c r="C18" s="244">
        <v>8</v>
      </c>
      <c r="D18" s="239"/>
      <c r="E18" s="68"/>
      <c r="G18" s="306">
        <v>0</v>
      </c>
    </row>
    <row r="19" spans="1:7">
      <c r="A19" s="69" t="s">
        <v>170</v>
      </c>
      <c r="B19" s="483">
        <v>1</v>
      </c>
      <c r="C19" s="66">
        <v>30</v>
      </c>
      <c r="D19" s="239"/>
      <c r="E19" s="68"/>
      <c r="G19" s="306">
        <v>0</v>
      </c>
    </row>
    <row r="20" spans="1:7">
      <c r="A20" s="65" t="s">
        <v>216</v>
      </c>
      <c r="B20" s="482">
        <v>1</v>
      </c>
      <c r="C20" s="66">
        <v>10</v>
      </c>
      <c r="D20" s="245"/>
      <c r="E20" s="68"/>
      <c r="G20" s="351"/>
    </row>
    <row r="21" spans="1:7" ht="16.2" thickBot="1">
      <c r="A21" s="240"/>
      <c r="B21" s="486"/>
      <c r="C21" s="234"/>
      <c r="D21" s="241"/>
      <c r="E21" s="236"/>
      <c r="G21" s="307"/>
    </row>
    <row r="22" spans="1:7" ht="23.4" thickTop="1">
      <c r="A22" s="192" t="s">
        <v>188</v>
      </c>
      <c r="B22" s="36">
        <f>SUM(C18:C21)</f>
        <v>48</v>
      </c>
      <c r="C22" s="19"/>
      <c r="D22" s="246"/>
      <c r="E22" s="238"/>
    </row>
    <row r="23" spans="1:7">
      <c r="E23" s="192" t="s">
        <v>243</v>
      </c>
      <c r="G23" s="352">
        <f>SUM(Martial!M3:M38,Equipment!G3:G21)</f>
        <v>65947.5</v>
      </c>
    </row>
    <row r="24" spans="1:7">
      <c r="A24" s="19"/>
      <c r="B24" s="19"/>
      <c r="E24" s="192" t="s">
        <v>248</v>
      </c>
      <c r="G24" s="352">
        <v>66000</v>
      </c>
    </row>
    <row r="25" spans="1:7">
      <c r="E25" s="192" t="s">
        <v>347</v>
      </c>
      <c r="G25" s="352">
        <f>G24-G23</f>
        <v>52.5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8.5" style="192" bestFit="1" customWidth="1"/>
    <col min="2" max="2" width="10.5" style="347" customWidth="1"/>
    <col min="3" max="3" width="5.8984375" style="347" customWidth="1"/>
    <col min="4" max="4" width="13.69921875" style="192" bestFit="1" customWidth="1"/>
    <col min="5" max="5" width="9.59765625" style="347" bestFit="1" customWidth="1"/>
    <col min="6" max="6" width="15.19921875" style="192" bestFit="1" customWidth="1"/>
    <col min="7" max="7" width="6.8984375" style="347" bestFit="1" customWidth="1"/>
    <col min="8" max="16384" width="13" style="283"/>
  </cols>
  <sheetData>
    <row r="1" spans="1:7" ht="29.4" thickTop="1" thickBot="1">
      <c r="A1" s="308" t="s">
        <v>275</v>
      </c>
      <c r="B1" s="309"/>
      <c r="C1" s="309"/>
      <c r="D1" s="310"/>
      <c r="E1" s="311"/>
      <c r="F1" s="312"/>
      <c r="G1" s="313" t="s">
        <v>230</v>
      </c>
    </row>
    <row r="2" spans="1:7" ht="17.399999999999999" thickTop="1">
      <c r="A2" s="204" t="s">
        <v>0</v>
      </c>
      <c r="B2" s="348" t="s">
        <v>232</v>
      </c>
      <c r="C2" s="314"/>
      <c r="D2" s="206" t="s">
        <v>1</v>
      </c>
      <c r="E2" s="207" t="s">
        <v>220</v>
      </c>
      <c r="F2" s="206" t="s">
        <v>221</v>
      </c>
      <c r="G2" s="315" t="s">
        <v>231</v>
      </c>
    </row>
    <row r="3" spans="1:7" ht="17.399999999999999" thickBot="1">
      <c r="A3" s="316" t="s">
        <v>222</v>
      </c>
      <c r="B3" s="317" t="s">
        <v>223</v>
      </c>
      <c r="C3" s="318"/>
      <c r="D3" s="319"/>
      <c r="E3" s="320"/>
      <c r="F3" s="319" t="s">
        <v>224</v>
      </c>
      <c r="G3" s="321" t="s">
        <v>133</v>
      </c>
    </row>
    <row r="4" spans="1:7" ht="17.399999999999999" thickTop="1">
      <c r="A4" s="213" t="s">
        <v>2</v>
      </c>
      <c r="B4" s="322">
        <v>19</v>
      </c>
      <c r="C4" s="323" t="str">
        <f t="shared" ref="C4:C9" si="0">IF(B4&gt;9.9,CONCATENATE("+",ROUNDDOWN((B4-10)/2,0)),ROUNDUP((B4-10)/2,0))</f>
        <v>+4</v>
      </c>
      <c r="D4" s="324" t="s">
        <v>16</v>
      </c>
      <c r="E4" s="325">
        <v>45</v>
      </c>
      <c r="F4" s="326">
        <v>45</v>
      </c>
      <c r="G4" s="327"/>
    </row>
    <row r="5" spans="1:7" ht="17.399999999999999" thickBot="1">
      <c r="A5" s="216" t="s">
        <v>3</v>
      </c>
      <c r="B5" s="328">
        <v>13</v>
      </c>
      <c r="C5" s="329" t="str">
        <f t="shared" si="0"/>
        <v>+1</v>
      </c>
      <c r="D5" s="330" t="s">
        <v>225</v>
      </c>
      <c r="E5" s="331">
        <v>10</v>
      </c>
      <c r="F5" s="332">
        <v>22</v>
      </c>
      <c r="G5" s="333"/>
    </row>
    <row r="6" spans="1:7" ht="17.399999999999999" thickTop="1">
      <c r="A6" s="220" t="s">
        <v>14</v>
      </c>
      <c r="B6" s="328">
        <v>17</v>
      </c>
      <c r="C6" s="329" t="str">
        <f t="shared" si="0"/>
        <v>+3</v>
      </c>
      <c r="D6" s="334" t="s">
        <v>226</v>
      </c>
      <c r="E6" s="335">
        <v>5</v>
      </c>
      <c r="F6" s="336"/>
      <c r="G6" s="333"/>
    </row>
    <row r="7" spans="1:7" ht="16.8">
      <c r="A7" s="337" t="s">
        <v>15</v>
      </c>
      <c r="B7" s="328">
        <v>6</v>
      </c>
      <c r="C7" s="329">
        <f t="shared" si="0"/>
        <v>-2</v>
      </c>
      <c r="D7" s="334" t="s">
        <v>227</v>
      </c>
      <c r="E7" s="338">
        <v>10</v>
      </c>
      <c r="F7" s="339"/>
      <c r="G7" s="333"/>
    </row>
    <row r="8" spans="1:7" ht="16.8">
      <c r="A8" s="225" t="s">
        <v>17</v>
      </c>
      <c r="B8" s="328">
        <v>11</v>
      </c>
      <c r="C8" s="340" t="str">
        <f t="shared" si="0"/>
        <v>+0</v>
      </c>
      <c r="D8" s="341" t="s">
        <v>228</v>
      </c>
      <c r="E8" s="338">
        <v>5</v>
      </c>
      <c r="F8" s="339"/>
      <c r="G8" s="333"/>
    </row>
    <row r="9" spans="1:7" ht="17.399999999999999" thickBot="1">
      <c r="A9" s="227" t="s">
        <v>13</v>
      </c>
      <c r="B9" s="342">
        <v>4</v>
      </c>
      <c r="C9" s="343">
        <f t="shared" si="0"/>
        <v>-3</v>
      </c>
      <c r="D9" s="344" t="s">
        <v>229</v>
      </c>
      <c r="E9" s="345">
        <v>4</v>
      </c>
      <c r="F9" s="339"/>
      <c r="G9" s="333"/>
    </row>
    <row r="10" spans="1:7" ht="17.399999999999999" thickTop="1">
      <c r="A10" s="204"/>
      <c r="B10" s="212"/>
      <c r="C10" s="212"/>
      <c r="D10" s="212"/>
      <c r="E10" s="209"/>
      <c r="F10" s="346"/>
      <c r="G10" s="333"/>
    </row>
    <row r="11" spans="1:7" ht="16.8">
      <c r="A11" s="230"/>
      <c r="B11" s="212"/>
      <c r="C11" s="212"/>
      <c r="D11" s="212"/>
      <c r="E11" s="209"/>
      <c r="F11" s="212"/>
      <c r="G11" s="209"/>
    </row>
    <row r="12" spans="1:7" ht="17.399999999999999" thickBot="1">
      <c r="A12" s="231"/>
      <c r="B12" s="232"/>
      <c r="C12" s="232"/>
      <c r="D12" s="232"/>
      <c r="E12" s="233"/>
      <c r="F12" s="232"/>
      <c r="G12" s="233"/>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208" bestFit="1" customWidth="1"/>
    <col min="2" max="2" width="9.5" style="513" customWidth="1"/>
    <col min="3" max="3" width="6.3984375" style="208" customWidth="1"/>
    <col min="4" max="16384" width="9" style="208"/>
  </cols>
  <sheetData>
    <row r="1" spans="1:3">
      <c r="A1" s="500" t="s">
        <v>311</v>
      </c>
      <c r="B1" s="501" t="s">
        <v>191</v>
      </c>
      <c r="C1" s="502" t="s">
        <v>312</v>
      </c>
    </row>
    <row r="2" spans="1:3">
      <c r="A2" s="503" t="s">
        <v>313</v>
      </c>
      <c r="B2" s="504" t="s">
        <v>314</v>
      </c>
      <c r="C2" s="505">
        <v>0.1</v>
      </c>
    </row>
    <row r="3" spans="1:3">
      <c r="A3" s="503" t="s">
        <v>315</v>
      </c>
      <c r="B3" s="504" t="s">
        <v>314</v>
      </c>
      <c r="C3" s="505">
        <v>0.1</v>
      </c>
    </row>
    <row r="4" spans="1:3">
      <c r="A4" s="503" t="s">
        <v>316</v>
      </c>
      <c r="B4" s="504" t="s">
        <v>360</v>
      </c>
      <c r="C4" s="505">
        <v>0.06</v>
      </c>
    </row>
    <row r="5" spans="1:3">
      <c r="A5" s="503" t="s">
        <v>330</v>
      </c>
      <c r="B5" s="504" t="s">
        <v>361</v>
      </c>
      <c r="C5" s="505">
        <v>0.02</v>
      </c>
    </row>
    <row r="6" spans="1:3">
      <c r="A6" s="503" t="s">
        <v>317</v>
      </c>
      <c r="B6" s="504" t="s">
        <v>362</v>
      </c>
      <c r="C6" s="505">
        <v>0.08</v>
      </c>
    </row>
    <row r="7" spans="1:3">
      <c r="A7" s="503" t="s">
        <v>318</v>
      </c>
      <c r="B7" s="504" t="s">
        <v>314</v>
      </c>
      <c r="C7" s="505">
        <v>0.1</v>
      </c>
    </row>
    <row r="8" spans="1:3">
      <c r="A8" s="503" t="s">
        <v>319</v>
      </c>
      <c r="B8" s="504" t="s">
        <v>314</v>
      </c>
      <c r="C8" s="505">
        <v>0.1</v>
      </c>
    </row>
    <row r="9" spans="1:3">
      <c r="A9" s="503" t="s">
        <v>320</v>
      </c>
      <c r="B9" s="504" t="s">
        <v>362</v>
      </c>
      <c r="C9" s="505">
        <v>0.08</v>
      </c>
    </row>
    <row r="10" spans="1:3">
      <c r="A10" s="503" t="s">
        <v>321</v>
      </c>
      <c r="B10" s="504" t="s">
        <v>314</v>
      </c>
      <c r="C10" s="505">
        <v>0.1</v>
      </c>
    </row>
    <row r="11" spans="1:3">
      <c r="A11" s="503" t="s">
        <v>322</v>
      </c>
      <c r="B11" s="504" t="s">
        <v>314</v>
      </c>
      <c r="C11" s="505">
        <v>0.1</v>
      </c>
    </row>
    <row r="12" spans="1:3">
      <c r="A12" s="500" t="s">
        <v>69</v>
      </c>
      <c r="B12" s="501"/>
      <c r="C12" s="502">
        <f>SUM(C2:C11)</f>
        <v>0.84</v>
      </c>
    </row>
    <row r="13" spans="1:3">
      <c r="A13" s="500"/>
      <c r="B13" s="501"/>
      <c r="C13" s="502"/>
    </row>
    <row r="14" spans="1:3">
      <c r="A14" s="500" t="s">
        <v>323</v>
      </c>
      <c r="B14" s="506">
        <v>0</v>
      </c>
      <c r="C14" s="507"/>
    </row>
    <row r="15" spans="1:3">
      <c r="A15" s="500" t="s">
        <v>324</v>
      </c>
      <c r="B15" s="506">
        <v>5000</v>
      </c>
      <c r="C15" s="507"/>
    </row>
    <row r="16" spans="1:3">
      <c r="A16" s="500" t="s">
        <v>325</v>
      </c>
      <c r="B16" s="508">
        <f>B15*C12/(1+B14)</f>
        <v>4200</v>
      </c>
      <c r="C16" s="507"/>
    </row>
    <row r="17" spans="1:3">
      <c r="A17" s="500" t="s">
        <v>326</v>
      </c>
      <c r="B17" s="509">
        <v>0</v>
      </c>
      <c r="C17" s="510"/>
    </row>
    <row r="18" spans="1:3">
      <c r="A18" s="500" t="s">
        <v>69</v>
      </c>
      <c r="B18" s="511">
        <f>SUM(B16:B17)</f>
        <v>4200</v>
      </c>
      <c r="C18" s="507"/>
    </row>
    <row r="19" spans="1:3">
      <c r="A19" s="500" t="s">
        <v>327</v>
      </c>
      <c r="B19" s="506"/>
      <c r="C19" s="507"/>
    </row>
    <row r="20" spans="1:3">
      <c r="A20" s="500" t="s">
        <v>328</v>
      </c>
      <c r="B20" s="511">
        <f>SUM(B18:B19)</f>
        <v>4200</v>
      </c>
      <c r="C20" s="507"/>
    </row>
    <row r="22" spans="1:3">
      <c r="A22" s="512" t="s">
        <v>329</v>
      </c>
    </row>
    <row r="24" spans="1:3">
      <c r="A24" s="51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Mount</vt:lpstr>
      <vt:lpstr>XP Awards</vt:lpstr>
      <vt:lpstr>Mount!Print_Area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2007-10-12T15:52:45Z</cp:lastPrinted>
  <dcterms:created xsi:type="dcterms:W3CDTF">2000-10-24T15:39:59Z</dcterms:created>
  <dcterms:modified xsi:type="dcterms:W3CDTF">2017-07-15T03:59:18Z</dcterms:modified>
</cp:coreProperties>
</file>