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12" windowWidth="11616" windowHeight="10224" tabRatio="638"/>
  </bookViews>
  <sheets>
    <sheet name="Personal File" sheetId="4" r:id="rId1"/>
    <sheet name="Skills" sheetId="15" r:id="rId2"/>
    <sheet name="Spellbook" sheetId="21" r:id="rId3"/>
    <sheet name="Warmage" sheetId="23" r:id="rId4"/>
    <sheet name="Spells" sheetId="22" r:id="rId5"/>
    <sheet name="Feats" sheetId="20" r:id="rId6"/>
    <sheet name="Martial" sheetId="6" r:id="rId7"/>
    <sheet name="Equipment" sheetId="19" r:id="rId8"/>
  </sheets>
  <externalReferences>
    <externalReference r:id="rId9"/>
  </externalReferences>
  <definedNames>
    <definedName name="NoShade">'[1]Spell Sheet'!$FH$1</definedName>
    <definedName name="OLE_LINK1" localSheetId="5">Feats!#REF!</definedName>
    <definedName name="OLE_LINK1" localSheetId="4">Spells!#REF!</definedName>
    <definedName name="_xlnm.Print_Area" localSheetId="7">Equipment!#REF!</definedName>
    <definedName name="_xlnm.Print_Area" localSheetId="5">Feats!#REF!</definedName>
    <definedName name="_xlnm.Print_Area" localSheetId="6">Martial!#REF!</definedName>
    <definedName name="_xlnm.Print_Area" localSheetId="0">'Personal File'!$A$1:$H$23</definedName>
    <definedName name="_xlnm.Print_Area" localSheetId="1">Skills!$A$1:$K$35</definedName>
    <definedName name="_xlnm.Print_Area" localSheetId="2">Spellbook!$A$1:$I$10</definedName>
    <definedName name="_xlnm.Print_Area" localSheetId="4">Spells!#REF!</definedName>
    <definedName name="_xlnm.Print_Area" localSheetId="3">Warmage!$A$1:$I$2</definedName>
  </definedNames>
  <calcPr calcId="145621"/>
</workbook>
</file>

<file path=xl/calcChain.xml><?xml version="1.0" encoding="utf-8"?>
<calcChain xmlns="http://schemas.openxmlformats.org/spreadsheetml/2006/main">
  <c r="B8" i="4" l="1"/>
  <c r="B5" i="15"/>
  <c r="B4" i="15"/>
  <c r="B3" i="15"/>
  <c r="E13" i="4"/>
  <c r="B11" i="4"/>
  <c r="M21" i="6" l="1"/>
  <c r="M22" i="6"/>
  <c r="M23" i="6"/>
  <c r="M24" i="6"/>
  <c r="M25" i="6"/>
  <c r="M26" i="6"/>
  <c r="L15" i="22" l="1"/>
  <c r="L16" i="22"/>
  <c r="J16" i="22"/>
  <c r="T30" i="22" l="1"/>
  <c r="T25" i="22"/>
  <c r="T16" i="22"/>
  <c r="T17" i="22"/>
  <c r="T18" i="22"/>
  <c r="T19" i="22"/>
  <c r="T20" i="22"/>
  <c r="T21" i="22"/>
  <c r="T22" i="22"/>
  <c r="T23" i="22"/>
  <c r="T24" i="22"/>
  <c r="T26" i="22"/>
  <c r="T27" i="22"/>
  <c r="T28" i="22"/>
  <c r="T29" i="22"/>
  <c r="T31" i="22"/>
  <c r="T32" i="22"/>
  <c r="I5" i="22"/>
  <c r="I12" i="22"/>
  <c r="J15" i="22"/>
  <c r="H15" i="22"/>
  <c r="H57" i="15" l="1"/>
  <c r="B12" i="4" l="1"/>
  <c r="I8" i="6" l="1"/>
  <c r="I7" i="6"/>
  <c r="I9" i="6"/>
  <c r="B10" i="4" l="1"/>
  <c r="E59" i="15" l="1"/>
  <c r="H8" i="6" l="1"/>
  <c r="J8" i="6" s="1"/>
  <c r="J5" i="22" l="1"/>
  <c r="L12" i="22" l="1"/>
  <c r="D5" i="22" l="1"/>
  <c r="D4" i="22"/>
  <c r="D3" i="22"/>
  <c r="I3" i="6" l="1"/>
  <c r="I4" i="6"/>
  <c r="K12" i="22" l="1"/>
  <c r="B59" i="15" l="1"/>
  <c r="H38" i="15"/>
  <c r="A5" i="22" l="1"/>
  <c r="A4" i="22" l="1"/>
  <c r="H5" i="22"/>
  <c r="A3" i="22" s="1"/>
  <c r="H16" i="22" l="1"/>
  <c r="H56" i="15"/>
  <c r="H54" i="15"/>
  <c r="H53" i="15"/>
  <c r="H52" i="15"/>
  <c r="H51" i="15"/>
  <c r="H50" i="15"/>
  <c r="H49" i="15"/>
  <c r="H48" i="15"/>
  <c r="H47" i="15"/>
  <c r="H46" i="15"/>
  <c r="H45" i="15"/>
  <c r="H44" i="15"/>
  <c r="H43" i="15"/>
  <c r="H42" i="15"/>
  <c r="H41" i="15"/>
  <c r="H40" i="15"/>
  <c r="H39"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9" i="6" l="1"/>
  <c r="J9" i="6" s="1"/>
  <c r="G16" i="19"/>
  <c r="G22" i="19" s="1"/>
  <c r="C16" i="19"/>
  <c r="C21" i="19" s="1"/>
  <c r="H4" i="15" l="1"/>
  <c r="H3" i="15"/>
  <c r="J12" i="22" l="1"/>
  <c r="H12" i="22" l="1"/>
  <c r="H5" i="15" l="1"/>
  <c r="H55" i="15" l="1"/>
  <c r="C7" i="19" l="1"/>
  <c r="E11" i="4" s="1"/>
  <c r="C10" i="4" l="1"/>
  <c r="H3" i="6" l="1"/>
  <c r="J3" i="6" s="1"/>
  <c r="H4" i="6"/>
  <c r="J4" i="6" s="1"/>
  <c r="D9" i="15"/>
  <c r="C4" i="6"/>
  <c r="E9" i="15" l="1"/>
  <c r="G9" i="15"/>
  <c r="I9" i="15" s="1"/>
  <c r="C12" i="4"/>
  <c r="E12" i="4" s="1"/>
  <c r="D3" i="15" l="1"/>
  <c r="D10" i="15"/>
  <c r="C11" i="4"/>
  <c r="E14" i="4" s="1"/>
  <c r="C13" i="4"/>
  <c r="C14" i="4"/>
  <c r="D5" i="15" s="1"/>
  <c r="C15" i="4"/>
  <c r="E15" i="4" l="1"/>
  <c r="T14" i="22"/>
  <c r="T7" i="22"/>
  <c r="T15" i="22"/>
  <c r="T13" i="22"/>
  <c r="T9" i="22"/>
  <c r="T8" i="22"/>
  <c r="T5" i="22"/>
  <c r="T12" i="22"/>
  <c r="T11" i="22"/>
  <c r="T10" i="22"/>
  <c r="T4" i="22"/>
  <c r="T3" i="22"/>
  <c r="D12" i="22"/>
  <c r="D11" i="22"/>
  <c r="D10" i="22"/>
  <c r="T6" i="22"/>
  <c r="D9" i="22"/>
  <c r="D48" i="15"/>
  <c r="D44" i="15"/>
  <c r="D51" i="15"/>
  <c r="D47" i="15"/>
  <c r="D43" i="15"/>
  <c r="D50" i="15"/>
  <c r="D46" i="15"/>
  <c r="D45" i="15"/>
  <c r="D49" i="15"/>
  <c r="D8" i="15"/>
  <c r="D15" i="15"/>
  <c r="D13" i="15"/>
  <c r="G3" i="15"/>
  <c r="I3" i="15" s="1"/>
  <c r="E3" i="15"/>
  <c r="E10" i="15"/>
  <c r="G10" i="15"/>
  <c r="I10" i="15" s="1"/>
  <c r="D4" i="15"/>
  <c r="H7" i="6"/>
  <c r="J7" i="6" s="1"/>
  <c r="D7" i="15"/>
  <c r="E5" i="15"/>
  <c r="G5" i="15"/>
  <c r="I5" i="15" s="1"/>
  <c r="D14" i="15"/>
  <c r="D6" i="15"/>
  <c r="D11" i="15"/>
  <c r="D12" i="15"/>
  <c r="B9" i="4"/>
  <c r="D29" i="15"/>
  <c r="D30" i="15"/>
  <c r="D25" i="15"/>
  <c r="D27" i="15"/>
  <c r="D32" i="15"/>
  <c r="D26" i="15"/>
  <c r="D31" i="15"/>
  <c r="H58" i="15"/>
  <c r="E46" i="15" l="1"/>
  <c r="G46" i="15"/>
  <c r="I46" i="15" s="1"/>
  <c r="G51" i="15"/>
  <c r="I51" i="15" s="1"/>
  <c r="E51" i="15"/>
  <c r="G50" i="15"/>
  <c r="I50" i="15" s="1"/>
  <c r="E50" i="15"/>
  <c r="G44" i="15"/>
  <c r="I44" i="15" s="1"/>
  <c r="E44" i="15"/>
  <c r="G49" i="15"/>
  <c r="I49" i="15" s="1"/>
  <c r="E49" i="15"/>
  <c r="E43" i="15"/>
  <c r="G43" i="15"/>
  <c r="I43" i="15" s="1"/>
  <c r="G48" i="15"/>
  <c r="I48" i="15" s="1"/>
  <c r="E48" i="15"/>
  <c r="E45" i="15"/>
  <c r="G45" i="15"/>
  <c r="I45" i="15" s="1"/>
  <c r="G47" i="15"/>
  <c r="I47" i="15" s="1"/>
  <c r="E47" i="15"/>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I25" i="15" l="1"/>
  <c r="I32" i="15"/>
  <c r="I31" i="15"/>
  <c r="I27" i="15"/>
  <c r="I26" i="15"/>
  <c r="D28" i="15" l="1"/>
  <c r="E28" i="15" l="1"/>
  <c r="G28" i="15"/>
  <c r="I28" i="15" l="1"/>
  <c r="D37" i="15" l="1"/>
  <c r="E37" i="15" l="1"/>
  <c r="G37" i="15"/>
  <c r="D52" i="15"/>
  <c r="D19" i="15"/>
  <c r="D24" i="15"/>
  <c r="D54" i="15"/>
  <c r="D42" i="15"/>
  <c r="D56" i="15"/>
  <c r="D53" i="15"/>
  <c r="D55" i="15"/>
  <c r="D39" i="15"/>
  <c r="D57" i="15"/>
  <c r="D35" i="15"/>
  <c r="D41" i="15"/>
  <c r="D58" i="15"/>
  <c r="D40" i="15"/>
  <c r="D38" i="15"/>
  <c r="G38" i="15" s="1"/>
  <c r="I38" i="15" s="1"/>
  <c r="D36" i="15"/>
  <c r="D34" i="15"/>
  <c r="D33" i="15"/>
  <c r="D23" i="15"/>
  <c r="D22" i="15"/>
  <c r="D21" i="15"/>
  <c r="D20" i="15"/>
  <c r="D18" i="15"/>
  <c r="D17" i="15"/>
  <c r="D16" i="15"/>
  <c r="I37" i="15" l="1"/>
  <c r="E16" i="15"/>
  <c r="G16" i="15"/>
  <c r="E18" i="15"/>
  <c r="G18" i="15"/>
  <c r="E21" i="15"/>
  <c r="G21" i="15"/>
  <c r="E23" i="15"/>
  <c r="G23" i="15"/>
  <c r="E34" i="15"/>
  <c r="G34" i="15"/>
  <c r="E38" i="15"/>
  <c r="E58" i="15"/>
  <c r="G58" i="15"/>
  <c r="E35" i="15"/>
  <c r="G35" i="15"/>
  <c r="E39" i="15"/>
  <c r="G39" i="15"/>
  <c r="E53" i="15"/>
  <c r="G53" i="15"/>
  <c r="E54" i="15"/>
  <c r="G54" i="15"/>
  <c r="E19" i="15"/>
  <c r="G19" i="15"/>
  <c r="E17" i="15"/>
  <c r="G17" i="15"/>
  <c r="E20" i="15"/>
  <c r="G20" i="15"/>
  <c r="E22" i="15"/>
  <c r="G22" i="15"/>
  <c r="E33" i="15"/>
  <c r="G33" i="15"/>
  <c r="E36" i="15"/>
  <c r="G36" i="15"/>
  <c r="E40" i="15"/>
  <c r="G40" i="15"/>
  <c r="E41" i="15"/>
  <c r="G41" i="15"/>
  <c r="E57" i="15"/>
  <c r="G57" i="15"/>
  <c r="E55" i="15"/>
  <c r="G55" i="15"/>
  <c r="E56" i="15"/>
  <c r="G56" i="15"/>
  <c r="E42" i="15"/>
  <c r="G42" i="15"/>
  <c r="E24" i="15"/>
  <c r="G24" i="15"/>
  <c r="E52" i="15"/>
  <c r="G52" i="15"/>
  <c r="I52" i="15" l="1"/>
  <c r="I24" i="15"/>
  <c r="I42" i="15"/>
  <c r="I56" i="15"/>
  <c r="I55" i="15"/>
  <c r="I57" i="15"/>
  <c r="I41" i="15"/>
  <c r="I40" i="15"/>
  <c r="I36" i="15"/>
  <c r="I33" i="15"/>
  <c r="I22" i="15"/>
  <c r="I20" i="15"/>
  <c r="I17" i="15"/>
  <c r="I19" i="15"/>
  <c r="I54" i="15"/>
  <c r="I53" i="15"/>
  <c r="I39" i="15"/>
  <c r="I35" i="15"/>
  <c r="I58" i="15"/>
  <c r="I34" i="15"/>
  <c r="I23" i="15"/>
  <c r="I21" i="15"/>
  <c r="I18" i="15"/>
  <c r="I16" i="15"/>
</calcChain>
</file>

<file path=xl/comments1.xml><?xml version="1.0" encoding="utf-8"?>
<comments xmlns="http://schemas.openxmlformats.org/spreadsheetml/2006/main">
  <authors>
    <author>Alexis Álvarez</author>
  </authors>
  <commentList>
    <comment ref="C3" authorId="0">
      <text>
        <r>
          <rPr>
            <b/>
            <sz val="12"/>
            <color indexed="81"/>
            <rFont val="Times New Roman"/>
            <family val="1"/>
          </rPr>
          <t xml:space="preserve">Prohibited Schools
</t>
        </r>
        <r>
          <rPr>
            <sz val="12"/>
            <color indexed="81"/>
            <rFont val="Times New Roman"/>
            <family val="1"/>
          </rPr>
          <t>Necromancy &amp; Enchantment</t>
        </r>
      </text>
    </comment>
    <comment ref="C8" authorId="0">
      <text>
        <r>
          <rPr>
            <sz val="12"/>
            <color indexed="81"/>
            <rFont val="Times New Roman"/>
            <family val="1"/>
          </rPr>
          <t xml:space="preserve">+1 Small
</t>
        </r>
        <r>
          <rPr>
            <i/>
            <sz val="12"/>
            <color indexed="81"/>
            <rFont val="Times New Roman"/>
            <family val="1"/>
          </rPr>
          <t>haste +1        bless +1
shaken -2</t>
        </r>
      </text>
    </comment>
    <comment ref="B10" authorId="0">
      <text>
        <r>
          <rPr>
            <sz val="12"/>
            <color indexed="81"/>
            <rFont val="Times New Roman"/>
            <family val="1"/>
          </rPr>
          <t xml:space="preserve">+4 </t>
        </r>
        <r>
          <rPr>
            <i/>
            <sz val="12"/>
            <color indexed="81"/>
            <rFont val="Times New Roman"/>
            <family val="1"/>
          </rPr>
          <t>bull’s strength</t>
        </r>
      </text>
    </comment>
    <comment ref="E10" authorId="0">
      <text>
        <r>
          <rPr>
            <sz val="12"/>
            <color indexed="81"/>
            <rFont val="Times New Roman"/>
            <family val="1"/>
          </rPr>
          <t>See PHB 162</t>
        </r>
      </text>
    </comment>
    <comment ref="B11" authorId="0">
      <text>
        <r>
          <rPr>
            <sz val="12"/>
            <color indexed="81"/>
            <rFont val="Times New Roman"/>
            <family val="1"/>
          </rPr>
          <t xml:space="preserve">+4 </t>
        </r>
        <r>
          <rPr>
            <i/>
            <sz val="12"/>
            <color indexed="81"/>
            <rFont val="Times New Roman"/>
            <family val="1"/>
          </rPr>
          <t>cat’s grace</t>
        </r>
      </text>
    </comment>
    <comment ref="E11" authorId="0">
      <text>
        <r>
          <rPr>
            <sz val="12"/>
            <color indexed="81"/>
            <rFont val="Times New Roman"/>
            <family val="1"/>
          </rPr>
          <t>Haversack weighs 5 lbs.; included in the formula</t>
        </r>
      </text>
    </comment>
    <comment ref="B12" authorId="0">
      <text>
        <r>
          <rPr>
            <sz val="12"/>
            <color indexed="81"/>
            <rFont val="Times New Roman"/>
            <family val="1"/>
          </rPr>
          <t xml:space="preserve">+4 </t>
        </r>
        <r>
          <rPr>
            <i/>
            <sz val="12"/>
            <color indexed="81"/>
            <rFont val="Times New Roman"/>
            <family val="1"/>
          </rPr>
          <t>bear’s endurance</t>
        </r>
      </text>
    </comment>
    <comment ref="E12" authorId="0">
      <text>
        <r>
          <rPr>
            <sz val="12"/>
            <color indexed="81"/>
            <rFont val="Times New Roman"/>
            <family val="1"/>
          </rPr>
          <t xml:space="preserve">   [(3 * 4 Evoker) * 75%]
+ [(1 * 6 Warmage) * 75%]
+ [(1 * 4 Master Specialist) * 75%]
+ [(5 * 4 Ultimate Magus) * 75%]
+ (10 * 2 Con)</t>
        </r>
      </text>
    </comment>
    <comment ref="E13" authorId="0">
      <text>
        <r>
          <rPr>
            <i/>
            <sz val="12"/>
            <color indexed="81"/>
            <rFont val="Times New Roman"/>
            <family val="1"/>
          </rPr>
          <t>+4 shield
+1 haste
+3 shield of faith</t>
        </r>
      </text>
    </comment>
    <comment ref="E14" authorId="0">
      <text>
        <r>
          <rPr>
            <b/>
            <i/>
            <sz val="12"/>
            <color indexed="81"/>
            <rFont val="Times New Roman"/>
            <family val="1"/>
          </rPr>
          <t>Actual bonuses are drawn from the Martial tab</t>
        </r>
        <r>
          <rPr>
            <i/>
            <sz val="12"/>
            <color indexed="81"/>
            <rFont val="Times New Roman"/>
            <family val="1"/>
          </rPr>
          <t xml:space="preserve">
+4 mage armor
+6 greater mage armor
dragonskin +3</t>
        </r>
      </text>
    </comment>
  </commentList>
</comments>
</file>

<file path=xl/comments2.xml><?xml version="1.0" encoding="utf-8"?>
<comments xmlns="http://schemas.openxmlformats.org/spreadsheetml/2006/main">
  <authors>
    <author>Alexis Álvarez</author>
  </authors>
  <commentList>
    <comment ref="F4" authorId="0">
      <text>
        <r>
          <rPr>
            <i/>
            <sz val="12"/>
            <color indexed="81"/>
            <rFont val="Times New Roman"/>
            <family val="1"/>
          </rPr>
          <t>nightshield +3
haste +1</t>
        </r>
      </text>
    </commen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52" authorId="0">
      <text>
        <r>
          <rPr>
            <sz val="12"/>
            <color indexed="81"/>
            <rFont val="Times New Roman"/>
            <family val="1"/>
          </rPr>
          <t>Skill Focus +2</t>
        </r>
      </text>
    </comment>
    <comment ref="F53"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12" authorId="0">
      <text>
        <r>
          <rPr>
            <sz val="12"/>
            <color indexed="81"/>
            <rFont val="Times New Roman"/>
            <family val="1"/>
          </rPr>
          <t>Wool or wax</t>
        </r>
      </text>
    </comment>
    <comment ref="D13" authorId="0">
      <text>
        <r>
          <rPr>
            <sz val="12"/>
            <color indexed="81"/>
            <rFont val="Times New Roman"/>
            <family val="1"/>
          </rPr>
          <t>Crossbow Bolt Imbued</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Prism, lens, or monocle</t>
        </r>
      </text>
    </comment>
    <comment ref="H24" authorId="0">
      <text>
        <r>
          <rPr>
            <sz val="12"/>
            <color indexed="81"/>
            <rFont val="Times New Roman"/>
            <family val="1"/>
          </rPr>
          <t>also in Complete Arcane</t>
        </r>
      </text>
    </comment>
    <comment ref="D25" authorId="0">
      <text>
        <r>
          <rPr>
            <sz val="12"/>
            <color indexed="81"/>
            <rFont val="Times New Roman"/>
            <family val="1"/>
          </rPr>
          <t>Miniature cloak</t>
        </r>
      </text>
    </comment>
    <comment ref="D28" authorId="0">
      <text>
        <r>
          <rPr>
            <sz val="12"/>
            <color indexed="81"/>
            <rFont val="Times New Roman"/>
            <family val="1"/>
          </rPr>
          <t>Dried glue</t>
        </r>
      </text>
    </comment>
    <comment ref="D30" authorId="0">
      <text>
        <r>
          <rPr>
            <sz val="12"/>
            <color indexed="81"/>
            <rFont val="Times New Roman"/>
            <family val="1"/>
          </rPr>
          <t>Soot &amp; Salt</t>
        </r>
      </text>
    </comment>
    <comment ref="D31" authorId="0">
      <text>
        <r>
          <rPr>
            <sz val="12"/>
            <color indexed="81"/>
            <rFont val="Times New Roman"/>
            <family val="1"/>
          </rPr>
          <t>Pinch of powdered iron</t>
        </r>
      </text>
    </comment>
    <comment ref="D34" authorId="0">
      <text>
        <r>
          <rPr>
            <sz val="12"/>
            <color indexed="81"/>
            <rFont val="Times New Roman"/>
            <family val="1"/>
          </rPr>
          <t>Cured leather</t>
        </r>
      </text>
    </comment>
    <comment ref="D36" authorId="0">
      <text>
        <r>
          <rPr>
            <sz val="12"/>
            <color indexed="81"/>
            <rFont val="Times New Roman"/>
            <family val="1"/>
          </rPr>
          <t>horse hair</t>
        </r>
      </text>
    </comment>
    <comment ref="D38" authorId="0">
      <text>
        <r>
          <rPr>
            <sz val="12"/>
            <color indexed="81"/>
            <rFont val="Times New Roman"/>
            <family val="1"/>
          </rPr>
          <t>Powdered Iron</t>
        </r>
      </text>
    </comment>
    <comment ref="D41" authorId="0">
      <text>
        <r>
          <rPr>
            <sz val="12"/>
            <color indexed="81"/>
            <rFont val="Times New Roman"/>
            <family val="1"/>
          </rPr>
          <t>Drop of mercury</t>
        </r>
      </text>
    </comment>
    <comment ref="D42" authorId="0">
      <text>
        <r>
          <rPr>
            <sz val="12"/>
            <color indexed="81"/>
            <rFont val="Times New Roman"/>
            <family val="1"/>
          </rPr>
          <t>piece of string &amp; bit of wood</t>
        </r>
      </text>
    </comment>
    <comment ref="D44" authorId="0">
      <text>
        <r>
          <rPr>
            <sz val="12"/>
            <color indexed="81"/>
            <rFont val="Times New Roman"/>
            <family val="1"/>
          </rPr>
          <t>Broken eggshell</t>
        </r>
      </text>
    </comment>
    <comment ref="D46" authorId="0">
      <text>
        <r>
          <rPr>
            <sz val="12"/>
            <color indexed="81"/>
            <rFont val="Times New Roman"/>
            <family val="1"/>
          </rPr>
          <t>Pinch of cat fur</t>
        </r>
      </text>
    </comment>
    <comment ref="D47" authorId="0">
      <text>
        <r>
          <rPr>
            <sz val="12"/>
            <color indexed="81"/>
            <rFont val="Times New Roman"/>
            <family val="1"/>
          </rPr>
          <t>tallow, bringstone, powdered iron</t>
        </r>
      </text>
    </comment>
    <comment ref="D48" authorId="0">
      <text>
        <r>
          <rPr>
            <sz val="12"/>
            <color indexed="81"/>
            <rFont val="Times New Roman"/>
            <family val="1"/>
          </rPr>
          <t>copper wire &amp; magnet</t>
        </r>
      </text>
    </comment>
    <comment ref="D49" authorId="0">
      <text>
        <r>
          <rPr>
            <sz val="12"/>
            <color indexed="81"/>
            <rFont val="Times New Roman"/>
            <family val="1"/>
          </rPr>
          <t>Salt</t>
        </r>
      </text>
    </comment>
    <comment ref="D52" authorId="0">
      <text>
        <r>
          <rPr>
            <sz val="12"/>
            <color indexed="81"/>
            <rFont val="Times New Roman"/>
            <family val="1"/>
          </rPr>
          <t>Pendulum</t>
        </r>
      </text>
    </comment>
    <comment ref="D58" authorId="0">
      <text>
        <r>
          <rPr>
            <sz val="12"/>
            <color indexed="81"/>
            <rFont val="Times New Roman"/>
            <family val="1"/>
          </rPr>
          <t>Prism, lens, or monocle</t>
        </r>
      </text>
    </comment>
    <comment ref="D59" authorId="0">
      <text>
        <r>
          <rPr>
            <sz val="12"/>
            <rFont val="Times New Roman"/>
            <family val="1"/>
          </rPr>
          <t>Bag and candle</t>
        </r>
      </text>
    </comment>
    <comment ref="D62" authorId="0">
      <text>
        <r>
          <rPr>
            <sz val="12"/>
            <color indexed="81"/>
            <rFont val="Times New Roman"/>
            <family val="1"/>
          </rPr>
          <t>Bat guano &amp; sulfur</t>
        </r>
      </text>
    </comment>
    <comment ref="D63" authorId="0">
      <text>
        <r>
          <rPr>
            <sz val="12"/>
            <color indexed="81"/>
            <rFont val="Times New Roman"/>
            <family val="1"/>
          </rPr>
          <t>Bird's wing feather</t>
        </r>
      </text>
    </comment>
    <comment ref="D64" authorId="0">
      <text>
        <r>
          <rPr>
            <sz val="12"/>
            <color indexed="81"/>
            <rFont val="Times New Roman"/>
            <family val="1"/>
          </rPr>
          <t>Pork rind or butter</t>
        </r>
      </text>
    </comment>
    <comment ref="D65" authorId="0">
      <text>
        <r>
          <rPr>
            <sz val="12"/>
            <color indexed="81"/>
            <rFont val="Times New Roman"/>
            <family val="1"/>
          </rPr>
          <t>tiny platinum shield worth 25 gps</t>
        </r>
      </text>
    </comment>
    <comment ref="D67" authorId="0">
      <text>
        <r>
          <rPr>
            <sz val="12"/>
            <color indexed="81"/>
            <rFont val="Times New Roman"/>
            <family val="1"/>
          </rPr>
          <t>Roots</t>
        </r>
      </text>
    </comment>
    <comment ref="D69" authorId="0">
      <text>
        <r>
          <rPr>
            <sz val="12"/>
            <color indexed="81"/>
            <rFont val="Times New Roman"/>
            <family val="1"/>
          </rPr>
          <t>Fur AND rod of amber or crystal</t>
        </r>
      </text>
    </comment>
    <comment ref="D70" authorId="0">
      <text>
        <r>
          <rPr>
            <sz val="12"/>
            <color indexed="81"/>
            <rFont val="Times New Roman"/>
            <family val="1"/>
          </rPr>
          <t>Metal object with which to outline circle</t>
        </r>
      </text>
    </comment>
    <comment ref="D73" authorId="0">
      <text>
        <r>
          <rPr>
            <sz val="12"/>
            <color indexed="81"/>
            <rFont val="Times New Roman"/>
            <family val="1"/>
          </rPr>
          <t>Glass marble</t>
        </r>
      </text>
    </comment>
    <comment ref="D74" authorId="0">
      <text>
        <r>
          <rPr>
            <sz val="12"/>
            <color indexed="81"/>
            <rFont val="Times New Roman"/>
            <family val="1"/>
          </rPr>
          <t>Molasses</t>
        </r>
      </text>
    </comment>
    <comment ref="D75" authorId="0">
      <text>
        <r>
          <rPr>
            <sz val="12"/>
            <color indexed="81"/>
            <rFont val="Times New Roman"/>
            <family val="1"/>
          </rPr>
          <t>rotten egg or skunk cabbage leaves</t>
        </r>
      </text>
    </comment>
    <comment ref="D76" authorId="0">
      <text>
        <r>
          <rPr>
            <sz val="12"/>
            <rFont val="Times New Roman"/>
            <family val="1"/>
          </rPr>
          <t>Bag and candle</t>
        </r>
      </text>
    </comment>
    <comment ref="D80" authorId="0">
      <text>
        <r>
          <rPr>
            <sz val="12"/>
            <color indexed="81"/>
            <rFont val="Times New Roman"/>
            <family val="1"/>
          </rPr>
          <t>claw from a displacer beast</t>
        </r>
      </text>
    </comment>
    <comment ref="D83" authorId="0">
      <text>
        <r>
          <rPr>
            <sz val="12"/>
            <color indexed="81"/>
            <rFont val="Times New Roman"/>
            <family val="1"/>
          </rPr>
          <t>rotten egg or skunk cabbage leaves</t>
        </r>
      </text>
    </comment>
  </commentList>
</comments>
</file>

<file path=xl/comments4.xml><?xml version="1.0" encoding="utf-8"?>
<comments xmlns="http://schemas.openxmlformats.org/spreadsheetml/2006/main">
  <authors>
    <author>Alexis Álvarez</author>
  </authors>
  <commentList>
    <comment ref="D5" authorId="0">
      <text>
        <r>
          <rPr>
            <sz val="12"/>
            <color indexed="81"/>
            <rFont val="Times New Roman"/>
            <family val="1"/>
          </rPr>
          <t>Phosphorescent moss</t>
        </r>
      </text>
    </comment>
    <comment ref="D7" authorId="0">
      <text>
        <r>
          <rPr>
            <sz val="12"/>
            <color indexed="81"/>
            <rFont val="Times New Roman"/>
            <family val="1"/>
          </rPr>
          <t>Ink and weapon of choice</t>
        </r>
      </text>
    </comment>
    <comment ref="D10" authorId="0">
      <text>
        <r>
          <rPr>
            <sz val="12"/>
            <color indexed="81"/>
            <rFont val="Times New Roman"/>
            <family val="1"/>
          </rPr>
          <t>A pebble with a fist symbol</t>
        </r>
      </text>
    </comment>
    <comment ref="D11" authorId="0">
      <text>
        <r>
          <rPr>
            <sz val="12"/>
            <color indexed="81"/>
            <rFont val="Times New Roman"/>
            <family val="1"/>
          </rPr>
          <t>5 GP worth of jade</t>
        </r>
      </text>
    </comment>
    <comment ref="D21" authorId="0">
      <text>
        <r>
          <rPr>
            <sz val="12"/>
            <color indexed="81"/>
            <rFont val="Times New Roman"/>
            <family val="1"/>
          </rPr>
          <t>Phosphorous, sulfur, or other combustible powder</t>
        </r>
      </text>
    </comment>
    <comment ref="D22" authorId="0">
      <text>
        <r>
          <rPr>
            <sz val="12"/>
            <color indexed="81"/>
            <rFont val="Times New Roman"/>
            <family val="1"/>
          </rPr>
          <t>½ lb. gold dust
(25-GP value)</t>
        </r>
      </text>
    </comment>
    <comment ref="D23" authorId="0">
      <text>
        <r>
          <rPr>
            <sz val="12"/>
            <color indexed="81"/>
            <rFont val="Times New Roman"/>
            <family val="1"/>
          </rPr>
          <t>sulfur</t>
        </r>
      </text>
    </comment>
    <comment ref="D24" authorId="0">
      <text>
        <r>
          <rPr>
            <sz val="12"/>
            <color indexed="81"/>
            <rFont val="Times New Roman"/>
            <family val="1"/>
          </rPr>
          <t>tallow, bringstone, powdered iron</t>
        </r>
      </text>
    </comment>
    <comment ref="D26" authorId="0">
      <text>
        <r>
          <rPr>
            <sz val="12"/>
            <color indexed="81"/>
            <rFont val="Times New Roman"/>
            <family val="1"/>
          </rPr>
          <t>Powdered rhubarb leaf and adder's stomach</t>
        </r>
      </text>
    </comment>
    <comment ref="D28" authorId="0">
      <text/>
    </comment>
    <comment ref="D30" authorId="0">
      <text>
        <r>
          <rPr>
            <sz val="12"/>
            <color indexed="81"/>
            <rFont val="Times New Roman"/>
            <family val="1"/>
          </rPr>
          <t>phosphorous (warm) or glowworm (chill)</t>
        </r>
      </text>
    </comment>
    <comment ref="D31" authorId="0">
      <text>
        <r>
          <rPr>
            <sz val="12"/>
            <color indexed="81"/>
            <rFont val="Times New Roman"/>
            <family val="1"/>
          </rPr>
          <t>Bat guano &amp; sulfur</t>
        </r>
      </text>
    </comment>
    <comment ref="D32" authorId="0">
      <text>
        <r>
          <rPr>
            <sz val="12"/>
            <color indexed="81"/>
            <rFont val="Times New Roman"/>
            <family val="1"/>
          </rPr>
          <t>Bat guano &amp; sulfur</t>
        </r>
      </text>
    </comment>
    <comment ref="D34" authorId="0">
      <text>
        <r>
          <rPr>
            <sz val="12"/>
            <color indexed="81"/>
            <rFont val="Times New Roman"/>
            <family val="1"/>
          </rPr>
          <t>pinch of dust &amp; a few drops of water</t>
        </r>
      </text>
    </comment>
    <comment ref="D35" authorId="0">
      <text>
        <r>
          <rPr>
            <sz val="12"/>
            <color indexed="81"/>
            <rFont val="Times New Roman"/>
            <family val="1"/>
          </rPr>
          <t>Fur AND rod of amber or crystal</t>
        </r>
      </text>
    </comment>
    <comment ref="D37" authorId="0">
      <text>
        <r>
          <rPr>
            <sz val="12"/>
            <color indexed="81"/>
            <rFont val="Times New Roman"/>
            <family val="1"/>
          </rPr>
          <t>small dagger</t>
        </r>
      </text>
    </comment>
    <comment ref="D38" authorId="0">
      <text>
        <r>
          <rPr>
            <sz val="12"/>
            <color indexed="81"/>
            <rFont val="Times New Roman"/>
            <family val="1"/>
          </rPr>
          <t>pinch of dust &amp; few drops of water</t>
        </r>
      </text>
    </comment>
    <comment ref="D39" authorId="0">
      <text>
        <r>
          <rPr>
            <sz val="12"/>
            <color indexed="81"/>
            <rFont val="Times New Roman"/>
            <family val="1"/>
          </rPr>
          <t>rotten egg or skunk cabbage leaves</t>
        </r>
      </text>
    </comment>
    <comment ref="D40" authorId="0">
      <text>
        <r>
          <rPr>
            <sz val="12"/>
            <color indexed="81"/>
            <rFont val="Times New Roman"/>
            <family val="1"/>
          </rPr>
          <t>wick soaked in oil</t>
        </r>
      </text>
    </comment>
  </commentList>
</comments>
</file>

<file path=xl/comments5.xml><?xml version="1.0" encoding="utf-8"?>
<comments xmlns="http://schemas.openxmlformats.org/spreadsheetml/2006/main">
  <authors>
    <author>Alexis Álvarez</author>
  </authors>
  <commentList>
    <comment ref="I5" authorId="0">
      <text>
        <r>
          <rPr>
            <sz val="12"/>
            <rFont val="Times New Roman"/>
            <family val="1"/>
          </rPr>
          <t>Ring of Wizardry</t>
        </r>
      </text>
    </comment>
    <comment ref="I12" authorId="0">
      <text>
        <r>
          <rPr>
            <sz val="12"/>
            <rFont val="Times New Roman"/>
            <family val="1"/>
          </rPr>
          <t>Ring of Wizardry</t>
        </r>
      </text>
    </comment>
  </commentList>
</comments>
</file>

<file path=xl/comments6.xml><?xml version="1.0" encoding="utf-8"?>
<comments xmlns="http://schemas.openxmlformats.org/spreadsheetml/2006/main">
  <authors>
    <author>Alexis Álvarez</author>
  </authors>
  <commentList>
    <comment ref="A2"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2"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text>
        <r>
          <rPr>
            <sz val="12"/>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PHB 100</t>
        </r>
      </text>
    </comment>
    <comment ref="C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5" authorId="0">
      <text>
        <r>
          <rPr>
            <sz val="12"/>
            <rFont val="Times New Roman"/>
            <family val="1"/>
          </rPr>
          <t xml:space="preserve">The electrical energy contained within your magic rages inside you, begging to be released.
</t>
        </r>
        <r>
          <rPr>
            <b/>
            <sz val="12"/>
            <color indexed="81"/>
            <rFont val="Times New Roman"/>
            <family val="1"/>
          </rPr>
          <t xml:space="preserve">Prerequisite:  </t>
        </r>
        <r>
          <rPr>
            <sz val="12"/>
            <rFont val="Times New Roman"/>
            <family val="1"/>
          </rPr>
          <t xml:space="preserve">Ability to cast 3rd-level spells.
</t>
        </r>
        <r>
          <rPr>
            <b/>
            <sz val="12"/>
            <color indexed="81"/>
            <rFont val="Times New Roman"/>
            <family val="1"/>
          </rPr>
          <t xml:space="preserve">Benefit:  </t>
        </r>
        <r>
          <rPr>
            <sz val="12"/>
            <rFont val="Times New Roman"/>
            <family val="1"/>
          </rPr>
          <t xml:space="preserve">As long as you have an electricity spell of 3rd level or higher available to cast, you can fire a 20-foot line of electricity as a standard action.  This bolt deals 1d6 points of electricity damage per level of the highest-level electricity spell you have available to cast.
As a secondary benefit, you gain a +1 competence bonus to your caster level when casting electricity spells.
Complete Mage 47
</t>
        </r>
        <r>
          <rPr>
            <b/>
            <sz val="12"/>
            <color indexed="81"/>
            <rFont val="Times New Roman"/>
            <family val="1"/>
          </rPr>
          <t xml:space="preserve">By Conjecture:  </t>
        </r>
        <r>
          <rPr>
            <sz val="12"/>
            <rFont val="Times New Roman"/>
            <family val="1"/>
          </rPr>
          <t>Spell-like ability with Reflex save for ½ damage.</t>
        </r>
      </text>
    </comment>
    <comment ref="A6" authorId="0">
      <text>
        <r>
          <rPr>
            <sz val="12"/>
            <rFont val="Times New Roman"/>
            <family val="1"/>
          </rPr>
          <t xml:space="preserve">The electrical energy contained within your magic rages inside you, begging to be released.
</t>
        </r>
        <r>
          <rPr>
            <b/>
            <sz val="12"/>
            <color indexed="81"/>
            <rFont val="Times New Roman"/>
            <family val="1"/>
          </rPr>
          <t xml:space="preserve">Prerequisite:  </t>
        </r>
        <r>
          <rPr>
            <sz val="12"/>
            <rFont val="Times New Roman"/>
            <family val="1"/>
          </rPr>
          <t xml:space="preserve">Ability to cast 3rd-level spells.
</t>
        </r>
        <r>
          <rPr>
            <b/>
            <sz val="12"/>
            <color indexed="81"/>
            <rFont val="Times New Roman"/>
            <family val="1"/>
          </rPr>
          <t xml:space="preserve">Benefit:  </t>
        </r>
        <r>
          <rPr>
            <sz val="12"/>
            <rFont val="Times New Roman"/>
            <family val="1"/>
          </rPr>
          <t xml:space="preserve">As long as you have an electricity spell of 3rd level or higher available to cast, you can fire a 20-foot line of electricity as a standard action.  This bolt deals 1d6 points of electricity damage per level of the highest-level electricity spell you have available to cast.
As a secondary benefit, you gain a +1 competence bonus to your caster level when casting electricity spells.
Complete Mage 47
</t>
        </r>
        <r>
          <rPr>
            <b/>
            <sz val="12"/>
            <color indexed="81"/>
            <rFont val="Times New Roman"/>
            <family val="1"/>
          </rPr>
          <t xml:space="preserve">By Conjecture:  </t>
        </r>
        <r>
          <rPr>
            <sz val="12"/>
            <rFont val="Times New Roman"/>
            <family val="1"/>
          </rPr>
          <t>Spell-like ability with Reflex save for ½ damage.</t>
        </r>
      </text>
    </comment>
    <comment ref="C14" authorId="0">
      <text>
        <r>
          <rPr>
            <sz val="12"/>
            <rFont val="Times New Roman"/>
            <family val="1"/>
          </rPr>
          <t>At 1st level, your caster level for all arcane spells increases by 1. It increases again at 4th level, 7th level, and 10th level (to a maximum of +4).
Complete Mage 78</t>
        </r>
      </text>
    </comment>
    <comment ref="C15" authorId="0">
      <text>
        <r>
          <rPr>
            <sz val="12"/>
            <rFont val="Times New Roman"/>
            <family val="1"/>
          </rPr>
          <t>Starting at 3rd level, you can choose to sacrifice a spell or spell slot from one of your classes to apply the effect of a metamagic feat that you know to a spell cast using another arcane class.  (For instance, you could sacrifice a sorcerer slot to apply a metamagic effect to a wizard spell.)  This sacrificed spell or slot is lost (just as if you had cast the spell) in addition to the spell you are actually casting.
The level of the spell to be augmented can’t exceed 1/2 your class level.  For example, when you first gain this ability, you can only apply a metamagic effect to 1st-level spells.  A 10th-level ultimate magus can affect spells of 5th level or lower.
The level of the spell slot sacrificed must equal or exceed the spell level adjustment of the metamagic feat.  To empower a spell, for example, you would have to spend a 2nd-level or higher spell. You can’t use this ability to augment a spell already affected by a metamagic feat.
You can use this ability a number of times per day equal to 3 + 1/2 your class level.
Complete Mage 78</t>
        </r>
      </text>
    </comment>
    <comment ref="C16"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7"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8" authorId="0">
      <text>
        <r>
          <rPr>
            <sz val="12"/>
            <rFont val="Times New Roman"/>
            <family val="1"/>
          </rPr>
          <t xml:space="preserve">You can modify an energy-based spell to use another type of energy instead.
</t>
        </r>
        <r>
          <rPr>
            <b/>
            <sz val="12"/>
            <color indexed="81"/>
            <rFont val="Times New Roman"/>
            <family val="1"/>
          </rPr>
          <t xml:space="preserve">Prerequisites:  </t>
        </r>
        <r>
          <rPr>
            <sz val="12"/>
            <rFont val="Times New Roman"/>
            <family val="1"/>
          </rPr>
          <t xml:space="preserve">Knowledge (arcana) 5 ranks, any metamagic feat.
</t>
        </r>
        <r>
          <rPr>
            <b/>
            <sz val="12"/>
            <color indexed="81"/>
            <rFont val="Times New Roman"/>
            <family val="1"/>
          </rPr>
          <t xml:space="preserve">Benefit:  </t>
        </r>
        <r>
          <rPr>
            <sz val="12"/>
            <rFont val="Times New Roman"/>
            <family val="1"/>
          </rPr>
          <t xml:space="preserve">Choose one type of energy (acid, cold, electricity, or fire).  You can then modify any spell with an energy descriptor to use the chosen type of energy instead.  An energy substituted spell uses a spell slot of the spell’s normal level.  The spell’s descriptor changes to the new energy type—for example, a fireball composed of cold energy is an evocation [cold] spell.
</t>
        </r>
        <r>
          <rPr>
            <b/>
            <sz val="12"/>
            <color indexed="81"/>
            <rFont val="Times New Roman"/>
            <family val="1"/>
          </rPr>
          <t xml:space="preserve">Special:  </t>
        </r>
        <r>
          <rPr>
            <sz val="12"/>
            <rFont val="Times New Roman"/>
            <family val="1"/>
          </rPr>
          <t>You can gain this feat multiple times, choosing a different type of energy each time.
Complete Mage 79</t>
        </r>
      </text>
    </comment>
  </commentList>
</comments>
</file>

<file path=xl/comments7.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 xml:space="preserve">Craft Wondrous Item, cure moderate wounds.
</t>
        </r>
        <r>
          <rPr>
            <b/>
            <sz val="12"/>
            <color indexed="81"/>
            <rFont val="Times New Roman"/>
            <family val="1"/>
          </rPr>
          <t xml:space="preserve">Cost to Create:  </t>
        </r>
        <r>
          <rPr>
            <sz val="12"/>
            <color indexed="81"/>
            <rFont val="Times New Roman"/>
            <family val="1"/>
          </rPr>
          <t>500 gp, 40 XP, 1 day.
MIC 110</t>
        </r>
      </text>
    </comment>
    <comment ref="A6" authorId="0">
      <text>
        <r>
          <rPr>
            <sz val="12"/>
            <color indexed="81"/>
            <rFont val="Times New Roman"/>
            <family val="1"/>
          </rPr>
          <t>The wearer’s arcane spells per day are doubled for one specific spell level.  A ring of wizardry I doubles 1st-level spells, a ring of wizardry II doubles 2nd-level spells, a ring of wizardry III doubles 3rd-level spells, and a ring of wizardry IV doubles 4th-level spells.  Bonus spells from high ability scores or school specialization are not doubled.
DMG 233</t>
        </r>
      </text>
    </comment>
    <comment ref="A18"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<sst xmlns="http://schemas.openxmlformats.org/spreadsheetml/2006/main" count="1454" uniqueCount="478">
  <si>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</si>
  <si>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</si>
  <si>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</si>
  <si>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</si>
  <si>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</si>
  <si>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</si>
  <si>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</si>
  <si>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</si>
  <si>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</si>
  <si>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</si>
  <si>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</si>
  <si>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</si>
  <si>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</si>
  <si>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</si>
  <si>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</si>
  <si>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</si>
  <si>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</si>
  <si>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</si>
  <si>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</si>
  <si>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</si>
  <si>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</si>
  <si>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</si>
  <si>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</si>
  <si>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</si>
  <si>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</si>
  <si>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</si>
  <si>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</si>
  <si>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</si>
  <si>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</si>
  <si>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</si>
  <si>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</si>
  <si>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</si>
  <si>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</si>
  <si>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</si>
  <si>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</si>
  <si>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</si>
  <si>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</si>
  <si>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</si>
  <si>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</si>
  <si>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</si>
  <si>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</si>
  <si>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</si>
  <si>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</si>
  <si>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</si>
  <si>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</si>
  <si>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</si>
  <si>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</si>
  <si>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</si>
  <si>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</si>
  <si>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</si>
  <si>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</si>
  <si>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</si>
  <si>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</si>
  <si>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</si>
  <si>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</si>
  <si>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</si>
  <si>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</si>
  <si>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</si>
  <si>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</si>
  <si>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</si>
  <si>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</si>
  <si>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</si>
  <si>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</si>
  <si>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</si>
  <si>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</si>
  <si>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</si>
  <si>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</si>
  <si>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</si>
  <si>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</si>
  <si>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</si>
  <si>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</si>
  <si>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</si>
  <si>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</si>
  <si>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</si>
  <si>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</si>
  <si>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</si>
  <si>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</si>
  <si>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</si>
  <si>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</si>
  <si>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</si>
  <si>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</si>
  <si>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</si>
  <si>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</si>
  <si>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</si>
  <si>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Knowledge:  Arcana</t>
  </si>
  <si>
    <t>Sleight of Hand</t>
  </si>
  <si>
    <t>Survival</t>
  </si>
  <si>
    <t>Attack Bonus:</t>
  </si>
  <si>
    <t>Touch AC:</t>
  </si>
  <si>
    <t>Weapon Proficiencies</t>
  </si>
  <si>
    <t>Atk</t>
  </si>
  <si>
    <t>Feats</t>
  </si>
  <si>
    <t>Knowledge:  Local</t>
  </si>
  <si>
    <t>Knowledge:  The Planes</t>
  </si>
  <si>
    <t>2</t>
  </si>
  <si>
    <t>Roll</t>
  </si>
  <si>
    <t>Spell</t>
  </si>
  <si>
    <t>-</t>
  </si>
  <si>
    <t>Gnome</t>
  </si>
  <si>
    <t>Level</t>
  </si>
  <si>
    <t>DC</t>
  </si>
  <si>
    <t>Cast?</t>
  </si>
  <si>
    <t>¨</t>
  </si>
  <si>
    <t>Knowledge:  Religion</t>
  </si>
  <si>
    <t>Knowledge:  Dungeoneering</t>
  </si>
  <si>
    <t>Skill/Save</t>
  </si>
  <si>
    <t>1st</t>
  </si>
  <si>
    <t>2nd</t>
  </si>
  <si>
    <t>3rd</t>
  </si>
  <si>
    <t>4th</t>
  </si>
  <si>
    <t>5th</t>
  </si>
  <si>
    <t>6th</t>
  </si>
  <si>
    <t>7th</t>
  </si>
  <si>
    <t>Subrace:</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</si>
  <si>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</si>
  <si>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</si>
  <si>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</si>
  <si>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</si>
  <si>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</si>
  <si>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</si>
  <si>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</si>
  <si>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</si>
  <si>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</si>
  <si>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</si>
  <si>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</si>
  <si>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</si>
  <si>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</si>
  <si>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</si>
  <si>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Bludgeon</t>
  </si>
  <si>
    <t>Ranged Touch Spells</t>
  </si>
  <si>
    <t>1d3</t>
  </si>
  <si>
    <t>Gold Pieces</t>
  </si>
  <si>
    <t>Actual Speed:</t>
  </si>
  <si>
    <t>CLev</t>
  </si>
  <si>
    <t>Knowledge:  Nature</t>
  </si>
  <si>
    <t>Knowledge:  Nobility &amp; Royalty</t>
  </si>
  <si>
    <t>FF AC:</t>
  </si>
  <si>
    <t>Whisper</t>
  </si>
  <si>
    <t>Darkvision 60’</t>
  </si>
  <si>
    <t>Low-light Vision</t>
  </si>
  <si>
    <t>Kithre</t>
  </si>
  <si>
    <t>Neutral Good</t>
  </si>
  <si>
    <t>Male</t>
  </si>
  <si>
    <t>30’</t>
  </si>
  <si>
    <t>Mage Hand</t>
  </si>
  <si>
    <t>Message</t>
  </si>
  <si>
    <t>Silence (on self)</t>
  </si>
  <si>
    <t>Scribe Scroll</t>
  </si>
  <si>
    <t>Summon Familiar</t>
  </si>
  <si>
    <t>Wizard Spells</t>
  </si>
  <si>
    <t>Detect Magic</t>
  </si>
  <si>
    <t>Acid Splash</t>
  </si>
  <si>
    <t>Light</t>
  </si>
  <si>
    <t>Shield</t>
  </si>
  <si>
    <t>Mage Armor</t>
  </si>
  <si>
    <t>Empty Vials &amp; Stoppers</t>
  </si>
  <si>
    <t>Sack</t>
  </si>
  <si>
    <t>Traveller’s Outfit</t>
  </si>
  <si>
    <t>Belt Pouch</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</si>
  <si>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</si>
  <si>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</si>
  <si>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</si>
  <si>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</si>
  <si>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</si>
  <si>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</si>
  <si>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</si>
  <si>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</si>
  <si>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</si>
  <si>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</si>
  <si>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</si>
  <si>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</si>
  <si>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</si>
  <si>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</si>
  <si>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</si>
  <si>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</si>
  <si>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</si>
  <si>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</si>
  <si>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</si>
  <si>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</si>
  <si>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</si>
  <si>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</si>
  <si>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</si>
  <si>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</si>
  <si>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</si>
  <si>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</si>
  <si>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</si>
  <si>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</si>
  <si>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</si>
  <si>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</si>
  <si>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</si>
  <si>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</si>
  <si>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</si>
  <si>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</si>
  <si>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</si>
  <si>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</si>
  <si>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</si>
  <si>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</si>
  <si>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</si>
  <si>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</si>
  <si>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</si>
  <si>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</si>
  <si>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</si>
  <si>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</si>
  <si>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</si>
  <si>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</si>
  <si>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</si>
  <si>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</si>
  <si>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</si>
  <si>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Whisper Gnome Spells</t>
  </si>
  <si>
    <t>Wands, Scrolls and Potions</t>
  </si>
  <si>
    <t>Grapple, Unarmed Strike</t>
  </si>
  <si>
    <t>x2</t>
  </si>
  <si>
    <t>Value</t>
  </si>
  <si>
    <t>See Invisibility</t>
  </si>
  <si>
    <t>PHB</t>
  </si>
  <si>
    <t>Reference</t>
  </si>
  <si>
    <t>Page</t>
  </si>
  <si>
    <t>249</t>
  </si>
  <si>
    <t>Spell Compendium</t>
  </si>
  <si>
    <t>Caster Class</t>
  </si>
  <si>
    <t>Gust of Wind</t>
  </si>
  <si>
    <t>Haste</t>
  </si>
  <si>
    <t>Silk Rope</t>
  </si>
  <si>
    <t>Grappling Hook</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</si>
  <si>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</si>
  <si>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</si>
  <si>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</si>
  <si>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</si>
  <si>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</si>
  <si>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</si>
  <si>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</si>
  <si>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</si>
  <si>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</si>
  <si>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</si>
  <si>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</si>
  <si>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</si>
  <si>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</si>
  <si>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</si>
  <si>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Healing Belt</t>
  </si>
  <si>
    <t>Heward’s Handy Haversack</t>
  </si>
  <si>
    <t>% of 100-lb limit</t>
  </si>
  <si>
    <t>Frayed</t>
  </si>
  <si>
    <t>Evoker</t>
  </si>
  <si>
    <t>Evoker 1</t>
  </si>
  <si>
    <t>Evoker 2</t>
  </si>
  <si>
    <t>Evoker 3</t>
  </si>
  <si>
    <t>Evoker Bonus</t>
  </si>
  <si>
    <t>Evoker Features</t>
  </si>
  <si>
    <r>
      <t>18</t>
    </r>
    <r>
      <rPr>
        <sz val="13"/>
        <rFont val="Times New Roman"/>
        <family val="1"/>
      </rPr>
      <t>/</t>
    </r>
    <r>
      <rPr>
        <sz val="13"/>
        <color indexed="51"/>
        <rFont val="Times New Roman"/>
        <family val="1"/>
      </rPr>
      <t>35</t>
    </r>
    <r>
      <rPr>
        <sz val="13"/>
        <rFont val="Times New Roman"/>
        <family val="1"/>
      </rPr>
      <t>/</t>
    </r>
    <r>
      <rPr>
        <sz val="13"/>
        <color indexed="10"/>
        <rFont val="Times New Roman"/>
        <family val="1"/>
      </rPr>
      <t>53</t>
    </r>
  </si>
  <si>
    <t>Warmage</t>
  </si>
  <si>
    <t>Master Specialist</t>
  </si>
  <si>
    <t>Ultimate Magus</t>
  </si>
  <si>
    <t>1st:  Extend Spell</t>
  </si>
  <si>
    <t>3rd:  Spell Focus (Evocation)</t>
  </si>
  <si>
    <t>Skill Focus (Spellcraft)</t>
  </si>
  <si>
    <t>Gnome Hammer treated as martial</t>
  </si>
  <si>
    <t>Auran, Ignan, Giant, Goblin, Orc</t>
  </si>
  <si>
    <t>Undercommon, Abyssal</t>
  </si>
  <si>
    <t>Gnomish, Common, Draconic,</t>
  </si>
  <si>
    <t>Elvish, Aquan, Terran, Dwarven,</t>
  </si>
  <si>
    <t>Speak Language:  Abyssal</t>
  </si>
  <si>
    <t>Speak Language:  Aquan</t>
  </si>
  <si>
    <t>Speak Language:  Auran</t>
  </si>
  <si>
    <t>Speak Language:  Dwarven</t>
  </si>
  <si>
    <t>Speak Language:  Undercommon</t>
  </si>
  <si>
    <t>Speak Language:  Terran</t>
  </si>
  <si>
    <t>Speak Language:  Giant</t>
  </si>
  <si>
    <t>Speak Language:  Goblin</t>
  </si>
  <si>
    <t>Speak Language:  Ignan</t>
  </si>
  <si>
    <t>Speak Language:  Orc</t>
  </si>
  <si>
    <t>Warmage 1</t>
  </si>
  <si>
    <t>Master Specialist 1</t>
  </si>
  <si>
    <t>Ultimate Magus 1</t>
  </si>
  <si>
    <t>Ultimate Magus 2</t>
  </si>
  <si>
    <t>Craft:  [type]</t>
  </si>
  <si>
    <t>Charisma Bonus</t>
  </si>
  <si>
    <t>Warmage Spells</t>
  </si>
  <si>
    <t>Warmage Spells by Level</t>
  </si>
  <si>
    <t>Evoker Spells by Level</t>
  </si>
  <si>
    <t>6th:  Practiced Spellcaster (Warmage)</t>
  </si>
  <si>
    <t>Base</t>
  </si>
  <si>
    <t>Spell Effects</t>
  </si>
  <si>
    <t>CL</t>
  </si>
  <si>
    <t>Daily Slots</t>
  </si>
  <si>
    <t>Magic Missile</t>
  </si>
  <si>
    <t>Unseen Servant</t>
  </si>
  <si>
    <t>Greater Mage Hand</t>
  </si>
  <si>
    <t>Obscuring Mist</t>
  </si>
  <si>
    <t>Tenser’s Floating Disc</t>
  </si>
  <si>
    <t>Grease</t>
  </si>
  <si>
    <t>Flaming Sphere</t>
  </si>
  <si>
    <t>Glitterdust</t>
  </si>
  <si>
    <t>Invisibility</t>
  </si>
  <si>
    <t>Fireball</t>
  </si>
  <si>
    <t>Wind Wall</t>
  </si>
  <si>
    <t>Dispel Magic</t>
  </si>
  <si>
    <t>Fly</t>
  </si>
  <si>
    <t>Slow</t>
  </si>
  <si>
    <t>Stinking Cloud</t>
  </si>
  <si>
    <t>Cat’s Grace</t>
  </si>
  <si>
    <t>Mirror Image</t>
  </si>
  <si>
    <t>Resist Energy</t>
  </si>
  <si>
    <t>Scorching Ray</t>
  </si>
  <si>
    <t>Protection from Arrows</t>
  </si>
  <si>
    <t>Summon Monster II</t>
  </si>
  <si>
    <t>Mount</t>
  </si>
  <si>
    <t>Enlarge Person</t>
  </si>
  <si>
    <t>Reduce Person</t>
  </si>
  <si>
    <t>Expeditious Retreat</t>
  </si>
  <si>
    <t>Comprehend Languages</t>
  </si>
  <si>
    <t>V S F/DF</t>
  </si>
  <si>
    <t>Magic Circle vs. Evil</t>
  </si>
  <si>
    <t>M</t>
  </si>
  <si>
    <t>10’ radius</t>
  </si>
  <si>
    <t>30’ radius</t>
  </si>
  <si>
    <t>Gedlee’s Electric Loop</t>
  </si>
  <si>
    <t>Player’s Guide to Faerûn</t>
  </si>
  <si>
    <t>Prsnl./Tch.</t>
  </si>
  <si>
    <t>V S DF</t>
  </si>
  <si>
    <t>1 FR</t>
  </si>
  <si>
    <t>Summon Monster III</t>
  </si>
  <si>
    <t>400’ + 40’/lvl</t>
  </si>
  <si>
    <t>2 hrs/lvl</t>
  </si>
  <si>
    <t>Complete Arcane</t>
  </si>
  <si>
    <t>Greater Mage Armor</t>
  </si>
  <si>
    <t>Phantom Steed</t>
  </si>
  <si>
    <t>10 minutes</t>
  </si>
  <si>
    <t>0’</t>
  </si>
  <si>
    <t>Heart of Water</t>
  </si>
  <si>
    <t>Complete Mage</t>
  </si>
  <si>
    <t>Bear’s Endurance</t>
  </si>
  <si>
    <t>Sonic Blast</t>
  </si>
  <si>
    <t>Blast of Force</t>
  </si>
  <si>
    <t>Lightning Bolt</t>
  </si>
  <si>
    <t>120’</t>
  </si>
  <si>
    <t>19-20, x2</t>
  </si>
  <si>
    <t>Prcg/Slsh</t>
  </si>
  <si>
    <t>SF</t>
  </si>
  <si>
    <t>Ultimate Magus 3</t>
  </si>
  <si>
    <t>Augmented Casting</t>
  </si>
  <si>
    <t>Heart of Earth</t>
  </si>
  <si>
    <t>Vortex of Teeth</t>
  </si>
  <si>
    <t>Ring of Wizardry I</t>
  </si>
  <si>
    <t>Dimension Door</t>
  </si>
  <si>
    <t>Invisibility, Greater</t>
  </si>
  <si>
    <t>Ultimate Magus 4</t>
  </si>
  <si>
    <t>Expanded Spell Knowledge (1st:  Blast of Force)</t>
  </si>
  <si>
    <t>Expanded Spell Knowledge (2nd:  )</t>
  </si>
  <si>
    <t>Bypass Spell Resistance</t>
  </si>
  <si>
    <t>Warmage Features</t>
  </si>
  <si>
    <t>Armored Mage (Light)</t>
  </si>
  <si>
    <t xml:space="preserve">Warmage Edge </t>
  </si>
  <si>
    <t>Simple Weapons, Light Armor</t>
  </si>
  <si>
    <t>Ultimate Magus 5</t>
  </si>
  <si>
    <t>Displacer Form</t>
  </si>
  <si>
    <t>Force Missiles</t>
  </si>
  <si>
    <t>Jet of Steam</t>
  </si>
  <si>
    <t>Arcane Turmoil</t>
  </si>
  <si>
    <t>Heart of Air</t>
  </si>
  <si>
    <t>Luminous Swarm</t>
  </si>
  <si>
    <t>Chain Missile</t>
  </si>
  <si>
    <t>Resonating Bolt</t>
  </si>
  <si>
    <t>Scintillating Sphere</t>
  </si>
  <si>
    <t>Ring of Wizardry</t>
  </si>
  <si>
    <t>Ultimate Magus Features</t>
  </si>
  <si>
    <t>Master Specialist Features</t>
  </si>
  <si>
    <t>Glitterdust Scrolls</t>
  </si>
  <si>
    <t>Heart of Water Scrolls</t>
  </si>
  <si>
    <t>Daylight Scrolls</t>
  </si>
  <si>
    <t>Heart of Earth Scrolls</t>
  </si>
  <si>
    <t>Heart of Air Scrolls</t>
  </si>
  <si>
    <t>See Invisibility Scrolls</t>
  </si>
  <si>
    <t>Metamagic Wand of Silence, Lesser</t>
  </si>
  <si>
    <t>9th:  Storm Bolt</t>
  </si>
  <si>
    <t>Practiced Spellcaster +4 included in Warmage bonus</t>
  </si>
  <si>
    <t>Arcane Spell Power +2</t>
  </si>
  <si>
    <t>Arcane Spell Power +2 included in bonuses above</t>
  </si>
  <si>
    <t>30’ line</t>
  </si>
  <si>
    <t>Profession:  Sailor</t>
  </si>
  <si>
    <t>5 rounds</t>
  </si>
  <si>
    <t>5th-level Feat:  Energy Substitution</t>
  </si>
  <si>
    <t>four</t>
  </si>
  <si>
    <t>six</t>
  </si>
  <si>
    <t>Memorized Evoker Spells</t>
  </si>
  <si>
    <t>Components</t>
  </si>
  <si>
    <t>Properties</t>
  </si>
  <si>
    <t>Disrupt Undead</t>
  </si>
  <si>
    <t>1d6</t>
  </si>
  <si>
    <t>Accuracy</t>
  </si>
  <si>
    <t>Complete Arcane 96</t>
  </si>
  <si>
    <t>Burning Hands</t>
  </si>
  <si>
    <t>15’</t>
  </si>
  <si>
    <t>PHB 207</t>
  </si>
  <si>
    <t>Chill Touch</t>
  </si>
  <si>
    <t>PHB 209</t>
  </si>
  <si>
    <t>Fist of Stone</t>
  </si>
  <si>
    <t>Complete Arcane 108</t>
  </si>
  <si>
    <t>Hail of Stone</t>
  </si>
  <si>
    <t>Complete Arcane 110</t>
  </si>
  <si>
    <t>1d4+1, 3 missiles (4@7th lvl.)</t>
  </si>
  <si>
    <t>Orb of Acid, Lesser</t>
  </si>
  <si>
    <t>Complete Arcane 115</t>
  </si>
  <si>
    <t>Orb of Cold, Lesser</t>
  </si>
  <si>
    <t>Orb of Fire, Lesser</t>
  </si>
  <si>
    <t>Complete Arcane 116</t>
  </si>
  <si>
    <t>Orb of Sound, Lesser</t>
  </si>
  <si>
    <t>Orb of Electricity, Lesser</t>
  </si>
  <si>
    <t>Shocking Grasp</t>
  </si>
  <si>
    <t>PHB 279</t>
  </si>
  <si>
    <t>True Strike</t>
  </si>
  <si>
    <t>V F</t>
  </si>
  <si>
    <t>special</t>
  </si>
  <si>
    <t>PHB 296</t>
  </si>
  <si>
    <t>Blades of Fire</t>
  </si>
  <si>
    <t>Swift</t>
  </si>
  <si>
    <t>Complete Arcane 99</t>
  </si>
  <si>
    <t>Continual Flame</t>
  </si>
  <si>
    <t>Torch-equivalent, no heat</t>
  </si>
  <si>
    <t>Fire Trap</t>
  </si>
  <si>
    <t>Perm.</t>
  </si>
  <si>
    <t>PHB 231</t>
  </si>
  <si>
    <t>Fireburst</t>
  </si>
  <si>
    <t>5’</t>
  </si>
  <si>
    <t>Complete Arcane 107</t>
  </si>
  <si>
    <t>PHB 232</t>
  </si>
  <si>
    <t>Ice Knife</t>
  </si>
  <si>
    <t>S M</t>
  </si>
  <si>
    <t>Complete Arcane 112</t>
  </si>
  <si>
    <t>V S M F</t>
  </si>
  <si>
    <t>PHB 253</t>
  </si>
  <si>
    <t>PHB 274</t>
  </si>
  <si>
    <t>Shatter</t>
  </si>
  <si>
    <t>PHB 278</t>
  </si>
  <si>
    <t>Whirling Blade</t>
  </si>
  <si>
    <t>Complete Arcane 129</t>
  </si>
  <si>
    <t>Fire Shield</t>
  </si>
  <si>
    <t>PHB 230</t>
  </si>
  <si>
    <t>Flame Arrow</t>
  </si>
  <si>
    <t>PHB 238</t>
  </si>
  <si>
    <t>Ice Storm</t>
  </si>
  <si>
    <t>1 full round</t>
  </si>
  <si>
    <t>PHB 243</t>
  </si>
  <si>
    <t>PHB 248</t>
  </si>
  <si>
    <t>Poison</t>
  </si>
  <si>
    <t>PHB 262</t>
  </si>
  <si>
    <t>Ring of Blades</t>
  </si>
  <si>
    <t>Complete Arcane 121</t>
  </si>
  <si>
    <t>Sleet Storm</t>
  </si>
  <si>
    <t>PHB 280</t>
  </si>
  <si>
    <t>PHB 284</t>
  </si>
  <si>
    <t>Blast of Flame</t>
  </si>
  <si>
    <t>Contagion</t>
  </si>
  <si>
    <t>PHB 213</t>
  </si>
  <si>
    <t>PHB 228</t>
  </si>
  <si>
    <t>Orb of Acid</t>
  </si>
  <si>
    <t>Orb of Cold</t>
  </si>
  <si>
    <t>Orb of Fire</t>
  </si>
  <si>
    <t>Orb of Force</t>
  </si>
  <si>
    <t>Orb of Sound</t>
  </si>
  <si>
    <t>Orb of Electricity</t>
  </si>
  <si>
    <t>Phantasmal Killer</t>
  </si>
  <si>
    <t>PHB 260</t>
  </si>
  <si>
    <t>Shout</t>
  </si>
  <si>
    <t>Wall of Fire</t>
  </si>
  <si>
    <t>Concent.</t>
  </si>
  <si>
    <t>PHB 298</t>
  </si>
  <si>
    <t>Necromancy</t>
  </si>
  <si>
    <t>20’ radius, PHB 248</t>
  </si>
  <si>
    <t>NPC</t>
  </si>
  <si>
    <t>Melf’s Acid Arrow</t>
  </si>
  <si>
    <t>Evard’s Black Tentacles</t>
  </si>
  <si>
    <t>Perform:  [type]</t>
  </si>
  <si>
    <t>12th:  ?</t>
  </si>
  <si>
    <t>Dagger +1</t>
  </si>
  <si>
    <t>1</t>
  </si>
  <si>
    <t>Folding Boat/Ship</t>
  </si>
  <si>
    <t>Scarab figurine</t>
  </si>
  <si>
    <t>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</si>
</sst>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6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sz val="13"/>
      <color rgb="FF00B05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sz val="12"/>
      <color theme="0"/>
      <name val="Times New Roman"/>
      <family val="1"/>
    </font>
    <font>
      <sz val="13"/>
      <color rgb="FFFF0000"/>
      <name val="Times New Roman"/>
      <family val="1"/>
    </font>
    <font>
      <sz val="13"/>
      <name val="Wingdings"/>
      <charset val="2"/>
    </font>
    <font>
      <i/>
      <sz val="13"/>
      <name val="Times New Roman"/>
      <family val="1"/>
    </font>
    <font>
      <b/>
      <sz val="13"/>
      <color theme="0"/>
      <name val="Times New Roman"/>
      <family val="1"/>
    </font>
    <font>
      <i/>
      <sz val="16"/>
      <name val="Times New Roman"/>
      <family val="1"/>
    </font>
    <font>
      <i/>
      <sz val="18"/>
      <color rgb="FFFF0000"/>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rgb="FF00FF00"/>
        <bgColor indexed="64"/>
      </patternFill>
    </fill>
    <fill>
      <patternFill patternType="solid">
        <fgColor rgb="FF6600CC"/>
        <bgColor indexed="64"/>
      </patternFill>
    </fill>
    <fill>
      <patternFill patternType="solid">
        <fgColor rgb="FFCCFFCC"/>
        <bgColor indexed="55"/>
      </patternFill>
    </fill>
  </fills>
  <borders count="13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hair">
        <color indexed="64"/>
      </left>
      <right/>
      <top style="hair">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588">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8" borderId="85" xfId="0" quotePrefix="1" applyFont="1" applyFill="1" applyBorder="1" applyAlignment="1">
      <alignment horizontal="center" vertical="center" wrapText="1"/>
    </xf>
    <xf numFmtId="49" fontId="2" fillId="8" borderId="85" xfId="2" applyNumberFormat="1" applyFont="1" applyFill="1" applyBorder="1" applyAlignment="1">
      <alignment horizontal="center" vertical="center"/>
    </xf>
    <xf numFmtId="0" fontId="2" fillId="8" borderId="85" xfId="0" applyFont="1" applyFill="1" applyBorder="1" applyAlignment="1">
      <alignment horizontal="center" vertical="center" shrinkToFit="1"/>
    </xf>
    <xf numFmtId="164" fontId="2" fillId="8" borderId="85"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2" fillId="0" borderId="85" xfId="0" applyFont="1" applyFill="1" applyBorder="1" applyAlignment="1">
      <alignment horizontal="center" vertical="center"/>
    </xf>
    <xf numFmtId="0" fontId="2" fillId="0" borderId="85" xfId="0" quotePrefix="1" applyFont="1" applyFill="1" applyBorder="1" applyAlignment="1">
      <alignment horizontal="center" vertical="center" wrapText="1"/>
    </xf>
    <xf numFmtId="49" fontId="2" fillId="0" borderId="85" xfId="2" applyNumberFormat="1" applyFont="1" applyFill="1" applyBorder="1" applyAlignment="1">
      <alignment horizontal="center" vertical="center"/>
    </xf>
    <xf numFmtId="0" fontId="2" fillId="0" borderId="85" xfId="0" applyFont="1" applyFill="1" applyBorder="1" applyAlignment="1">
      <alignment horizontal="center" vertical="center" shrinkToFit="1"/>
    </xf>
    <xf numFmtId="164" fontId="2" fillId="0" borderId="85" xfId="0" applyNumberFormat="1"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5"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0" fontId="2" fillId="0" borderId="87" xfId="0" quotePrefix="1" applyFont="1" applyBorder="1" applyAlignment="1">
      <alignment horizontal="center" vertical="center"/>
    </xf>
    <xf numFmtId="1" fontId="5" fillId="0" borderId="90" xfId="0" applyNumberFormat="1" applyFont="1" applyFill="1" applyBorder="1" applyAlignment="1">
      <alignment horizontal="center" vertical="center"/>
    </xf>
    <xf numFmtId="0" fontId="2" fillId="0" borderId="111"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5"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09" xfId="0" applyFont="1" applyFill="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0" xfId="0" applyFont="1" applyBorder="1" applyAlignment="1">
      <alignment horizontal="left" vertical="center" shrinkToFit="1"/>
    </xf>
    <xf numFmtId="0" fontId="2" fillId="0" borderId="96"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10"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2" xfId="0" applyFont="1" applyFill="1" applyBorder="1" applyAlignment="1">
      <alignment horizontal="centerContinuous" vertical="center"/>
    </xf>
    <xf numFmtId="0" fontId="21" fillId="7" borderId="48" xfId="0" applyFont="1" applyFill="1" applyBorder="1" applyAlignment="1">
      <alignment horizontal="centerContinuous" vertical="center"/>
    </xf>
    <xf numFmtId="0" fontId="2" fillId="0" borderId="89" xfId="0" quotePrefix="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4" xfId="0" applyNumberFormat="1" applyFont="1" applyFill="1" applyBorder="1" applyAlignment="1">
      <alignment horizontal="centerContinuous" vertical="center"/>
    </xf>
    <xf numFmtId="0" fontId="5" fillId="0" borderId="91"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6" xfId="0" applyNumberFormat="1"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105" xfId="0" applyFont="1" applyFill="1" applyBorder="1" applyAlignment="1">
      <alignment horizontal="centerContinuous" vertical="center"/>
    </xf>
    <xf numFmtId="0" fontId="5" fillId="0" borderId="106" xfId="0" applyFont="1" applyFill="1" applyBorder="1" applyAlignment="1">
      <alignment horizontal="centerContinuous" vertical="center"/>
    </xf>
    <xf numFmtId="0" fontId="5" fillId="0" borderId="9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1" fillId="7" borderId="97" xfId="0" applyFont="1" applyFill="1" applyBorder="1" applyAlignment="1">
      <alignment horizontal="center" vertical="center"/>
    </xf>
    <xf numFmtId="0" fontId="21" fillId="7" borderId="98"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39" fillId="0" borderId="54" xfId="0" applyFont="1" applyFill="1" applyBorder="1" applyAlignment="1">
      <alignment horizontal="center" vertical="center" shrinkToFit="1"/>
    </xf>
    <xf numFmtId="0" fontId="39"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81" xfId="0" quotePrefix="1" applyFont="1" applyFill="1" applyBorder="1" applyAlignment="1">
      <alignment horizontal="centerContinuous" vertical="center"/>
    </xf>
    <xf numFmtId="0" fontId="7" fillId="0" borderId="55"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1"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1"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44"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45"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3" fillId="9" borderId="25" xfId="0" applyNumberFormat="1" applyFont="1" applyFill="1" applyBorder="1" applyAlignment="1">
      <alignment horizontal="center" vertical="center"/>
    </xf>
    <xf numFmtId="0" fontId="23"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5" xfId="0" applyNumberFormat="1" applyFont="1" applyFill="1" applyBorder="1" applyAlignment="1">
      <alignment horizontal="center" vertical="center"/>
    </xf>
    <xf numFmtId="0" fontId="16"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45"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5" xfId="0" applyFont="1" applyFill="1" applyBorder="1" applyAlignment="1">
      <alignment horizontal="right" vertical="center"/>
    </xf>
    <xf numFmtId="0" fontId="43"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5" fillId="2" borderId="112"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07"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08" xfId="0" applyFont="1" applyBorder="1" applyAlignment="1">
      <alignment horizontal="centerContinuous" vertical="center"/>
    </xf>
    <xf numFmtId="0" fontId="49"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shrinkToFit="1"/>
    </xf>
    <xf numFmtId="0" fontId="7" fillId="14" borderId="25" xfId="0" applyFont="1" applyFill="1" applyBorder="1" applyAlignment="1">
      <alignment horizontal="center" vertical="center" wrapText="1"/>
    </xf>
    <xf numFmtId="0" fontId="2" fillId="0" borderId="38" xfId="0" applyFont="1" applyBorder="1" applyAlignment="1">
      <alignment horizontal="left" vertical="center"/>
    </xf>
    <xf numFmtId="0" fontId="2" fillId="0" borderId="117" xfId="0" applyFont="1" applyFill="1" applyBorder="1" applyAlignment="1">
      <alignment horizontal="centerContinuous" vertical="center" shrinkToFit="1"/>
    </xf>
    <xf numFmtId="0" fontId="21" fillId="0" borderId="118" xfId="0" applyFont="1" applyFill="1" applyBorder="1" applyAlignment="1">
      <alignment horizontal="centerContinuous" vertical="center"/>
    </xf>
    <xf numFmtId="0" fontId="2" fillId="0" borderId="119" xfId="0" applyFont="1" applyFill="1" applyBorder="1" applyAlignment="1">
      <alignment horizontal="center" vertical="center"/>
    </xf>
    <xf numFmtId="0" fontId="2" fillId="0" borderId="120" xfId="0" applyFont="1" applyFill="1" applyBorder="1" applyAlignment="1">
      <alignment horizontal="centerContinuous" vertical="center"/>
    </xf>
    <xf numFmtId="0" fontId="2" fillId="0" borderId="121"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7" fillId="14" borderId="59" xfId="0" applyFont="1" applyFill="1" applyBorder="1" applyAlignment="1">
      <alignment horizontal="center" vertical="center" wrapText="1"/>
    </xf>
    <xf numFmtId="0" fontId="2" fillId="0" borderId="105" xfId="0" applyFont="1" applyFill="1" applyBorder="1" applyAlignment="1">
      <alignment horizontal="centerContinuous" vertical="center" shrinkToFit="1"/>
    </xf>
    <xf numFmtId="0" fontId="21" fillId="0" borderId="94"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2" fillId="0" borderId="91" xfId="0" applyFont="1" applyFill="1" applyBorder="1" applyAlignment="1">
      <alignment horizontal="centerContinuous" vertical="center"/>
    </xf>
    <xf numFmtId="1" fontId="5" fillId="0" borderId="120" xfId="0" applyNumberFormat="1" applyFont="1" applyFill="1" applyBorder="1" applyAlignment="1">
      <alignment horizontal="center" vertical="center"/>
    </xf>
    <xf numFmtId="1" fontId="48" fillId="10" borderId="120" xfId="0" applyNumberFormat="1" applyFont="1" applyFill="1" applyBorder="1" applyAlignment="1">
      <alignment horizontal="center" vertical="center"/>
    </xf>
    <xf numFmtId="1" fontId="2" fillId="0" borderId="120"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0" fontId="2" fillId="0" borderId="84" xfId="0" applyFont="1" applyFill="1" applyBorder="1" applyAlignment="1">
      <alignment horizontal="center" vertical="center"/>
    </xf>
    <xf numFmtId="1" fontId="2" fillId="8" borderId="86" xfId="0" applyNumberFormat="1" applyFont="1" applyFill="1" applyBorder="1" applyAlignment="1">
      <alignment horizontal="center" vertical="center"/>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53" fillId="0" borderId="1" xfId="0" applyFont="1" applyFill="1" applyBorder="1" applyAlignment="1">
      <alignment vertical="center"/>
    </xf>
    <xf numFmtId="0" fontId="6"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4" fillId="0" borderId="1" xfId="0" applyFont="1" applyFill="1" applyBorder="1" applyAlignment="1">
      <alignment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3"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9"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0" fontId="2" fillId="0" borderId="0" xfId="0" applyFont="1" applyBorder="1" applyAlignment="1"/>
    <xf numFmtId="1" fontId="2" fillId="8" borderId="85" xfId="0" applyNumberFormat="1"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1" fillId="0" borderId="31" xfId="0" applyFont="1" applyFill="1" applyBorder="1" applyAlignment="1">
      <alignment horizontal="centerContinuous" vertical="center"/>
    </xf>
    <xf numFmtId="0" fontId="55" fillId="0" borderId="31" xfId="0" applyFont="1" applyBorder="1" applyAlignment="1">
      <alignment horizontal="centerContinuous" vertical="center" wrapText="1"/>
    </xf>
    <xf numFmtId="0" fontId="56" fillId="0" borderId="31" xfId="0" applyFont="1" applyBorder="1" applyAlignment="1">
      <alignment horizontal="centerContinuous" vertical="center" wrapText="1"/>
    </xf>
    <xf numFmtId="0" fontId="57" fillId="0" borderId="31" xfId="0" applyFont="1" applyFill="1" applyBorder="1" applyAlignment="1">
      <alignment horizontal="centerContinuous" vertical="center" wrapText="1"/>
    </xf>
    <xf numFmtId="0" fontId="7" fillId="0" borderId="34" xfId="0" applyFont="1" applyFill="1" applyBorder="1" applyAlignment="1">
      <alignment horizontal="center" vertical="center" shrinkToFit="1"/>
    </xf>
    <xf numFmtId="0" fontId="7" fillId="0" borderId="27" xfId="0" quotePrefix="1" applyFont="1" applyFill="1" applyBorder="1" applyAlignment="1">
      <alignment horizontal="center" vertical="center"/>
    </xf>
    <xf numFmtId="0" fontId="13" fillId="9" borderId="1" xfId="0" applyFont="1" applyFill="1" applyBorder="1" applyAlignment="1">
      <alignment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3" fillId="9" borderId="26" xfId="0" applyNumberFormat="1" applyFont="1" applyFill="1" applyBorder="1" applyAlignment="1">
      <alignment horizontal="center" vertical="center"/>
    </xf>
    <xf numFmtId="0" fontId="45" fillId="10" borderId="13"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6" xfId="0"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16" borderId="25" xfId="0" applyFont="1" applyFill="1" applyBorder="1" applyAlignment="1">
      <alignment horizontal="center" vertical="center" wrapText="1"/>
    </xf>
    <xf numFmtId="0" fontId="7" fillId="16" borderId="59" xfId="0" applyFont="1" applyFill="1" applyBorder="1" applyAlignment="1">
      <alignment horizontal="center" vertical="center" wrapText="1"/>
    </xf>
    <xf numFmtId="0" fontId="7" fillId="0" borderId="27" xfId="0" applyNumberFormat="1" applyFont="1" applyBorder="1" applyAlignment="1">
      <alignment horizontal="center" vertical="center" wrapText="1"/>
    </xf>
    <xf numFmtId="0" fontId="7" fillId="7" borderId="2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15" borderId="59" xfId="0" applyFont="1" applyFill="1" applyBorder="1" applyAlignment="1">
      <alignment horizontal="center" vertical="center" wrapText="1"/>
    </xf>
    <xf numFmtId="0" fontId="7" fillId="0" borderId="32" xfId="0" applyNumberFormat="1" applyFont="1" applyFill="1" applyBorder="1" applyAlignment="1">
      <alignment horizontal="center" vertical="center" shrinkToFit="1"/>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9" borderId="27" xfId="0" quotePrefix="1" applyNumberFormat="1" applyFont="1" applyFill="1" applyBorder="1" applyAlignment="1">
      <alignment horizontal="center" vertical="center"/>
    </xf>
    <xf numFmtId="9" fontId="2" fillId="0" borderId="0" xfId="2" applyFont="1" applyBorder="1" applyAlignment="1">
      <alignment horizontal="center"/>
    </xf>
    <xf numFmtId="164" fontId="2" fillId="0" borderId="13"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2" fillId="8" borderId="87" xfId="0" quotePrefix="1" applyFont="1" applyFill="1" applyBorder="1" applyAlignment="1">
      <alignment horizontal="center" vertical="center"/>
    </xf>
    <xf numFmtId="0" fontId="5" fillId="0" borderId="0" xfId="0" applyFont="1" applyFill="1" applyBorder="1" applyAlignment="1">
      <alignment horizontal="center" vertical="center"/>
    </xf>
    <xf numFmtId="1" fontId="48" fillId="10" borderId="85" xfId="0" applyNumberFormat="1" applyFont="1" applyFill="1" applyBorder="1" applyAlignment="1">
      <alignment horizontal="center" vertical="center"/>
    </xf>
    <xf numFmtId="1" fontId="48" fillId="10" borderId="82" xfId="0" applyNumberFormat="1" applyFont="1" applyFill="1" applyBorder="1" applyAlignment="1">
      <alignment horizontal="center" vertical="center"/>
    </xf>
    <xf numFmtId="1" fontId="48" fillId="10" borderId="89" xfId="0" applyNumberFormat="1" applyFont="1" applyFill="1" applyBorder="1" applyAlignment="1">
      <alignment horizontal="center" vertical="center"/>
    </xf>
    <xf numFmtId="0" fontId="58" fillId="17" borderId="129" xfId="0" applyFont="1" applyFill="1" applyBorder="1" applyAlignment="1">
      <alignment horizontal="center" vertical="center"/>
    </xf>
    <xf numFmtId="0" fontId="58" fillId="17" borderId="82" xfId="0" applyFont="1" applyFill="1" applyBorder="1" applyAlignment="1">
      <alignment horizontal="center" vertical="center"/>
    </xf>
    <xf numFmtId="0" fontId="58" fillId="17" borderId="82" xfId="0" quotePrefix="1" applyFont="1" applyFill="1" applyBorder="1" applyAlignment="1">
      <alignment horizontal="center" vertical="center" wrapText="1"/>
    </xf>
    <xf numFmtId="49" fontId="58" fillId="17" borderId="82" xfId="2" applyNumberFormat="1" applyFont="1" applyFill="1" applyBorder="1" applyAlignment="1">
      <alignment horizontal="center" vertical="center"/>
    </xf>
    <xf numFmtId="0" fontId="58" fillId="17" borderId="82" xfId="0" applyFont="1" applyFill="1" applyBorder="1" applyAlignment="1">
      <alignment horizontal="center" vertical="center" shrinkToFit="1"/>
    </xf>
    <xf numFmtId="164" fontId="58" fillId="17" borderId="82" xfId="0" applyNumberFormat="1" applyFont="1" applyFill="1" applyBorder="1" applyAlignment="1">
      <alignment horizontal="center" vertical="center"/>
    </xf>
    <xf numFmtId="1" fontId="58" fillId="17" borderId="83" xfId="0" applyNumberFormat="1" applyFont="1" applyFill="1" applyBorder="1" applyAlignment="1">
      <alignment horizontal="center" vertical="center"/>
    </xf>
    <xf numFmtId="0" fontId="58" fillId="17" borderId="88" xfId="0" applyFont="1" applyFill="1" applyBorder="1" applyAlignment="1">
      <alignment horizontal="center" vertical="center"/>
    </xf>
    <xf numFmtId="0" fontId="58" fillId="17" borderId="89" xfId="0" applyFont="1" applyFill="1" applyBorder="1" applyAlignment="1">
      <alignment horizontal="center" vertical="center"/>
    </xf>
    <xf numFmtId="49" fontId="58" fillId="17" borderId="89" xfId="0" applyNumberFormat="1" applyFont="1" applyFill="1" applyBorder="1" applyAlignment="1">
      <alignment horizontal="center" vertical="center"/>
    </xf>
    <xf numFmtId="164" fontId="58" fillId="17" borderId="89" xfId="0" applyNumberFormat="1" applyFont="1" applyFill="1" applyBorder="1" applyAlignment="1">
      <alignment horizontal="center" vertical="center"/>
    </xf>
    <xf numFmtId="1" fontId="58" fillId="17" borderId="90" xfId="0" applyNumberFormat="1" applyFont="1" applyFill="1" applyBorder="1" applyAlignment="1">
      <alignment horizontal="center" vertical="center"/>
    </xf>
    <xf numFmtId="0" fontId="58" fillId="17" borderId="130" xfId="0" quotePrefix="1" applyFont="1" applyFill="1" applyBorder="1" applyAlignment="1">
      <alignment horizontal="center" vertical="center"/>
    </xf>
    <xf numFmtId="0" fontId="58" fillId="17" borderId="111" xfId="0" applyFont="1" applyFill="1" applyBorder="1" applyAlignment="1">
      <alignment horizontal="center" vertical="center"/>
    </xf>
    <xf numFmtId="1" fontId="58" fillId="17" borderId="34" xfId="0" applyNumberFormat="1" applyFont="1" applyFill="1" applyBorder="1" applyAlignment="1">
      <alignment horizontal="center" vertical="center"/>
    </xf>
    <xf numFmtId="1" fontId="58" fillId="17" borderId="47" xfId="0" applyNumberFormat="1" applyFont="1" applyFill="1" applyBorder="1" applyAlignment="1">
      <alignment horizontal="center" vertical="center"/>
    </xf>
    <xf numFmtId="0" fontId="59" fillId="0" borderId="34" xfId="0" applyFont="1" applyFill="1" applyBorder="1" applyAlignment="1">
      <alignment horizontal="center" vertical="center" shrinkToFit="1"/>
    </xf>
    <xf numFmtId="0" fontId="59" fillId="0" borderId="55" xfId="0" applyFont="1" applyFill="1" applyBorder="1" applyAlignment="1">
      <alignment horizontal="center" vertical="center" shrinkToFit="1"/>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0" fontId="12" fillId="12" borderId="36" xfId="0" applyFont="1" applyFill="1" applyBorder="1" applyAlignment="1">
      <alignment horizontal="center" vertical="center" wrapText="1"/>
    </xf>
    <xf numFmtId="0" fontId="12" fillId="12" borderId="78" xfId="0" applyNumberFormat="1" applyFont="1" applyFill="1" applyBorder="1" applyAlignment="1">
      <alignment horizontal="centerContinuous" vertical="center" wrapText="1"/>
    </xf>
    <xf numFmtId="3" fontId="5" fillId="0" borderId="0" xfId="0" applyNumberFormat="1" applyFont="1" applyBorder="1" applyAlignment="1">
      <alignment vertical="center"/>
    </xf>
    <xf numFmtId="164" fontId="21" fillId="3" borderId="31" xfId="0" applyNumberFormat="1" applyFont="1" applyFill="1" applyBorder="1" applyAlignment="1">
      <alignment horizontal="center" vertical="center"/>
    </xf>
    <xf numFmtId="1" fontId="2" fillId="0" borderId="54"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7"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1" fontId="5" fillId="0" borderId="131"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49" fontId="7" fillId="18" borderId="26"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45" xfId="0" applyFont="1" applyFill="1" applyBorder="1" applyAlignment="1">
      <alignment horizontal="center" vertical="center" shrinkToFit="1"/>
    </xf>
    <xf numFmtId="9" fontId="2" fillId="0" borderId="89" xfId="0" applyNumberFormat="1" applyFont="1" applyFill="1" applyBorder="1" applyAlignment="1">
      <alignment horizontal="center" vertical="center"/>
    </xf>
    <xf numFmtId="0" fontId="2" fillId="0" borderId="132" xfId="0" applyFont="1" applyBorder="1" applyAlignment="1">
      <alignment horizontal="center" vertical="center" shrinkToFit="1"/>
    </xf>
    <xf numFmtId="164" fontId="2" fillId="0" borderId="100" xfId="0" applyNumberFormat="1" applyFont="1" applyBorder="1" applyAlignment="1">
      <alignment horizontal="center" vertical="center" shrinkToFit="1"/>
    </xf>
    <xf numFmtId="0" fontId="2" fillId="0" borderId="133" xfId="0" applyFont="1" applyBorder="1" applyAlignment="1">
      <alignment horizontal="left" vertical="center"/>
    </xf>
    <xf numFmtId="1" fontId="2" fillId="0" borderId="131"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60" fillId="5" borderId="27" xfId="2" applyNumberFormat="1" applyFont="1" applyFill="1" applyBorder="1" applyAlignment="1">
      <alignment horizontal="center" vertical="center" shrinkToFi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60" fillId="5" borderId="32" xfId="2" applyNumberFormat="1" applyFont="1" applyFill="1" applyBorder="1" applyAlignment="1">
      <alignment horizontal="center" vertical="center" shrinkToFit="1"/>
    </xf>
    <xf numFmtId="0" fontId="7" fillId="8" borderId="1" xfId="0" applyFont="1" applyFill="1" applyBorder="1" applyAlignment="1">
      <alignment horizontal="center" vertical="center" shrinkToFit="1"/>
    </xf>
    <xf numFmtId="0" fontId="7" fillId="8" borderId="25" xfId="0" applyFont="1" applyFill="1" applyBorder="1" applyAlignment="1">
      <alignment horizontal="center" vertical="center"/>
    </xf>
    <xf numFmtId="49" fontId="7" fillId="8" borderId="25" xfId="0" applyNumberFormat="1" applyFont="1" applyFill="1" applyBorder="1" applyAlignment="1">
      <alignment horizontal="center" vertical="center"/>
    </xf>
    <xf numFmtId="0" fontId="7" fillId="8" borderId="58" xfId="0" applyFont="1" applyFill="1" applyBorder="1" applyAlignment="1">
      <alignment horizontal="center" vertical="center" shrinkToFit="1"/>
    </xf>
    <xf numFmtId="0" fontId="7" fillId="8" borderId="59" xfId="0" applyFont="1" applyFill="1" applyBorder="1" applyAlignment="1">
      <alignment horizontal="center" vertical="center"/>
    </xf>
    <xf numFmtId="49" fontId="7" fillId="8"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60" fillId="5" borderId="33" xfId="2" applyNumberFormat="1" applyFont="1" applyFill="1" applyBorder="1" applyAlignment="1">
      <alignment horizontal="center" vertical="center" shrinkToFit="1"/>
    </xf>
    <xf numFmtId="0" fontId="61" fillId="0" borderId="61" xfId="0" applyFont="1" applyBorder="1" applyAlignment="1">
      <alignment horizontal="centerContinuous" wrapText="1"/>
    </xf>
    <xf numFmtId="0" fontId="6" fillId="0" borderId="61" xfId="0" applyFont="1" applyBorder="1" applyAlignment="1">
      <alignment horizontal="centerContinuous" wrapText="1"/>
    </xf>
    <xf numFmtId="0" fontId="6" fillId="0" borderId="62" xfId="0" applyFont="1" applyBorder="1" applyAlignment="1">
      <alignment horizontal="centerContinuous" wrapText="1"/>
    </xf>
    <xf numFmtId="0" fontId="7" fillId="0" borderId="0" xfId="0" applyFont="1" applyBorder="1" applyAlignment="1">
      <alignment vertical="center" wrapText="1"/>
    </xf>
    <xf numFmtId="0" fontId="6" fillId="0" borderId="5" xfId="0" applyFont="1" applyBorder="1" applyAlignment="1">
      <alignment horizontal="centerContinuous" vertical="center"/>
    </xf>
    <xf numFmtId="0" fontId="6" fillId="0" borderId="6" xfId="0" applyFont="1" applyBorder="1" applyAlignment="1">
      <alignment horizontal="centerContinuous" vertical="center"/>
    </xf>
    <xf numFmtId="0" fontId="7" fillId="0" borderId="6"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6" fillId="7" borderId="58" xfId="0" applyFont="1" applyFill="1" applyBorder="1" applyAlignment="1">
      <alignment horizontal="centerContinuous" vertical="center" wrapText="1"/>
    </xf>
    <xf numFmtId="0" fontId="6" fillId="7" borderId="63" xfId="0" applyFont="1" applyFill="1" applyBorder="1" applyAlignment="1">
      <alignment horizontal="center" vertical="center" wrapText="1"/>
    </xf>
    <xf numFmtId="0" fontId="6" fillId="7" borderId="64"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0" borderId="126" xfId="0" applyFont="1" applyFill="1" applyBorder="1" applyAlignment="1">
      <alignment horizontal="center" shrinkToFit="1"/>
    </xf>
    <xf numFmtId="0" fontId="7" fillId="0" borderId="127" xfId="0" applyNumberFormat="1" applyFont="1" applyBorder="1" applyAlignment="1">
      <alignment horizontal="center"/>
    </xf>
    <xf numFmtId="49" fontId="7" fillId="0" borderId="127" xfId="0" applyNumberFormat="1" applyFont="1" applyBorder="1" applyAlignment="1">
      <alignment horizontal="center"/>
    </xf>
    <xf numFmtId="0" fontId="7" fillId="5" borderId="128" xfId="2" applyNumberFormat="1" applyFont="1" applyFill="1" applyBorder="1" applyAlignment="1">
      <alignment horizontal="center" shrinkToFit="1"/>
    </xf>
    <xf numFmtId="0" fontId="6" fillId="0" borderId="67" xfId="0" applyFont="1" applyBorder="1" applyAlignment="1">
      <alignment horizontal="right"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11" borderId="69" xfId="0" applyFont="1" applyFill="1" applyBorder="1" applyAlignment="1">
      <alignment horizontal="center" vertical="center" wrapText="1"/>
    </xf>
    <xf numFmtId="0" fontId="7" fillId="11" borderId="70" xfId="0" applyFont="1" applyFill="1" applyBorder="1" applyAlignment="1">
      <alignment horizontal="center" vertical="center" wrapText="1"/>
    </xf>
    <xf numFmtId="0" fontId="7" fillId="0" borderId="57" xfId="0" applyFont="1" applyFill="1" applyBorder="1" applyAlignment="1">
      <alignment horizontal="center" shrinkToFit="1"/>
    </xf>
    <xf numFmtId="0" fontId="7" fillId="0" borderId="38" xfId="0" applyNumberFormat="1" applyFont="1" applyFill="1" applyBorder="1" applyAlignment="1">
      <alignment horizontal="center"/>
    </xf>
    <xf numFmtId="49" fontId="7" fillId="0" borderId="38" xfId="0" applyNumberFormat="1" applyFont="1" applyFill="1" applyBorder="1" applyAlignment="1">
      <alignment horizontal="center"/>
    </xf>
    <xf numFmtId="0" fontId="7" fillId="5" borderId="39" xfId="2" applyNumberFormat="1" applyFont="1" applyFill="1" applyBorder="1" applyAlignment="1">
      <alignment horizontal="center" shrinkToFit="1"/>
    </xf>
    <xf numFmtId="0" fontId="6" fillId="0" borderId="34" xfId="0" applyFont="1" applyBorder="1" applyAlignment="1">
      <alignment horizontal="right" vertical="center"/>
    </xf>
    <xf numFmtId="0" fontId="7" fillId="0" borderId="71" xfId="0" applyFont="1" applyBorder="1" applyAlignment="1">
      <alignment horizontal="center" vertical="center" wrapText="1"/>
    </xf>
    <xf numFmtId="0" fontId="7" fillId="11" borderId="38" xfId="0" applyFont="1" applyFill="1" applyBorder="1" applyAlignment="1">
      <alignment horizontal="center" vertical="center" wrapText="1"/>
    </xf>
    <xf numFmtId="0" fontId="7" fillId="11" borderId="39" xfId="0" applyFont="1" applyFill="1" applyBorder="1" applyAlignment="1">
      <alignment horizontal="center" vertical="center" wrapText="1"/>
    </xf>
    <xf numFmtId="0" fontId="7" fillId="0" borderId="96" xfId="0" applyFont="1" applyFill="1" applyBorder="1" applyAlignment="1">
      <alignment horizontal="center" shrinkToFit="1"/>
    </xf>
    <xf numFmtId="0" fontId="7" fillId="0" borderId="40" xfId="0" applyNumberFormat="1" applyFont="1" applyFill="1" applyBorder="1" applyAlignment="1">
      <alignment horizontal="center"/>
    </xf>
    <xf numFmtId="49" fontId="7" fillId="0" borderId="40" xfId="0" applyNumberFormat="1" applyFont="1" applyFill="1" applyBorder="1" applyAlignment="1">
      <alignment horizontal="center"/>
    </xf>
    <xf numFmtId="0" fontId="7" fillId="16" borderId="41" xfId="2" applyNumberFormat="1" applyFont="1" applyFill="1" applyBorder="1" applyAlignment="1">
      <alignment horizontal="center" shrinkToFit="1"/>
    </xf>
    <xf numFmtId="0" fontId="6" fillId="0" borderId="47" xfId="0" applyFont="1" applyBorder="1" applyAlignment="1">
      <alignment horizontal="right" vertical="center"/>
    </xf>
    <xf numFmtId="0" fontId="6" fillId="7" borderId="72"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11" borderId="40" xfId="0" applyFont="1" applyFill="1" applyBorder="1" applyAlignment="1">
      <alignment horizontal="center" vertical="center" wrapText="1"/>
    </xf>
    <xf numFmtId="0" fontId="6" fillId="11" borderId="41" xfId="0" applyFont="1" applyFill="1" applyBorder="1" applyAlignment="1">
      <alignment horizontal="center" vertical="center" wrapText="1"/>
    </xf>
    <xf numFmtId="0" fontId="61" fillId="0" borderId="61" xfId="0" applyFont="1" applyBorder="1" applyAlignment="1">
      <alignment horizontal="centerContinuous" vertical="center" wrapText="1"/>
    </xf>
    <xf numFmtId="0" fontId="6" fillId="0" borderId="61" xfId="0" applyFont="1" applyBorder="1" applyAlignment="1">
      <alignment horizontal="centerContinuous" vertical="center" wrapText="1"/>
    </xf>
    <xf numFmtId="0" fontId="6" fillId="0" borderId="62" xfId="0" applyFont="1" applyBorder="1" applyAlignment="1">
      <alignment horizontal="centerContinuous" vertical="center" wrapText="1"/>
    </xf>
    <xf numFmtId="0" fontId="7" fillId="0" borderId="80"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60" fillId="5" borderId="56"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122" xfId="0" applyFont="1" applyBorder="1" applyAlignment="1">
      <alignment horizontal="center"/>
    </xf>
    <xf numFmtId="0" fontId="7" fillId="0" borderId="123" xfId="0" applyFont="1" applyBorder="1" applyAlignment="1">
      <alignment horizontal="centerContinuous" wrapText="1"/>
    </xf>
    <xf numFmtId="0" fontId="6" fillId="0" borderId="124" xfId="0" applyFont="1" applyFill="1" applyBorder="1" applyAlignment="1">
      <alignment horizontal="centerContinuous" wrapText="1"/>
    </xf>
    <xf numFmtId="0" fontId="7" fillId="0" borderId="123" xfId="0" applyFont="1" applyFill="1" applyBorder="1" applyAlignment="1">
      <alignment horizontal="centerContinuous" wrapText="1"/>
    </xf>
    <xf numFmtId="0" fontId="7" fillId="0" borderId="125" xfId="0" applyFont="1" applyFill="1" applyBorder="1" applyAlignment="1">
      <alignment horizontal="centerContinuous" wrapText="1"/>
    </xf>
    <xf numFmtId="0" fontId="7" fillId="0" borderId="0" xfId="0" applyFont="1" applyFill="1" applyBorder="1" applyAlignment="1">
      <alignment vertical="center"/>
    </xf>
    <xf numFmtId="0" fontId="6" fillId="0" borderId="16" xfId="0" applyFont="1" applyBorder="1" applyAlignment="1">
      <alignment horizontal="center"/>
    </xf>
    <xf numFmtId="0" fontId="7" fillId="0" borderId="9" xfId="0" applyFont="1" applyBorder="1" applyAlignment="1">
      <alignment horizontal="centerContinuous" wrapText="1"/>
    </xf>
    <xf numFmtId="0" fontId="6" fillId="0" borderId="46" xfId="0" applyFont="1" applyFill="1" applyBorder="1" applyAlignment="1">
      <alignment horizontal="centerContinuous" wrapText="1"/>
    </xf>
    <xf numFmtId="0" fontId="7" fillId="0" borderId="9" xfId="0" applyFont="1" applyFill="1" applyBorder="1" applyAlignment="1">
      <alignment horizontal="centerContinuous" wrapText="1"/>
    </xf>
    <xf numFmtId="0" fontId="7" fillId="0" borderId="10" xfId="0" applyFont="1" applyFill="1" applyBorder="1" applyAlignment="1">
      <alignment horizontal="centerContinuous" wrapText="1"/>
    </xf>
    <xf numFmtId="0" fontId="6" fillId="0" borderId="0" xfId="0" applyFont="1" applyFill="1" applyBorder="1" applyAlignment="1">
      <alignment horizontal="center" vertical="center"/>
    </xf>
    <xf numFmtId="0" fontId="62" fillId="10" borderId="58" xfId="0" applyFont="1" applyFill="1" applyBorder="1" applyAlignment="1">
      <alignment horizontal="centerContinuous" vertical="center" wrapText="1"/>
    </xf>
    <xf numFmtId="0" fontId="62" fillId="10" borderId="79" xfId="0" applyFont="1" applyFill="1" applyBorder="1" applyAlignment="1">
      <alignment horizontal="center" vertical="center" wrapText="1"/>
    </xf>
    <xf numFmtId="0" fontId="62" fillId="10" borderId="63" xfId="0" applyFont="1" applyFill="1" applyBorder="1" applyAlignment="1">
      <alignment horizontal="center" vertical="center" wrapText="1"/>
    </xf>
    <xf numFmtId="0" fontId="62" fillId="10" borderId="64" xfId="0" applyFont="1" applyFill="1" applyBorder="1" applyAlignment="1">
      <alignment horizontal="center" vertical="center" wrapText="1"/>
    </xf>
    <xf numFmtId="0" fontId="62" fillId="10" borderId="73" xfId="0" applyFont="1" applyFill="1" applyBorder="1" applyAlignment="1">
      <alignment horizontal="center"/>
    </xf>
    <xf numFmtId="0" fontId="62" fillId="10" borderId="114" xfId="0" applyFont="1" applyFill="1" applyBorder="1" applyAlignment="1">
      <alignment horizontal="centerContinuous"/>
    </xf>
    <xf numFmtId="0" fontId="62" fillId="10" borderId="115" xfId="0" applyFont="1" applyFill="1" applyBorder="1" applyAlignment="1">
      <alignment horizontal="centerContinuous"/>
    </xf>
    <xf numFmtId="0" fontId="62" fillId="10" borderId="116" xfId="0" applyFont="1" applyFill="1" applyBorder="1" applyAlignment="1">
      <alignment horizontal="centerContinuous"/>
    </xf>
    <xf numFmtId="0" fontId="62" fillId="10" borderId="72" xfId="0" applyFont="1" applyFill="1" applyBorder="1" applyAlignment="1">
      <alignment horizontal="center" vertical="center" wrapText="1"/>
    </xf>
    <xf numFmtId="0" fontId="63" fillId="0" borderId="60" xfId="0" applyFont="1" applyBorder="1" applyAlignment="1">
      <alignment horizontal="centerContinuous" vertical="center" wrapText="1"/>
    </xf>
    <xf numFmtId="0" fontId="63" fillId="0" borderId="60" xfId="0" applyFont="1" applyBorder="1" applyAlignment="1">
      <alignment horizontal="centerContinuous" wrapText="1"/>
    </xf>
    <xf numFmtId="165" fontId="2" fillId="0" borderId="0" xfId="0" applyNumberFormat="1" applyFont="1" applyBorder="1" applyAlignment="1">
      <alignment vertical="center"/>
    </xf>
    <xf numFmtId="0" fontId="7" fillId="0" borderId="74" xfId="0" applyNumberFormat="1" applyFont="1" applyFill="1" applyBorder="1" applyAlignment="1">
      <alignment horizontal="centerContinuous" vertical="center"/>
    </xf>
    <xf numFmtId="0" fontId="2" fillId="0" borderId="76" xfId="0" applyNumberFormat="1" applyFont="1" applyFill="1" applyBorder="1" applyAlignment="1">
      <alignment horizontal="centerContinuous" vertical="center"/>
    </xf>
    <xf numFmtId="0" fontId="15" fillId="0" borderId="0" xfId="0" applyFont="1" applyBorder="1" applyAlignment="1">
      <alignment horizontal="centerContinuous"/>
    </xf>
    <xf numFmtId="0" fontId="15" fillId="0" borderId="0" xfId="0" applyFont="1" applyBorder="1" applyAlignment="1">
      <alignment horizontal="centerContinuous" wrapText="1"/>
    </xf>
    <xf numFmtId="0" fontId="15" fillId="0" borderId="0" xfId="0" applyNumberFormat="1" applyFont="1" applyBorder="1" applyAlignment="1">
      <alignment horizontal="centerContinuous" wrapText="1"/>
    </xf>
    <xf numFmtId="0" fontId="2" fillId="0" borderId="0" xfId="0" applyFont="1" applyBorder="1" applyAlignment="1">
      <alignment wrapText="1"/>
    </xf>
    <xf numFmtId="0" fontId="4" fillId="0" borderId="0" xfId="0" applyFont="1" applyBorder="1" applyAlignment="1">
      <alignment wrapText="1"/>
    </xf>
    <xf numFmtId="0" fontId="7" fillId="0" borderId="80" xfId="0" applyFont="1" applyFill="1" applyBorder="1" applyAlignment="1">
      <alignment horizontal="center" shrinkToFit="1"/>
    </xf>
    <xf numFmtId="0" fontId="7" fillId="0" borderId="13" xfId="0" applyFont="1" applyFill="1" applyBorder="1" applyAlignment="1">
      <alignment horizontal="center" wrapTex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49" fontId="7" fillId="0" borderId="56" xfId="0" applyNumberFormat="1" applyFont="1" applyFill="1" applyBorder="1" applyAlignment="1">
      <alignment horizontal="center" vertical="center" wrapText="1"/>
    </xf>
    <xf numFmtId="0" fontId="7" fillId="0" borderId="1" xfId="0" applyFont="1" applyFill="1" applyBorder="1" applyAlignment="1">
      <alignment horizontal="center" shrinkToFit="1"/>
    </xf>
    <xf numFmtId="0" fontId="7" fillId="0" borderId="25" xfId="0" applyFont="1" applyFill="1" applyBorder="1" applyAlignment="1">
      <alignment horizontal="center" wrapText="1"/>
    </xf>
    <xf numFmtId="49"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shrinkToFit="1"/>
    </xf>
    <xf numFmtId="0" fontId="7" fillId="0" borderId="26" xfId="2" applyNumberFormat="1" applyFont="1" applyFill="1" applyBorder="1" applyAlignment="1">
      <alignment horizontal="center" shrinkToFit="1"/>
    </xf>
    <xf numFmtId="0" fontId="7" fillId="0" borderId="27" xfId="0" applyNumberFormat="1" applyFont="1" applyFill="1" applyBorder="1" applyAlignment="1">
      <alignment horizontal="center" wrapText="1"/>
    </xf>
    <xf numFmtId="0" fontId="7" fillId="0" borderId="58" xfId="0" applyFont="1" applyFill="1" applyBorder="1" applyAlignment="1">
      <alignment horizontal="center" shrinkToFit="1"/>
    </xf>
    <xf numFmtId="0" fontId="7" fillId="0" borderId="59" xfId="0" applyFont="1" applyFill="1" applyBorder="1" applyAlignment="1">
      <alignment horizontal="center" wrapText="1"/>
    </xf>
    <xf numFmtId="0" fontId="7" fillId="0" borderId="59" xfId="0" applyFont="1" applyFill="1" applyBorder="1" applyAlignment="1">
      <alignment horizontal="center" vertical="center" shrinkToFit="1"/>
    </xf>
    <xf numFmtId="49" fontId="7" fillId="0" borderId="32" xfId="0" applyNumberFormat="1" applyFont="1" applyFill="1" applyBorder="1" applyAlignment="1">
      <alignment horizontal="center" vertical="center" wrapText="1"/>
    </xf>
    <xf numFmtId="0" fontId="7" fillId="0" borderId="25" xfId="0" applyFont="1" applyBorder="1" applyAlignment="1">
      <alignment horizontal="center" vertical="center" shrinkToFit="1"/>
    </xf>
    <xf numFmtId="9" fontId="7" fillId="0" borderId="26" xfId="2" applyFont="1" applyFill="1" applyBorder="1" applyAlignment="1">
      <alignment horizontal="center" shrinkToFit="1"/>
    </xf>
    <xf numFmtId="0" fontId="7" fillId="0" borderId="26" xfId="2" applyNumberFormat="1" applyFont="1" applyBorder="1" applyAlignment="1">
      <alignment horizontal="center" shrinkToFit="1"/>
    </xf>
    <xf numFmtId="49" fontId="7" fillId="0" borderId="27" xfId="0" applyNumberFormat="1" applyFont="1" applyFill="1" applyBorder="1" applyAlignment="1">
      <alignment horizontal="center" shrinkToFit="1"/>
    </xf>
    <xf numFmtId="0" fontId="7" fillId="0" borderId="59" xfId="0" applyFont="1" applyBorder="1" applyAlignment="1">
      <alignment horizontal="center" vertical="center" shrinkToFit="1"/>
    </xf>
    <xf numFmtId="0" fontId="7" fillId="0" borderId="15" xfId="2" applyNumberFormat="1" applyFont="1" applyBorder="1" applyAlignment="1">
      <alignment horizontal="center" shrinkToFit="1"/>
    </xf>
    <xf numFmtId="0" fontId="7" fillId="0" borderId="15" xfId="2" applyNumberFormat="1" applyFont="1" applyBorder="1" applyAlignment="1">
      <alignment horizontal="center" vertical="center" shrinkToFit="1"/>
    </xf>
    <xf numFmtId="0" fontId="2" fillId="0" borderId="0" xfId="0" applyFont="1" applyFill="1" applyBorder="1" applyAlignment="1"/>
    <xf numFmtId="9" fontId="7" fillId="0" borderId="26" xfId="10" applyFont="1" applyFill="1" applyBorder="1" applyAlignment="1">
      <alignment horizontal="center" shrinkToFit="1"/>
    </xf>
    <xf numFmtId="0" fontId="7" fillId="0" borderId="27" xfId="0" applyNumberFormat="1" applyFont="1" applyFill="1" applyBorder="1" applyAlignment="1">
      <alignment horizontal="center"/>
    </xf>
    <xf numFmtId="9" fontId="7" fillId="0" borderId="59" xfId="2" applyFont="1" applyFill="1" applyBorder="1" applyAlignment="1">
      <alignment horizontal="center" shrinkToFit="1"/>
    </xf>
    <xf numFmtId="9" fontId="7" fillId="0" borderId="15" xfId="2" applyFont="1" applyFill="1" applyBorder="1" applyAlignment="1">
      <alignment horizontal="center" shrinkToFit="1"/>
    </xf>
    <xf numFmtId="0" fontId="7" fillId="0" borderId="15" xfId="2" applyNumberFormat="1" applyFont="1" applyFill="1" applyBorder="1" applyAlignment="1">
      <alignment horizontal="center" shrinkToFit="1"/>
    </xf>
    <xf numFmtId="0" fontId="4" fillId="0" borderId="0" xfId="0" applyFont="1" applyBorder="1" applyAlignment="1">
      <alignment horizontal="right" wrapText="1"/>
    </xf>
    <xf numFmtId="0" fontId="2" fillId="0" borderId="0" xfId="0" applyFont="1" applyBorder="1" applyAlignment="1">
      <alignment horizontal="left" wrapText="1"/>
    </xf>
    <xf numFmtId="0" fontId="2" fillId="0" borderId="0" xfId="0" applyNumberFormat="1" applyFont="1" applyBorder="1" applyAlignment="1">
      <alignment horizontal="left" wrapText="1"/>
    </xf>
    <xf numFmtId="0" fontId="12" fillId="7" borderId="134" xfId="0" applyFont="1" applyFill="1" applyBorder="1" applyAlignment="1">
      <alignment horizontal="centerContinuous" vertical="center" wrapText="1"/>
    </xf>
    <xf numFmtId="0" fontId="12" fillId="7" borderId="135" xfId="0" applyFont="1" applyFill="1" applyBorder="1" applyAlignment="1">
      <alignment horizontal="center" vertical="center"/>
    </xf>
    <xf numFmtId="0" fontId="12" fillId="7" borderId="135" xfId="0" applyFont="1" applyFill="1" applyBorder="1" applyAlignment="1">
      <alignment horizontal="center" vertical="center" wrapText="1"/>
    </xf>
    <xf numFmtId="0" fontId="21" fillId="7" borderId="135" xfId="0" applyFont="1" applyFill="1" applyBorder="1" applyAlignment="1">
      <alignment horizontal="center" vertical="center" wrapText="1"/>
    </xf>
    <xf numFmtId="0" fontId="64" fillId="0" borderId="23" xfId="0" applyFont="1" applyBorder="1" applyAlignment="1">
      <alignment horizontal="centerContinuous" wrapText="1"/>
    </xf>
    <xf numFmtId="0" fontId="7" fillId="0" borderId="52" xfId="2" applyNumberFormat="1" applyFont="1" applyFill="1" applyBorder="1" applyAlignment="1">
      <alignment horizontal="center" shrinkToFit="1"/>
    </xf>
    <xf numFmtId="0" fontId="7" fillId="9" borderId="1" xfId="0" applyFont="1" applyFill="1" applyBorder="1" applyAlignment="1">
      <alignment horizontal="center" shrinkToFit="1"/>
    </xf>
    <xf numFmtId="0" fontId="7" fillId="9" borderId="25" xfId="0" applyFont="1" applyFill="1" applyBorder="1" applyAlignment="1">
      <alignment horizontal="center" wrapText="1"/>
    </xf>
    <xf numFmtId="9" fontId="7" fillId="9" borderId="25" xfId="2" applyFont="1" applyFill="1" applyBorder="1" applyAlignment="1">
      <alignment horizontal="center" shrinkToFit="1"/>
    </xf>
    <xf numFmtId="9" fontId="7" fillId="9" borderId="26" xfId="10" applyFont="1" applyFill="1" applyBorder="1" applyAlignment="1">
      <alignment horizontal="center" shrinkToFit="1"/>
    </xf>
    <xf numFmtId="0" fontId="7" fillId="9" borderId="26" xfId="2" applyNumberFormat="1" applyFont="1" applyFill="1" applyBorder="1" applyAlignment="1">
      <alignment horizontal="center" vertical="center" shrinkToFit="1"/>
    </xf>
    <xf numFmtId="0" fontId="7" fillId="9" borderId="26" xfId="2" applyNumberFormat="1" applyFont="1" applyFill="1" applyBorder="1" applyAlignment="1">
      <alignment horizontal="center" shrinkToFit="1"/>
    </xf>
    <xf numFmtId="0" fontId="7" fillId="9" borderId="27" xfId="0" applyNumberFormat="1" applyFont="1" applyFill="1" applyBorder="1" applyAlignment="1">
      <alignment horizontal="center" wrapText="1"/>
    </xf>
    <xf numFmtId="9" fontId="7" fillId="9" borderId="26" xfId="2" applyFont="1" applyFill="1" applyBorder="1" applyAlignment="1">
      <alignment horizontal="center" vertical="center" shrinkToFit="1"/>
    </xf>
    <xf numFmtId="49" fontId="7" fillId="9" borderId="27" xfId="0" applyNumberFormat="1" applyFont="1" applyFill="1" applyBorder="1" applyAlignment="1">
      <alignment horizontal="center" shrinkToFit="1"/>
    </xf>
    <xf numFmtId="0" fontId="7" fillId="9" borderId="26" xfId="10" applyNumberFormat="1" applyFont="1" applyFill="1" applyBorder="1" applyAlignment="1">
      <alignment horizontal="center" shrinkToFit="1"/>
    </xf>
    <xf numFmtId="0" fontId="7" fillId="9" borderId="27" xfId="0" applyNumberFormat="1" applyFont="1" applyFill="1" applyBorder="1" applyAlignment="1">
      <alignment horizontal="center"/>
    </xf>
    <xf numFmtId="9" fontId="7" fillId="9" borderId="25" xfId="2" applyFont="1" applyFill="1" applyBorder="1" applyAlignment="1">
      <alignment horizontal="center" vertical="center" shrinkToFit="1"/>
    </xf>
    <xf numFmtId="9" fontId="7" fillId="9" borderId="26" xfId="2" applyFont="1" applyFill="1" applyBorder="1" applyAlignment="1">
      <alignment horizontal="center" shrinkToFit="1"/>
    </xf>
    <xf numFmtId="0" fontId="7" fillId="9" borderId="27" xfId="0" applyNumberFormat="1" applyFont="1" applyFill="1" applyBorder="1" applyAlignment="1">
      <alignment horizontal="center" vertical="center" wrapText="1"/>
    </xf>
    <xf numFmtId="9" fontId="7" fillId="9" borderId="26" xfId="10" applyFont="1" applyFill="1" applyBorder="1" applyAlignment="1">
      <alignment horizontal="center" vertical="center" shrinkToFit="1"/>
    </xf>
    <xf numFmtId="0" fontId="7" fillId="9" borderId="58" xfId="0" applyFont="1" applyFill="1" applyBorder="1" applyAlignment="1">
      <alignment horizontal="center" shrinkToFit="1"/>
    </xf>
    <xf numFmtId="0" fontId="7" fillId="9" borderId="59" xfId="0" applyFont="1" applyFill="1" applyBorder="1" applyAlignment="1">
      <alignment horizontal="center" wrapText="1"/>
    </xf>
    <xf numFmtId="9" fontId="7" fillId="9" borderId="59" xfId="2" applyFont="1" applyFill="1" applyBorder="1" applyAlignment="1">
      <alignment horizontal="center" shrinkToFit="1"/>
    </xf>
    <xf numFmtId="9" fontId="7" fillId="9" borderId="15" xfId="2" applyFont="1" applyFill="1" applyBorder="1" applyAlignment="1">
      <alignment horizontal="center" vertical="center" shrinkToFit="1"/>
    </xf>
    <xf numFmtId="0" fontId="7" fillId="9" borderId="15" xfId="2" applyNumberFormat="1" applyFont="1" applyFill="1" applyBorder="1" applyAlignment="1">
      <alignment horizontal="center" shrinkToFit="1"/>
    </xf>
    <xf numFmtId="0" fontId="7" fillId="9" borderId="32" xfId="0" applyNumberFormat="1" applyFont="1" applyFill="1" applyBorder="1" applyAlignment="1">
      <alignment horizontal="center" wrapText="1"/>
    </xf>
    <xf numFmtId="0" fontId="7" fillId="9" borderId="8" xfId="0" applyFont="1" applyFill="1" applyBorder="1" applyAlignment="1">
      <alignment horizontal="center" shrinkToFit="1"/>
    </xf>
    <xf numFmtId="0" fontId="7" fillId="9" borderId="44" xfId="0" applyFont="1" applyFill="1" applyBorder="1" applyAlignment="1">
      <alignment horizontal="center" wrapText="1"/>
    </xf>
    <xf numFmtId="9" fontId="7" fillId="9" borderId="44" xfId="10" applyFont="1" applyFill="1" applyBorder="1" applyAlignment="1">
      <alignment horizontal="center" shrinkToFit="1"/>
    </xf>
    <xf numFmtId="9" fontId="7" fillId="9" borderId="46" xfId="10" applyFont="1" applyFill="1" applyBorder="1" applyAlignment="1">
      <alignment horizontal="center" vertical="center" shrinkToFit="1"/>
    </xf>
    <xf numFmtId="0" fontId="7" fillId="9" borderId="46" xfId="10" applyNumberFormat="1" applyFont="1" applyFill="1" applyBorder="1" applyAlignment="1">
      <alignment horizontal="center" vertical="center" shrinkToFit="1"/>
    </xf>
    <xf numFmtId="0" fontId="7" fillId="9" borderId="46" xfId="10" applyNumberFormat="1" applyFont="1" applyFill="1" applyBorder="1" applyAlignment="1">
      <alignment horizontal="center" shrinkToFit="1"/>
    </xf>
    <xf numFmtId="0" fontId="7" fillId="9" borderId="33" xfId="0" applyNumberFormat="1" applyFont="1" applyFill="1" applyBorder="1" applyAlignment="1">
      <alignment horizontal="center"/>
    </xf>
    <xf numFmtId="0" fontId="12" fillId="7" borderId="135" xfId="0" applyNumberFormat="1" applyFont="1" applyFill="1" applyBorder="1" applyAlignment="1">
      <alignment horizontal="center" vertical="center" wrapText="1"/>
    </xf>
    <xf numFmtId="0" fontId="7" fillId="0" borderId="52" xfId="0" applyFont="1" applyFill="1" applyBorder="1" applyAlignment="1">
      <alignment horizontal="center" shrinkToFit="1"/>
    </xf>
    <xf numFmtId="0" fontId="7" fillId="0" borderId="26" xfId="0" applyFont="1" applyFill="1" applyBorder="1" applyAlignment="1">
      <alignment horizontal="center" shrinkToFit="1"/>
    </xf>
    <xf numFmtId="0" fontId="7" fillId="0" borderId="15" xfId="0" applyFont="1" applyFill="1" applyBorder="1" applyAlignment="1">
      <alignment horizontal="center" shrinkToFit="1"/>
    </xf>
    <xf numFmtId="0" fontId="7" fillId="9" borderId="26" xfId="0" applyFont="1" applyFill="1" applyBorder="1" applyAlignment="1">
      <alignment horizontal="center" shrinkToFit="1"/>
    </xf>
    <xf numFmtId="0" fontId="7" fillId="9" borderId="26" xfId="0" applyNumberFormat="1" applyFont="1" applyFill="1" applyBorder="1" applyAlignment="1">
      <alignment horizontal="center" shrinkToFit="1"/>
    </xf>
    <xf numFmtId="0" fontId="7" fillId="9" borderId="15" xfId="0" applyFont="1" applyFill="1" applyBorder="1" applyAlignment="1">
      <alignment horizontal="center" shrinkToFit="1"/>
    </xf>
    <xf numFmtId="0" fontId="7" fillId="9" borderId="46" xfId="0" applyNumberFormat="1" applyFont="1" applyFill="1" applyBorder="1" applyAlignment="1">
      <alignment horizontal="center" shrinkToFit="1"/>
    </xf>
    <xf numFmtId="1" fontId="7" fillId="0" borderId="28" xfId="0" applyNumberFormat="1" applyFont="1" applyFill="1" applyBorder="1" applyAlignment="1">
      <alignment horizontal="center" vertical="center"/>
    </xf>
    <xf numFmtId="0" fontId="27" fillId="0" borderId="47" xfId="0" applyFont="1" applyFill="1" applyBorder="1" applyAlignment="1">
      <alignment horizontal="centerContinuous" vertical="center" shrinkToFit="1"/>
    </xf>
  </cellXfs>
  <cellStyles count="12">
    <cellStyle name="Excel Built-in Normal" xfId="6"/>
    <cellStyle name="Hyperlink" xfId="1" builtinId="8"/>
    <cellStyle name="Normal" xfId="0" builtinId="0"/>
    <cellStyle name="Normal 2" xfId="4"/>
    <cellStyle name="Normal 2 2" xfId="5"/>
    <cellStyle name="Normal 2 3" xfId="11"/>
    <cellStyle name="Normal 3" xfId="8"/>
    <cellStyle name="Normal 4" xfId="9"/>
    <cellStyle name="Normal 5" xfId="7"/>
    <cellStyle name="Percent" xfId="2" builtinId="5"/>
    <cellStyle name="Percent 2" xfId="3"/>
    <cellStyle name="Percent 2 2" xfId="10"/>
  </cellStyles>
  <dxfs count="38">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99"/>
      <color rgb="FFCCFFCC"/>
      <color rgb="FF6600CC"/>
      <color rgb="FF00FF00"/>
      <color rgb="FF0000FF"/>
      <color rgb="FF009900"/>
      <color rgb="FF00CC66"/>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66675</xdr:colOff>
      <xdr:row>15</xdr:row>
      <xdr:rowOff>85724</xdr:rowOff>
    </xdr:from>
    <xdr:to>
      <xdr:col>6</xdr:col>
      <xdr:colOff>1257300</xdr:colOff>
      <xdr:row>22</xdr:row>
      <xdr:rowOff>152400</xdr:rowOff>
    </xdr:to>
    <xdr:sp macro="" textlink="">
      <xdr:nvSpPr>
        <xdr:cNvPr id="1084" name="Text Box 60"/>
        <xdr:cNvSpPr txBox="1">
          <a:spLocks noChangeArrowheads="1"/>
        </xdr:cNvSpPr>
      </xdr:nvSpPr>
      <xdr:spPr bwMode="auto">
        <a:xfrm>
          <a:off x="66675" y="3448049"/>
          <a:ext cx="6962775" cy="15430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r>
            <a:rPr lang="en-US" sz="1200" b="1" i="0" baseline="0">
              <a:effectLst/>
              <a:latin typeface="Times New Roman" panose="02020603050405020304" pitchFamily="18" charset="0"/>
              <a:ea typeface="+mn-ea"/>
              <a:cs typeface="Times New Roman" panose="02020603050405020304" pitchFamily="18" charset="0"/>
            </a:rPr>
            <a:t>Resistances:</a:t>
          </a:r>
          <a:endParaRPr lang="en-US" sz="1200">
            <a:effectLst/>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198120</xdr:colOff>
      <xdr:row>21</xdr:row>
      <xdr:rowOff>175260</xdr:rowOff>
    </xdr:from>
    <xdr:to>
      <xdr:col>10</xdr:col>
      <xdr:colOff>15240</xdr:colOff>
      <xdr:row>23</xdr:row>
      <xdr:rowOff>60960</xdr:rowOff>
    </xdr:to>
    <xdr:sp macro="" textlink="">
      <xdr:nvSpPr>
        <xdr:cNvPr id="2" name="Cloud 1"/>
        <xdr:cNvSpPr/>
      </xdr:nvSpPr>
      <xdr:spPr bwMode="auto">
        <a:xfrm>
          <a:off x="5737860" y="4960620"/>
          <a:ext cx="1844040" cy="312420"/>
        </a:xfrm>
        <a:prstGeom prst="cloud">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lang="en-US" sz="1200">
              <a:latin typeface="Times New Roman" panose="02020603050405020304" pitchFamily="18" charset="0"/>
              <a:cs typeface="Times New Roman" panose="02020603050405020304" pitchFamily="18" charset="0"/>
            </a:rPr>
            <a:t>Heart of Air +10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149340" y="0"/>
          <a:ext cx="204978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19050</xdr:colOff>
      <xdr:row>12</xdr:row>
      <xdr:rowOff>9524</xdr:rowOff>
    </xdr:from>
    <xdr:to>
      <xdr:col>21</xdr:col>
      <xdr:colOff>716280</xdr:colOff>
      <xdr:row>17</xdr:row>
      <xdr:rowOff>190499</xdr:rowOff>
    </xdr:to>
    <xdr:sp macro="" textlink="">
      <xdr:nvSpPr>
        <xdr:cNvPr id="2" name="Right Brace 1"/>
        <xdr:cNvSpPr/>
      </xdr:nvSpPr>
      <xdr:spPr bwMode="auto">
        <a:xfrm>
          <a:off x="11441430" y="2676524"/>
          <a:ext cx="697230" cy="1285875"/>
        </a:xfrm>
        <a:prstGeom prst="rightBrace">
          <a:avLst>
            <a:gd name="adj1" fmla="val 39583"/>
            <a:gd name="adj2" fmla="val 4348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tabSelected="1" zoomScaleNormal="100" workbookViewId="0">
      <selection activeCell="B3" sqref="B3"/>
    </sheetView>
  </sheetViews>
  <sheetFormatPr defaultColWidth="13" defaultRowHeight="15.6"/>
  <cols>
    <col min="1" max="1" width="14.3984375" style="216" bestFit="1" customWidth="1"/>
    <col min="2" max="2" width="10" style="218" customWidth="1"/>
    <col min="3" max="3" width="5.5" style="218" customWidth="1"/>
    <col min="4" max="4" width="13.69921875" style="216" bestFit="1" customWidth="1"/>
    <col min="5" max="5" width="9.59765625" style="218" bestFit="1" customWidth="1"/>
    <col min="6" max="6" width="14.69921875" style="216" customWidth="1"/>
    <col min="7" max="7" width="17.09765625" style="218" customWidth="1"/>
    <col min="8" max="16384" width="13" style="39"/>
  </cols>
  <sheetData>
    <row r="1" spans="1:7" ht="29.4" thickTop="1" thickBot="1">
      <c r="A1" s="221" t="s">
        <v>241</v>
      </c>
      <c r="B1" s="222" t="s">
        <v>140</v>
      </c>
      <c r="C1" s="223"/>
      <c r="D1" s="224"/>
      <c r="E1" s="225"/>
      <c r="F1" s="224"/>
      <c r="G1" s="226" t="s">
        <v>468</v>
      </c>
    </row>
    <row r="2" spans="1:7" ht="17.399999999999999" thickTop="1">
      <c r="A2" s="227" t="s">
        <v>0</v>
      </c>
      <c r="B2" s="228" t="s">
        <v>98</v>
      </c>
      <c r="C2" s="228"/>
      <c r="D2" s="229" t="s">
        <v>113</v>
      </c>
      <c r="E2" s="230" t="s">
        <v>137</v>
      </c>
      <c r="F2" s="231"/>
      <c r="G2" s="232"/>
    </row>
    <row r="3" spans="1:7" ht="16.8">
      <c r="A3" s="227" t="s">
        <v>64</v>
      </c>
      <c r="B3" s="228" t="s">
        <v>242</v>
      </c>
      <c r="C3" s="228"/>
      <c r="D3" s="229" t="s">
        <v>65</v>
      </c>
      <c r="E3" s="230">
        <v>3</v>
      </c>
      <c r="F3" s="229"/>
      <c r="G3" s="232"/>
    </row>
    <row r="4" spans="1:7" ht="16.8">
      <c r="A4" s="227" t="s">
        <v>64</v>
      </c>
      <c r="B4" s="228" t="s">
        <v>249</v>
      </c>
      <c r="C4" s="228"/>
      <c r="D4" s="229" t="s">
        <v>65</v>
      </c>
      <c r="E4" s="230">
        <v>1</v>
      </c>
      <c r="F4" s="229"/>
      <c r="G4" s="232"/>
    </row>
    <row r="5" spans="1:7" ht="16.8">
      <c r="A5" s="227" t="s">
        <v>64</v>
      </c>
      <c r="B5" s="228" t="s">
        <v>250</v>
      </c>
      <c r="C5" s="228"/>
      <c r="D5" s="229" t="s">
        <v>65</v>
      </c>
      <c r="E5" s="230">
        <v>1</v>
      </c>
      <c r="F5" s="229"/>
      <c r="G5" s="232"/>
    </row>
    <row r="6" spans="1:7" ht="16.8">
      <c r="A6" s="227" t="s">
        <v>64</v>
      </c>
      <c r="B6" s="228" t="s">
        <v>251</v>
      </c>
      <c r="C6" s="228"/>
      <c r="D6" s="229" t="s">
        <v>65</v>
      </c>
      <c r="E6" s="230">
        <v>5</v>
      </c>
      <c r="F6" s="229"/>
      <c r="G6" s="232"/>
    </row>
    <row r="7" spans="1:7" ht="17.399999999999999" thickBot="1">
      <c r="A7" s="227" t="s">
        <v>66</v>
      </c>
      <c r="B7" s="228" t="s">
        <v>141</v>
      </c>
      <c r="C7" s="228"/>
      <c r="D7" s="229" t="s">
        <v>1</v>
      </c>
      <c r="E7" s="230" t="s">
        <v>142</v>
      </c>
      <c r="F7" s="229"/>
      <c r="G7" s="232"/>
    </row>
    <row r="8" spans="1:7" ht="17.399999999999999" thickTop="1">
      <c r="A8" s="233" t="s">
        <v>87</v>
      </c>
      <c r="B8" s="505">
        <f>1+1+0+0+2</f>
        <v>4</v>
      </c>
      <c r="C8" s="506"/>
      <c r="D8" s="234" t="s">
        <v>74</v>
      </c>
      <c r="E8" s="235" t="s">
        <v>143</v>
      </c>
      <c r="F8" s="236"/>
      <c r="G8" s="232"/>
    </row>
    <row r="9" spans="1:7" ht="17.399999999999999" thickBot="1">
      <c r="A9" s="237" t="s">
        <v>127</v>
      </c>
      <c r="B9" s="238" t="str">
        <f>C11</f>
        <v>+2</v>
      </c>
      <c r="C9" s="239"/>
      <c r="D9" s="240" t="s">
        <v>132</v>
      </c>
      <c r="E9" s="241" t="s">
        <v>143</v>
      </c>
      <c r="F9" s="236"/>
      <c r="G9" s="232"/>
    </row>
    <row r="10" spans="1:7" ht="17.399999999999999" thickTop="1">
      <c r="A10" s="242" t="s">
        <v>2</v>
      </c>
      <c r="B10" s="365">
        <f>7</f>
        <v>7</v>
      </c>
      <c r="C10" s="243">
        <f>IF(B10&gt;9.9,CONCATENATE("+",ROUNDDOWN((B10-10)/2,0)),ROUNDUP((B10-10)/2,0))</f>
        <v>-2</v>
      </c>
      <c r="D10" s="244" t="s">
        <v>72</v>
      </c>
      <c r="E10" s="331" t="s">
        <v>248</v>
      </c>
      <c r="F10" s="236"/>
      <c r="G10" s="232"/>
    </row>
    <row r="11" spans="1:7" ht="16.8">
      <c r="A11" s="245" t="s">
        <v>3</v>
      </c>
      <c r="B11" s="330">
        <f>15</f>
        <v>15</v>
      </c>
      <c r="C11" s="246" t="str">
        <f t="shared" ref="C11:C15" si="0">IF(B11&gt;9.9,CONCATENATE("+",ROUNDDOWN((B11-10)/2,0)),ROUNDUP((B11-10)/2,0))</f>
        <v>+2</v>
      </c>
      <c r="D11" s="247" t="s">
        <v>73</v>
      </c>
      <c r="E11" s="248">
        <f>SUM(Martial!G4:G17)+SUM(Equipment!C3:C12)+5</f>
        <v>9.25</v>
      </c>
      <c r="F11" s="236"/>
      <c r="G11" s="232"/>
    </row>
    <row r="12" spans="1:7" ht="16.8">
      <c r="A12" s="249" t="s">
        <v>12</v>
      </c>
      <c r="B12" s="330">
        <f>14</f>
        <v>14</v>
      </c>
      <c r="C12" s="251" t="str">
        <f t="shared" si="0"/>
        <v>+2</v>
      </c>
      <c r="D12" s="247" t="s">
        <v>14</v>
      </c>
      <c r="E12" s="252">
        <f>ROUNDUP(((E3*4)*0.75)+((E4*6)*0.75)+((E5*4)*0.75)+((E6*4)*0.75)+((E3+E4+E5+E6)*C12),0)</f>
        <v>52</v>
      </c>
      <c r="F12" s="236"/>
      <c r="G12" s="232"/>
    </row>
    <row r="13" spans="1:7" ht="16.8">
      <c r="A13" s="253" t="s">
        <v>13</v>
      </c>
      <c r="B13" s="330">
        <v>19</v>
      </c>
      <c r="C13" s="246" t="str">
        <f t="shared" si="0"/>
        <v>+4</v>
      </c>
      <c r="D13" s="254" t="s">
        <v>88</v>
      </c>
      <c r="E13" s="586">
        <f>11+C11</f>
        <v>13</v>
      </c>
      <c r="F13" s="360"/>
      <c r="G13" s="232"/>
    </row>
    <row r="14" spans="1:7" ht="16.8">
      <c r="A14" s="255" t="s">
        <v>15</v>
      </c>
      <c r="B14" s="250">
        <v>10</v>
      </c>
      <c r="C14" s="246" t="str">
        <f t="shared" si="0"/>
        <v>+0</v>
      </c>
      <c r="D14" s="254" t="s">
        <v>63</v>
      </c>
      <c r="E14" s="586">
        <f>E13+SUM(Martial!B12:B13)</f>
        <v>13</v>
      </c>
      <c r="F14" s="360"/>
      <c r="G14" s="232"/>
    </row>
    <row r="15" spans="1:7" ht="17.399999999999999" thickBot="1">
      <c r="A15" s="256" t="s">
        <v>11</v>
      </c>
      <c r="B15" s="257">
        <v>13</v>
      </c>
      <c r="C15" s="258" t="str">
        <f t="shared" si="0"/>
        <v>+1</v>
      </c>
      <c r="D15" s="259" t="s">
        <v>136</v>
      </c>
      <c r="E15" s="407">
        <f>E14-C11</f>
        <v>11</v>
      </c>
      <c r="F15" s="360"/>
      <c r="G15" s="232"/>
    </row>
    <row r="16" spans="1:7" s="7" customFormat="1" ht="17.399999999999999" thickTop="1">
      <c r="A16" s="260"/>
      <c r="B16" s="261"/>
      <c r="C16" s="261"/>
      <c r="D16" s="261"/>
      <c r="E16" s="261"/>
      <c r="F16" s="261"/>
      <c r="G16" s="262"/>
    </row>
    <row r="17" spans="1:7" s="7" customFormat="1" ht="16.8">
      <c r="A17" s="263"/>
      <c r="B17" s="264"/>
      <c r="C17" s="264"/>
      <c r="D17" s="264"/>
      <c r="E17" s="264"/>
      <c r="F17" s="264"/>
      <c r="G17" s="265"/>
    </row>
    <row r="18" spans="1:7" s="7" customFormat="1" ht="16.8">
      <c r="A18" s="263"/>
      <c r="B18" s="264"/>
      <c r="C18" s="264"/>
      <c r="D18" s="264"/>
      <c r="E18" s="264"/>
      <c r="F18" s="264"/>
      <c r="G18" s="265"/>
    </row>
    <row r="19" spans="1:7" s="7" customFormat="1" ht="16.8">
      <c r="A19" s="263"/>
      <c r="B19" s="264"/>
      <c r="C19" s="264"/>
      <c r="D19" s="264"/>
      <c r="E19" s="264"/>
      <c r="F19" s="264"/>
      <c r="G19" s="265"/>
    </row>
    <row r="20" spans="1:7" s="7" customFormat="1" ht="16.8">
      <c r="A20" s="263"/>
      <c r="B20" s="264"/>
      <c r="C20" s="264"/>
      <c r="D20" s="264"/>
      <c r="E20" s="264"/>
      <c r="F20" s="264"/>
      <c r="G20" s="265"/>
    </row>
    <row r="21" spans="1:7" s="7" customFormat="1" ht="16.8">
      <c r="A21" s="263"/>
      <c r="B21" s="264"/>
      <c r="C21" s="264"/>
      <c r="D21" s="264"/>
      <c r="E21" s="264"/>
      <c r="F21" s="264"/>
      <c r="G21" s="265"/>
    </row>
    <row r="22" spans="1:7" s="7" customFormat="1" ht="16.8">
      <c r="A22" s="263"/>
      <c r="B22" s="264"/>
      <c r="C22" s="264"/>
      <c r="D22" s="264"/>
      <c r="E22" s="264"/>
      <c r="F22" s="264"/>
      <c r="G22" s="265"/>
    </row>
    <row r="23" spans="1:7" ht="17.399999999999999" thickBot="1">
      <c r="A23" s="266"/>
      <c r="B23" s="267"/>
      <c r="C23" s="267"/>
      <c r="D23" s="267"/>
      <c r="E23" s="267"/>
      <c r="F23" s="267"/>
      <c r="G23" s="268"/>
    </row>
    <row r="24" spans="1:7" ht="16.2" thickTop="1"/>
  </sheetData>
  <phoneticPr fontId="0" type="noConversion"/>
  <conditionalFormatting sqref="E11">
    <cfRule type="cellIs" dxfId="37" priority="1" stopIfTrue="1" operator="greaterThan">
      <formula>50</formula>
    </cfRule>
    <cfRule type="cellIs" dxfId="36" priority="2" stopIfTrue="1" operator="between">
      <formula>25</formula>
      <formula>50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9"/>
  <sheetViews>
    <sheetView showGridLines="0" workbookViewId="0">
      <pane ySplit="2" topLeftCell="A3" activePane="bottomLeft" state="frozen"/>
      <selection pane="bottomLeft" activeCell="A3" sqref="A3"/>
    </sheetView>
  </sheetViews>
  <sheetFormatPr defaultColWidth="13" defaultRowHeight="15.6"/>
  <cols>
    <col min="1" max="1" width="32.796875" style="216" bestFit="1" customWidth="1"/>
    <col min="2" max="2" width="5.8984375" style="216" bestFit="1" customWidth="1"/>
    <col min="3" max="3" width="7.59765625" style="218" hidden="1" customWidth="1"/>
    <col min="4" max="4" width="7.19921875" style="218" hidden="1" customWidth="1"/>
    <col min="5" max="5" width="9.19921875" style="218" bestFit="1" customWidth="1"/>
    <col min="6" max="6" width="7.3984375" style="218" customWidth="1"/>
    <col min="7" max="7" width="6" style="219" bestFit="1" customWidth="1"/>
    <col min="8" max="8" width="5.19921875" style="219" bestFit="1" customWidth="1"/>
    <col min="9" max="9" width="7.5" style="219" customWidth="1"/>
    <col min="10" max="10" width="26.59765625" style="216" customWidth="1"/>
    <col min="11" max="16384" width="13" style="39"/>
  </cols>
  <sheetData>
    <row r="1" spans="1:10" ht="23.4" thickBot="1">
      <c r="A1" s="145" t="s">
        <v>10</v>
      </c>
      <c r="B1" s="146"/>
      <c r="C1" s="146"/>
      <c r="D1" s="146"/>
      <c r="E1" s="146"/>
      <c r="F1" s="146"/>
      <c r="G1" s="147"/>
      <c r="H1" s="147"/>
      <c r="I1" s="147"/>
      <c r="J1" s="146"/>
    </row>
    <row r="2" spans="1:10" s="7" customFormat="1" ht="34.200000000000003" thickBot="1">
      <c r="A2" s="1" t="s">
        <v>105</v>
      </c>
      <c r="B2" s="2" t="s">
        <v>29</v>
      </c>
      <c r="C2" s="2" t="s">
        <v>36</v>
      </c>
      <c r="D2" s="2" t="s">
        <v>28</v>
      </c>
      <c r="E2" s="3" t="s">
        <v>61</v>
      </c>
      <c r="F2" s="3" t="s">
        <v>37</v>
      </c>
      <c r="G2" s="4" t="s">
        <v>67</v>
      </c>
      <c r="H2" s="5" t="s">
        <v>95</v>
      </c>
      <c r="I2" s="4" t="s">
        <v>81</v>
      </c>
      <c r="J2" s="6" t="s">
        <v>79</v>
      </c>
    </row>
    <row r="3" spans="1:10" s="7" customFormat="1" ht="16.8">
      <c r="A3" s="307" t="s">
        <v>236</v>
      </c>
      <c r="B3" s="308">
        <f>1+0+0+1</f>
        <v>2</v>
      </c>
      <c r="C3" s="123" t="s">
        <v>31</v>
      </c>
      <c r="D3" s="123" t="str">
        <f>IF(C3="Str",'Personal File'!$C$10,IF(C3="Dex",'Personal File'!$C$11,IF(C3="Con",'Personal File'!$C$12,IF(C3="Int",'Personal File'!$C$13,IF(C3="Wis",'Personal File'!$C$14,IF(C3="Cha",'Personal File'!$C$15))))))</f>
        <v>+2</v>
      </c>
      <c r="E3" s="314" t="str">
        <f t="shared" ref="E3" si="0">CONCATENATE(C3," (",D3,")")</f>
        <v>Con (+2)</v>
      </c>
      <c r="F3" s="309">
        <v>0</v>
      </c>
      <c r="G3" s="310">
        <f t="shared" ref="G3:G4" si="1">B3+D3+F3</f>
        <v>4</v>
      </c>
      <c r="H3" s="148">
        <f t="shared" ref="H3:H57" ca="1" si="2">RANDBETWEEN(1,20)</f>
        <v>18</v>
      </c>
      <c r="I3" s="311">
        <f t="shared" ref="I3:I4" ca="1" si="3">SUM(G3:H3)</f>
        <v>22</v>
      </c>
      <c r="J3" s="361"/>
    </row>
    <row r="4" spans="1:10" s="7" customFormat="1" ht="16.8">
      <c r="A4" s="312" t="s">
        <v>237</v>
      </c>
      <c r="B4" s="308">
        <f>1+0+0+1</f>
        <v>2</v>
      </c>
      <c r="C4" s="123" t="s">
        <v>34</v>
      </c>
      <c r="D4" s="123" t="str">
        <f>IF(C4="Str",'Personal File'!$C$10,IF(C4="Dex",'Personal File'!$C$11,IF(C4="Con",'Personal File'!$C$12,IF(C4="Int",'Personal File'!$C$13,IF(C4="Wis",'Personal File'!$C$14,IF(C4="Cha",'Personal File'!$C$15))))))</f>
        <v>+2</v>
      </c>
      <c r="E4" s="149" t="str">
        <f t="shared" ref="E4" si="4">CONCATENATE(C4," (",D4,")")</f>
        <v>Dex (+2)</v>
      </c>
      <c r="F4" s="171" t="s">
        <v>62</v>
      </c>
      <c r="G4" s="310">
        <f t="shared" si="1"/>
        <v>4</v>
      </c>
      <c r="H4" s="148">
        <f t="shared" ca="1" si="2"/>
        <v>11</v>
      </c>
      <c r="I4" s="311">
        <f t="shared" ca="1" si="3"/>
        <v>15</v>
      </c>
      <c r="J4" s="207"/>
    </row>
    <row r="5" spans="1:10" s="7" customFormat="1" ht="16.8">
      <c r="A5" s="150" t="s">
        <v>69</v>
      </c>
      <c r="B5" s="151">
        <f>3+2+2+4</f>
        <v>11</v>
      </c>
      <c r="C5" s="152" t="s">
        <v>33</v>
      </c>
      <c r="D5" s="152" t="str">
        <f>IF(C5="Str",'Personal File'!$C$10,IF(C5="Dex",'Personal File'!$C$11,IF(C5="Con",'Personal File'!$C$12,IF(C5="Int",'Personal File'!$C$13,IF(C5="Wis",'Personal File'!$C$14,IF(C5="Cha",'Personal File'!$C$15))))))</f>
        <v>+0</v>
      </c>
      <c r="E5" s="153" t="str">
        <f t="shared" ref="E5:E6" si="5">CONCATENATE(C5," (",D5,")")</f>
        <v>Wis (+0)</v>
      </c>
      <c r="F5" s="154">
        <v>0</v>
      </c>
      <c r="G5" s="155">
        <f t="shared" ref="G5:G58" si="6">B5+D5+F5</f>
        <v>11</v>
      </c>
      <c r="H5" s="156">
        <f t="shared" ca="1" si="2"/>
        <v>11</v>
      </c>
      <c r="I5" s="157">
        <f t="shared" ref="I5" ca="1" si="7">SUM(G5:H5)</f>
        <v>22</v>
      </c>
      <c r="J5" s="313"/>
    </row>
    <row r="6" spans="1:10" s="165" customFormat="1" ht="16.8">
      <c r="A6" s="183" t="s">
        <v>38</v>
      </c>
      <c r="B6" s="124">
        <v>0</v>
      </c>
      <c r="C6" s="184" t="s">
        <v>32</v>
      </c>
      <c r="D6" s="185" t="str">
        <f>IF(C6="Str",'Personal File'!$C$10,IF(C6="Dex",'Personal File'!$C$11,IF(C6="Con",'Personal File'!$C$12,IF(C6="Int",'Personal File'!$C$13,IF(C6="Wis",'Personal File'!$C$14,IF(C6="Cha",'Personal File'!$C$15))))))</f>
        <v>+4</v>
      </c>
      <c r="E6" s="186" t="str">
        <f t="shared" si="5"/>
        <v>Int (+4)</v>
      </c>
      <c r="F6" s="171" t="s">
        <v>62</v>
      </c>
      <c r="G6" s="171">
        <f t="shared" si="6"/>
        <v>4</v>
      </c>
      <c r="H6" s="343">
        <f t="shared" ca="1" si="2"/>
        <v>13</v>
      </c>
      <c r="I6" s="171">
        <f ca="1">SUM(G6:H6)</f>
        <v>17</v>
      </c>
      <c r="J6" s="207"/>
    </row>
    <row r="7" spans="1:10" s="166" customFormat="1" ht="16.8">
      <c r="A7" s="180" t="s">
        <v>39</v>
      </c>
      <c r="B7" s="124">
        <v>0</v>
      </c>
      <c r="C7" s="181" t="s">
        <v>34</v>
      </c>
      <c r="D7" s="182" t="str">
        <f>IF(C7="Str",'Personal File'!$C$10,IF(C7="Dex",'Personal File'!$C$11,IF(C7="Con",'Personal File'!$C$12,IF(C7="Int",'Personal File'!$C$13,IF(C7="Wis",'Personal File'!$C$14,IF(C7="Cha",'Personal File'!$C$15))))))</f>
        <v>+2</v>
      </c>
      <c r="E7" s="149" t="str">
        <f t="shared" ref="E7:E58" si="8">CONCATENATE(C7," (",D7,")")</f>
        <v>Dex (+2)</v>
      </c>
      <c r="F7" s="171" t="s">
        <v>62</v>
      </c>
      <c r="G7" s="171">
        <f t="shared" si="6"/>
        <v>2</v>
      </c>
      <c r="H7" s="148">
        <f t="shared" ca="1" si="2"/>
        <v>3</v>
      </c>
      <c r="I7" s="171">
        <f t="shared" ref="I7" ca="1" si="9">SUM(G7:H7)</f>
        <v>5</v>
      </c>
      <c r="J7" s="207"/>
    </row>
    <row r="8" spans="1:10" s="173" customFormat="1" ht="16.8">
      <c r="A8" s="167" t="s">
        <v>40</v>
      </c>
      <c r="B8" s="124">
        <v>0</v>
      </c>
      <c r="C8" s="168" t="s">
        <v>30</v>
      </c>
      <c r="D8" s="169" t="str">
        <f>IF(C8="Str",'Personal File'!$C$10,IF(C8="Dex",'Personal File'!$C$11,IF(C8="Con",'Personal File'!$C$12,IF(C8="Int",'Personal File'!$C$13,IF(C8="Wis",'Personal File'!$C$14,IF(C8="Cha",'Personal File'!$C$15))))))</f>
        <v>+1</v>
      </c>
      <c r="E8" s="170" t="str">
        <f t="shared" si="8"/>
        <v>Cha (+1)</v>
      </c>
      <c r="F8" s="171" t="s">
        <v>62</v>
      </c>
      <c r="G8" s="171">
        <f t="shared" si="6"/>
        <v>1</v>
      </c>
      <c r="H8" s="148">
        <f t="shared" ca="1" si="2"/>
        <v>19</v>
      </c>
      <c r="I8" s="171">
        <f t="shared" ref="I8:I58" ca="1" si="10">SUM(G8:H8)</f>
        <v>20</v>
      </c>
      <c r="J8" s="207"/>
    </row>
    <row r="9" spans="1:10" s="174" customFormat="1" ht="16.8">
      <c r="A9" s="198" t="s">
        <v>41</v>
      </c>
      <c r="B9" s="124">
        <v>0</v>
      </c>
      <c r="C9" s="199" t="s">
        <v>35</v>
      </c>
      <c r="D9" s="200">
        <f>IF(C9="Str",'Personal File'!$C$10,IF(C9="Dex",'Personal File'!$C$11,IF(C9="Con",'Personal File'!$C$12,IF(C9="Int",'Personal File'!$C$13,IF(C9="Wis",'Personal File'!$C$14,IF(C9="Cha",'Personal File'!$C$15))))))</f>
        <v>-2</v>
      </c>
      <c r="E9" s="201" t="str">
        <f t="shared" si="8"/>
        <v>Str (-2)</v>
      </c>
      <c r="F9" s="171" t="s">
        <v>62</v>
      </c>
      <c r="G9" s="171">
        <f t="shared" si="6"/>
        <v>-2</v>
      </c>
      <c r="H9" s="148">
        <f t="shared" ca="1" si="2"/>
        <v>18</v>
      </c>
      <c r="I9" s="171">
        <f t="shared" ca="1" si="10"/>
        <v>16</v>
      </c>
      <c r="J9" s="207"/>
    </row>
    <row r="10" spans="1:10" s="174" customFormat="1" ht="16.8">
      <c r="A10" s="175" t="s">
        <v>16</v>
      </c>
      <c r="B10" s="159">
        <v>9</v>
      </c>
      <c r="C10" s="176" t="s">
        <v>31</v>
      </c>
      <c r="D10" s="177" t="str">
        <f>IF(C10="Str",'Personal File'!$C$10,IF(C10="Dex",'Personal File'!$C$11,IF(C10="Con",'Personal File'!$C$12,IF(C10="Int",'Personal File'!$C$13,IF(C10="Wis",'Personal File'!$C$14,IF(C10="Cha",'Personal File'!$C$15))))))</f>
        <v>+2</v>
      </c>
      <c r="E10" s="178" t="str">
        <f t="shared" si="8"/>
        <v>Con (+2)</v>
      </c>
      <c r="F10" s="163" t="s">
        <v>62</v>
      </c>
      <c r="G10" s="163">
        <f t="shared" si="6"/>
        <v>11</v>
      </c>
      <c r="H10" s="148">
        <f t="shared" ca="1" si="2"/>
        <v>11</v>
      </c>
      <c r="I10" s="163">
        <f t="shared" ca="1" si="10"/>
        <v>22</v>
      </c>
      <c r="J10" s="206"/>
    </row>
    <row r="11" spans="1:10" s="165" customFormat="1" ht="16.8">
      <c r="A11" s="183" t="s">
        <v>274</v>
      </c>
      <c r="B11" s="124">
        <v>0</v>
      </c>
      <c r="C11" s="184" t="s">
        <v>32</v>
      </c>
      <c r="D11" s="185" t="str">
        <f>IF(C11="Str",'Personal File'!$C$10,IF(C11="Dex",'Personal File'!$C$11,IF(C11="Con",'Personal File'!$C$12,IF(C11="Int",'Personal File'!$C$13,IF(C11="Wis",'Personal File'!$C$14,IF(C11="Cha",'Personal File'!$C$15))))))</f>
        <v>+4</v>
      </c>
      <c r="E11" s="186" t="str">
        <f t="shared" si="8"/>
        <v>Int (+4)</v>
      </c>
      <c r="F11" s="171" t="s">
        <v>62</v>
      </c>
      <c r="G11" s="171">
        <f t="shared" si="6"/>
        <v>4</v>
      </c>
      <c r="H11" s="148">
        <f t="shared" ca="1" si="2"/>
        <v>6</v>
      </c>
      <c r="I11" s="269">
        <f t="shared" ca="1" si="10"/>
        <v>10</v>
      </c>
      <c r="J11" s="338"/>
    </row>
    <row r="12" spans="1:10" s="179" customFormat="1" ht="16.8">
      <c r="A12" s="202" t="s">
        <v>42</v>
      </c>
      <c r="B12" s="188">
        <v>0</v>
      </c>
      <c r="C12" s="203" t="s">
        <v>32</v>
      </c>
      <c r="D12" s="204" t="str">
        <f>IF(C12="Str",'Personal File'!$C$10,IF(C12="Dex",'Personal File'!$C$11,IF(C12="Con",'Personal File'!$C$12,IF(C12="Int",'Personal File'!$C$13,IF(C12="Wis",'Personal File'!$C$14,IF(C12="Cha",'Personal File'!$C$15))))))</f>
        <v>+4</v>
      </c>
      <c r="E12" s="205" t="str">
        <f t="shared" si="8"/>
        <v>Int (+4)</v>
      </c>
      <c r="F12" s="192" t="s">
        <v>62</v>
      </c>
      <c r="G12" s="192">
        <f t="shared" si="6"/>
        <v>4</v>
      </c>
      <c r="H12" s="148">
        <f t="shared" ca="1" si="2"/>
        <v>19</v>
      </c>
      <c r="I12" s="192">
        <f t="shared" ca="1" si="10"/>
        <v>23</v>
      </c>
      <c r="J12" s="362"/>
    </row>
    <row r="13" spans="1:10" s="166" customFormat="1" ht="16.8">
      <c r="A13" s="167" t="s">
        <v>43</v>
      </c>
      <c r="B13" s="124">
        <v>0</v>
      </c>
      <c r="C13" s="168" t="s">
        <v>30</v>
      </c>
      <c r="D13" s="169" t="str">
        <f>IF(C13="Str",'Personal File'!$C$10,IF(C13="Dex",'Personal File'!$C$11,IF(C13="Con",'Personal File'!$C$12,IF(C13="Int",'Personal File'!$C$13,IF(C13="Wis",'Personal File'!$C$14,IF(C13="Cha",'Personal File'!$C$15))))))</f>
        <v>+1</v>
      </c>
      <c r="E13" s="170" t="str">
        <f t="shared" si="8"/>
        <v>Cha (+1)</v>
      </c>
      <c r="F13" s="171" t="s">
        <v>62</v>
      </c>
      <c r="G13" s="171">
        <f t="shared" si="6"/>
        <v>1</v>
      </c>
      <c r="H13" s="148">
        <f t="shared" ca="1" si="2"/>
        <v>17</v>
      </c>
      <c r="I13" s="171">
        <f t="shared" ca="1" si="10"/>
        <v>18</v>
      </c>
      <c r="J13" s="207"/>
    </row>
    <row r="14" spans="1:10" s="166" customFormat="1" ht="16.8">
      <c r="A14" s="202" t="s">
        <v>44</v>
      </c>
      <c r="B14" s="188">
        <v>0</v>
      </c>
      <c r="C14" s="203" t="s">
        <v>32</v>
      </c>
      <c r="D14" s="204" t="str">
        <f>IF(C14="Str",'Personal File'!$C$10,IF(C14="Dex",'Personal File'!$C$11,IF(C14="Con",'Personal File'!$C$12,IF(C14="Int",'Personal File'!$C$13,IF(C14="Wis",'Personal File'!$C$14,IF(C14="Cha",'Personal File'!$C$15))))))</f>
        <v>+4</v>
      </c>
      <c r="E14" s="205" t="str">
        <f t="shared" si="8"/>
        <v>Int (+4)</v>
      </c>
      <c r="F14" s="192" t="s">
        <v>62</v>
      </c>
      <c r="G14" s="192">
        <f t="shared" si="6"/>
        <v>4</v>
      </c>
      <c r="H14" s="148">
        <f t="shared" ca="1" si="2"/>
        <v>17</v>
      </c>
      <c r="I14" s="192">
        <f t="shared" ca="1" si="10"/>
        <v>21</v>
      </c>
      <c r="J14" s="362"/>
    </row>
    <row r="15" spans="1:10" s="166" customFormat="1" ht="16.8">
      <c r="A15" s="167" t="s">
        <v>45</v>
      </c>
      <c r="B15" s="124">
        <v>0</v>
      </c>
      <c r="C15" s="168" t="s">
        <v>30</v>
      </c>
      <c r="D15" s="169" t="str">
        <f>IF(C15="Str",'Personal File'!$C$10,IF(C15="Dex",'Personal File'!$C$11,IF(C15="Con",'Personal File'!$C$12,IF(C15="Int",'Personal File'!$C$13,IF(C15="Wis",'Personal File'!$C$14,IF(C15="Cha",'Personal File'!$C$15))))))</f>
        <v>+1</v>
      </c>
      <c r="E15" s="170" t="str">
        <f t="shared" si="8"/>
        <v>Cha (+1)</v>
      </c>
      <c r="F15" s="171" t="s">
        <v>62</v>
      </c>
      <c r="G15" s="171">
        <f t="shared" si="6"/>
        <v>1</v>
      </c>
      <c r="H15" s="148">
        <f t="shared" ca="1" si="2"/>
        <v>18</v>
      </c>
      <c r="I15" s="171">
        <f t="shared" ca="1" si="10"/>
        <v>19</v>
      </c>
      <c r="J15" s="207"/>
    </row>
    <row r="16" spans="1:10" s="166" customFormat="1" ht="16.8">
      <c r="A16" s="180" t="s">
        <v>46</v>
      </c>
      <c r="B16" s="124">
        <v>0</v>
      </c>
      <c r="C16" s="181" t="s">
        <v>34</v>
      </c>
      <c r="D16" s="182" t="str">
        <f>IF(C16="Str",'Personal File'!$C$10,IF(C16="Dex",'Personal File'!$C$11,IF(C16="Con",'Personal File'!$C$12,IF(C16="Int",'Personal File'!$C$13,IF(C16="Wis",'Personal File'!$C$14,IF(C16="Cha",'Personal File'!$C$15))))))</f>
        <v>+2</v>
      </c>
      <c r="E16" s="149" t="str">
        <f t="shared" si="8"/>
        <v>Dex (+2)</v>
      </c>
      <c r="F16" s="171" t="s">
        <v>62</v>
      </c>
      <c r="G16" s="171">
        <f t="shared" si="6"/>
        <v>2</v>
      </c>
      <c r="H16" s="148">
        <f t="shared" ca="1" si="2"/>
        <v>12</v>
      </c>
      <c r="I16" s="171">
        <f t="shared" ca="1" si="10"/>
        <v>14</v>
      </c>
      <c r="J16" s="207"/>
    </row>
    <row r="17" spans="1:10" s="166" customFormat="1" ht="16.8">
      <c r="A17" s="183" t="s">
        <v>47</v>
      </c>
      <c r="B17" s="124">
        <v>0</v>
      </c>
      <c r="C17" s="184" t="s">
        <v>32</v>
      </c>
      <c r="D17" s="185" t="str">
        <f>IF(C17="Str",'Personal File'!$C$10,IF(C17="Dex",'Personal File'!$C$11,IF(C17="Con",'Personal File'!$C$12,IF(C17="Int",'Personal File'!$C$13,IF(C17="Wis",'Personal File'!$C$14,IF(C17="Cha",'Personal File'!$C$15))))))</f>
        <v>+4</v>
      </c>
      <c r="E17" s="186" t="str">
        <f t="shared" si="8"/>
        <v>Int (+4)</v>
      </c>
      <c r="F17" s="171" t="s">
        <v>62</v>
      </c>
      <c r="G17" s="171">
        <f t="shared" si="6"/>
        <v>4</v>
      </c>
      <c r="H17" s="148">
        <f t="shared" ca="1" si="2"/>
        <v>20</v>
      </c>
      <c r="I17" s="171">
        <f t="shared" ca="1" si="10"/>
        <v>24</v>
      </c>
      <c r="J17" s="207"/>
    </row>
    <row r="18" spans="1:10" s="166" customFormat="1" ht="16.8">
      <c r="A18" s="167" t="s">
        <v>48</v>
      </c>
      <c r="B18" s="124">
        <v>0</v>
      </c>
      <c r="C18" s="168" t="s">
        <v>30</v>
      </c>
      <c r="D18" s="169" t="str">
        <f>IF(C18="Str",'Personal File'!$C$10,IF(C18="Dex",'Personal File'!$C$11,IF(C18="Con",'Personal File'!$C$12,IF(C18="Int",'Personal File'!$C$13,IF(C18="Wis",'Personal File'!$C$14,IF(C18="Cha",'Personal File'!$C$15))))))</f>
        <v>+1</v>
      </c>
      <c r="E18" s="170" t="str">
        <f t="shared" si="8"/>
        <v>Cha (+1)</v>
      </c>
      <c r="F18" s="171" t="s">
        <v>62</v>
      </c>
      <c r="G18" s="171">
        <f t="shared" si="6"/>
        <v>1</v>
      </c>
      <c r="H18" s="148">
        <f t="shared" ca="1" si="2"/>
        <v>15</v>
      </c>
      <c r="I18" s="171">
        <f t="shared" ca="1" si="10"/>
        <v>16</v>
      </c>
      <c r="J18" s="207"/>
    </row>
    <row r="19" spans="1:10" s="166" customFormat="1" ht="16.8">
      <c r="A19" s="187" t="s">
        <v>18</v>
      </c>
      <c r="B19" s="188">
        <v>0</v>
      </c>
      <c r="C19" s="189" t="s">
        <v>30</v>
      </c>
      <c r="D19" s="190" t="str">
        <f>IF(C19="Str",'Personal File'!$C$10,IF(C19="Dex",'Personal File'!$C$11,IF(C19="Con",'Personal File'!$C$12,IF(C19="Int",'Personal File'!$C$13,IF(C19="Wis",'Personal File'!$C$14,IF(C19="Cha",'Personal File'!$C$15))))))</f>
        <v>+1</v>
      </c>
      <c r="E19" s="191" t="str">
        <f t="shared" si="8"/>
        <v>Cha (+1)</v>
      </c>
      <c r="F19" s="192" t="s">
        <v>62</v>
      </c>
      <c r="G19" s="192">
        <f t="shared" si="6"/>
        <v>1</v>
      </c>
      <c r="H19" s="148">
        <f t="shared" ca="1" si="2"/>
        <v>8</v>
      </c>
      <c r="I19" s="192">
        <f t="shared" ca="1" si="10"/>
        <v>9</v>
      </c>
      <c r="J19" s="362"/>
    </row>
    <row r="20" spans="1:10" s="166" customFormat="1" ht="16.8">
      <c r="A20" s="194" t="s">
        <v>49</v>
      </c>
      <c r="B20" s="124">
        <v>0</v>
      </c>
      <c r="C20" s="195" t="s">
        <v>33</v>
      </c>
      <c r="D20" s="196" t="str">
        <f>IF(C20="Str",'Personal File'!$C$10,IF(C20="Dex",'Personal File'!$C$11,IF(C20="Con",'Personal File'!$C$12,IF(C20="Int",'Personal File'!$C$13,IF(C20="Wis",'Personal File'!$C$14,IF(C20="Cha",'Personal File'!$C$15))))))</f>
        <v>+0</v>
      </c>
      <c r="E20" s="197" t="str">
        <f t="shared" si="8"/>
        <v>Wis (+0)</v>
      </c>
      <c r="F20" s="171" t="s">
        <v>62</v>
      </c>
      <c r="G20" s="171">
        <f t="shared" si="6"/>
        <v>0</v>
      </c>
      <c r="H20" s="148">
        <f t="shared" ca="1" si="2"/>
        <v>6</v>
      </c>
      <c r="I20" s="171">
        <f t="shared" ca="1" si="10"/>
        <v>6</v>
      </c>
      <c r="J20" s="207"/>
    </row>
    <row r="21" spans="1:10" s="166" customFormat="1" ht="16.8">
      <c r="A21" s="180" t="s">
        <v>50</v>
      </c>
      <c r="B21" s="124">
        <v>0</v>
      </c>
      <c r="C21" s="181" t="s">
        <v>34</v>
      </c>
      <c r="D21" s="182" t="str">
        <f>IF(C21="Str",'Personal File'!$C$10,IF(C21="Dex",'Personal File'!$C$11,IF(C21="Con",'Personal File'!$C$12,IF(C21="Int",'Personal File'!$C$13,IF(C21="Wis",'Personal File'!$C$14,IF(C21="Cha",'Personal File'!$C$15))))))</f>
        <v>+2</v>
      </c>
      <c r="E21" s="149" t="str">
        <f t="shared" si="8"/>
        <v>Dex (+2)</v>
      </c>
      <c r="F21" s="171" t="s">
        <v>161</v>
      </c>
      <c r="G21" s="171">
        <f t="shared" si="6"/>
        <v>10</v>
      </c>
      <c r="H21" s="148">
        <f t="shared" ca="1" si="2"/>
        <v>7</v>
      </c>
      <c r="I21" s="171">
        <f t="shared" ca="1" si="10"/>
        <v>17</v>
      </c>
      <c r="J21" s="207"/>
    </row>
    <row r="22" spans="1:10" s="166" customFormat="1" ht="16.8">
      <c r="A22" s="167" t="s">
        <v>51</v>
      </c>
      <c r="B22" s="124">
        <v>0</v>
      </c>
      <c r="C22" s="168" t="s">
        <v>30</v>
      </c>
      <c r="D22" s="169" t="str">
        <f>IF(C22="Str",'Personal File'!$C$10,IF(C22="Dex",'Personal File'!$C$11,IF(C22="Con",'Personal File'!$C$12,IF(C22="Int",'Personal File'!$C$13,IF(C22="Wis",'Personal File'!$C$14,IF(C22="Cha",'Personal File'!$C$15))))))</f>
        <v>+1</v>
      </c>
      <c r="E22" s="170" t="str">
        <f t="shared" si="8"/>
        <v>Cha (+1)</v>
      </c>
      <c r="F22" s="171" t="s">
        <v>62</v>
      </c>
      <c r="G22" s="171">
        <f t="shared" si="6"/>
        <v>1</v>
      </c>
      <c r="H22" s="148">
        <f t="shared" ca="1" si="2"/>
        <v>19</v>
      </c>
      <c r="I22" s="171">
        <f t="shared" ca="1" si="10"/>
        <v>20</v>
      </c>
      <c r="J22" s="207"/>
    </row>
    <row r="23" spans="1:10" s="166" customFormat="1" ht="16.8">
      <c r="A23" s="198" t="s">
        <v>52</v>
      </c>
      <c r="B23" s="124">
        <v>0</v>
      </c>
      <c r="C23" s="199" t="s">
        <v>35</v>
      </c>
      <c r="D23" s="200">
        <f>IF(C23="Str",'Personal File'!$C$10,IF(C23="Dex",'Personal File'!$C$11,IF(C23="Con",'Personal File'!$C$12,IF(C23="Int",'Personal File'!$C$13,IF(C23="Wis",'Personal File'!$C$14,IF(C23="Cha",'Personal File'!$C$15))))))</f>
        <v>-2</v>
      </c>
      <c r="E23" s="201" t="str">
        <f t="shared" si="8"/>
        <v>Str (-2)</v>
      </c>
      <c r="F23" s="171" t="s">
        <v>62</v>
      </c>
      <c r="G23" s="171">
        <f t="shared" si="6"/>
        <v>-2</v>
      </c>
      <c r="H23" s="148">
        <f t="shared" ca="1" si="2"/>
        <v>6</v>
      </c>
      <c r="I23" s="171">
        <f t="shared" ca="1" si="10"/>
        <v>4</v>
      </c>
      <c r="J23" s="207"/>
    </row>
    <row r="24" spans="1:10" s="166" customFormat="1" ht="16.8">
      <c r="A24" s="158" t="s">
        <v>84</v>
      </c>
      <c r="B24" s="159">
        <v>12</v>
      </c>
      <c r="C24" s="160" t="s">
        <v>32</v>
      </c>
      <c r="D24" s="161" t="str">
        <f>IF(C24="Str",'Personal File'!$C$10,IF(C24="Dex",'Personal File'!$C$11,IF(C24="Con",'Personal File'!$C$12,IF(C24="Int",'Personal File'!$C$13,IF(C24="Wis",'Personal File'!$C$14,IF(C24="Cha",'Personal File'!$C$15))))))</f>
        <v>+4</v>
      </c>
      <c r="E24" s="162" t="str">
        <f t="shared" si="8"/>
        <v>Int (+4)</v>
      </c>
      <c r="F24" s="163" t="s">
        <v>62</v>
      </c>
      <c r="G24" s="163">
        <f t="shared" si="6"/>
        <v>16</v>
      </c>
      <c r="H24" s="148">
        <f t="shared" ca="1" si="2"/>
        <v>8</v>
      </c>
      <c r="I24" s="163">
        <f t="shared" ca="1" si="10"/>
        <v>24</v>
      </c>
      <c r="J24" s="206"/>
    </row>
    <row r="25" spans="1:10" s="166" customFormat="1" ht="16.8">
      <c r="A25" s="202" t="s">
        <v>123</v>
      </c>
      <c r="B25" s="188">
        <v>0</v>
      </c>
      <c r="C25" s="203" t="s">
        <v>32</v>
      </c>
      <c r="D25" s="204" t="str">
        <f>IF(C25="Str",'Personal File'!$C$10,IF(C25="Dex",'Personal File'!$C$11,IF(C25="Con",'Personal File'!$C$12,IF(C25="Int",'Personal File'!$C$13,IF(C25="Wis",'Personal File'!$C$14,IF(C25="Cha",'Personal File'!$C$15))))))</f>
        <v>+4</v>
      </c>
      <c r="E25" s="205" t="str">
        <f t="shared" si="8"/>
        <v>Int (+4)</v>
      </c>
      <c r="F25" s="192" t="s">
        <v>62</v>
      </c>
      <c r="G25" s="192">
        <f t="shared" si="6"/>
        <v>4</v>
      </c>
      <c r="H25" s="148">
        <f t="shared" ca="1" si="2"/>
        <v>17</v>
      </c>
      <c r="I25" s="192">
        <f t="shared" ref="I25" ca="1" si="11">SUM(G25:H25)</f>
        <v>21</v>
      </c>
      <c r="J25" s="362"/>
    </row>
    <row r="26" spans="1:10" s="166" customFormat="1" ht="16.8">
      <c r="A26" s="202" t="s">
        <v>104</v>
      </c>
      <c r="B26" s="188">
        <v>0</v>
      </c>
      <c r="C26" s="203" t="s">
        <v>32</v>
      </c>
      <c r="D26" s="204" t="str">
        <f>IF(C26="Str",'Personal File'!$C$10,IF(C26="Dex",'Personal File'!$C$11,IF(C26="Con",'Personal File'!$C$12,IF(C26="Int",'Personal File'!$C$13,IF(C26="Wis",'Personal File'!$C$14,IF(C26="Cha",'Personal File'!$C$15))))))</f>
        <v>+4</v>
      </c>
      <c r="E26" s="205" t="str">
        <f t="shared" ref="E26:E27" si="12">CONCATENATE(C26," (",D26,")")</f>
        <v>Int (+4)</v>
      </c>
      <c r="F26" s="192" t="s">
        <v>62</v>
      </c>
      <c r="G26" s="192">
        <f t="shared" si="6"/>
        <v>4</v>
      </c>
      <c r="H26" s="148">
        <f t="shared" ca="1" si="2"/>
        <v>10</v>
      </c>
      <c r="I26" s="192">
        <f t="shared" ref="I26" ca="1" si="13">SUM(G26:H26)</f>
        <v>14</v>
      </c>
      <c r="J26" s="362"/>
    </row>
    <row r="27" spans="1:10" s="166" customFormat="1" ht="16.8">
      <c r="A27" s="202" t="s">
        <v>124</v>
      </c>
      <c r="B27" s="188">
        <v>0</v>
      </c>
      <c r="C27" s="203" t="s">
        <v>32</v>
      </c>
      <c r="D27" s="204" t="str">
        <f>IF(C27="Str",'Personal File'!$C$10,IF(C27="Dex",'Personal File'!$C$11,IF(C27="Con",'Personal File'!$C$12,IF(C27="Int",'Personal File'!$C$13,IF(C27="Wis",'Personal File'!$C$14,IF(C27="Cha",'Personal File'!$C$15))))))</f>
        <v>+4</v>
      </c>
      <c r="E27" s="205" t="str">
        <f t="shared" si="12"/>
        <v>Int (+4)</v>
      </c>
      <c r="F27" s="192" t="s">
        <v>62</v>
      </c>
      <c r="G27" s="192">
        <f t="shared" si="6"/>
        <v>4</v>
      </c>
      <c r="H27" s="148">
        <f t="shared" ca="1" si="2"/>
        <v>7</v>
      </c>
      <c r="I27" s="192">
        <f t="shared" ref="I27" ca="1" si="14">SUM(G27:H27)</f>
        <v>11</v>
      </c>
      <c r="J27" s="362"/>
    </row>
    <row r="28" spans="1:10" s="166" customFormat="1" ht="16.8">
      <c r="A28" s="202" t="s">
        <v>92</v>
      </c>
      <c r="B28" s="188">
        <v>0</v>
      </c>
      <c r="C28" s="203" t="s">
        <v>32</v>
      </c>
      <c r="D28" s="204" t="str">
        <f>IF(C28="Str",'Personal File'!$C$10,IF(C28="Dex",'Personal File'!$C$11,IF(C28="Con",'Personal File'!$C$12,IF(C28="Int",'Personal File'!$C$13,IF(C28="Wis",'Personal File'!$C$14,IF(C28="Cha",'Personal File'!$C$15))))))</f>
        <v>+4</v>
      </c>
      <c r="E28" s="205" t="str">
        <f t="shared" ref="E28:E32" si="15">CONCATENATE(C28," (",D28,")")</f>
        <v>Int (+4)</v>
      </c>
      <c r="F28" s="192" t="s">
        <v>62</v>
      </c>
      <c r="G28" s="192">
        <f t="shared" si="6"/>
        <v>4</v>
      </c>
      <c r="H28" s="148">
        <f t="shared" ca="1" si="2"/>
        <v>6</v>
      </c>
      <c r="I28" s="192">
        <f t="shared" ca="1" si="10"/>
        <v>10</v>
      </c>
      <c r="J28" s="362"/>
    </row>
    <row r="29" spans="1:10" s="166" customFormat="1" ht="16.8">
      <c r="A29" s="202" t="s">
        <v>135</v>
      </c>
      <c r="B29" s="188">
        <v>0</v>
      </c>
      <c r="C29" s="203" t="s">
        <v>32</v>
      </c>
      <c r="D29" s="204" t="str">
        <f>IF(C29="Str",'Personal File'!$C$10,IF(C29="Dex",'Personal File'!$C$11,IF(C29="Con",'Personal File'!$C$12,IF(C29="Int",'Personal File'!$C$13,IF(C29="Wis",'Personal File'!$C$14,IF(C29="Cha",'Personal File'!$C$15))))))</f>
        <v>+4</v>
      </c>
      <c r="E29" s="205" t="str">
        <f t="shared" ref="E29:E30" si="16">CONCATENATE(C29," (",D29,")")</f>
        <v>Int (+4)</v>
      </c>
      <c r="F29" s="192" t="s">
        <v>62</v>
      </c>
      <c r="G29" s="192">
        <f t="shared" si="6"/>
        <v>4</v>
      </c>
      <c r="H29" s="148">
        <f t="shared" ca="1" si="2"/>
        <v>19</v>
      </c>
      <c r="I29" s="192">
        <f t="shared" ref="I29:I30" ca="1" si="17">SUM(G29:H29)</f>
        <v>23</v>
      </c>
      <c r="J29" s="362"/>
    </row>
    <row r="30" spans="1:10" s="166" customFormat="1" ht="16.8">
      <c r="A30" s="158" t="s">
        <v>134</v>
      </c>
      <c r="B30" s="159">
        <v>6</v>
      </c>
      <c r="C30" s="160" t="s">
        <v>32</v>
      </c>
      <c r="D30" s="161" t="str">
        <f>IF(C30="Str",'Personal File'!$C$10,IF(C30="Dex",'Personal File'!$C$11,IF(C30="Con",'Personal File'!$C$12,IF(C30="Int",'Personal File'!$C$13,IF(C30="Wis",'Personal File'!$C$14,IF(C30="Cha",'Personal File'!$C$15))))))</f>
        <v>+4</v>
      </c>
      <c r="E30" s="162" t="str">
        <f t="shared" si="16"/>
        <v>Int (+4)</v>
      </c>
      <c r="F30" s="163" t="s">
        <v>62</v>
      </c>
      <c r="G30" s="163">
        <f t="shared" si="6"/>
        <v>10</v>
      </c>
      <c r="H30" s="148">
        <f t="shared" ca="1" si="2"/>
        <v>3</v>
      </c>
      <c r="I30" s="163">
        <f t="shared" ca="1" si="17"/>
        <v>13</v>
      </c>
      <c r="J30" s="206"/>
    </row>
    <row r="31" spans="1:10" s="166" customFormat="1" ht="16.8">
      <c r="A31" s="158" t="s">
        <v>93</v>
      </c>
      <c r="B31" s="159">
        <v>9</v>
      </c>
      <c r="C31" s="160" t="s">
        <v>32</v>
      </c>
      <c r="D31" s="161" t="str">
        <f>IF(C31="Str",'Personal File'!$C$10,IF(C31="Dex",'Personal File'!$C$11,IF(C31="Con",'Personal File'!$C$12,IF(C31="Int",'Personal File'!$C$13,IF(C31="Wis",'Personal File'!$C$14,IF(C31="Cha",'Personal File'!$C$15))))))</f>
        <v>+4</v>
      </c>
      <c r="E31" s="162" t="str">
        <f t="shared" ref="E31" si="18">CONCATENATE(C31," (",D31,")")</f>
        <v>Int (+4)</v>
      </c>
      <c r="F31" s="163" t="s">
        <v>62</v>
      </c>
      <c r="G31" s="163">
        <f t="shared" si="6"/>
        <v>13</v>
      </c>
      <c r="H31" s="148">
        <f t="shared" ca="1" si="2"/>
        <v>9</v>
      </c>
      <c r="I31" s="163">
        <f t="shared" ref="I31" ca="1" si="19">SUM(G31:H31)</f>
        <v>22</v>
      </c>
      <c r="J31" s="206"/>
    </row>
    <row r="32" spans="1:10" s="166" customFormat="1" ht="16.8">
      <c r="A32" s="158" t="s">
        <v>103</v>
      </c>
      <c r="B32" s="159">
        <v>6</v>
      </c>
      <c r="C32" s="160" t="s">
        <v>32</v>
      </c>
      <c r="D32" s="161" t="str">
        <f>IF(C32="Str",'Personal File'!$C$10,IF(C32="Dex",'Personal File'!$C$11,IF(C32="Con",'Personal File'!$C$12,IF(C32="Int",'Personal File'!$C$13,IF(C32="Wis",'Personal File'!$C$14,IF(C32="Cha",'Personal File'!$C$15))))))</f>
        <v>+4</v>
      </c>
      <c r="E32" s="162" t="str">
        <f t="shared" si="15"/>
        <v>Int (+4)</v>
      </c>
      <c r="F32" s="163" t="s">
        <v>62</v>
      </c>
      <c r="G32" s="163">
        <f t="shared" si="6"/>
        <v>10</v>
      </c>
      <c r="H32" s="148">
        <f t="shared" ca="1" si="2"/>
        <v>18</v>
      </c>
      <c r="I32" s="163">
        <f t="shared" ca="1" si="10"/>
        <v>28</v>
      </c>
      <c r="J32" s="206"/>
    </row>
    <row r="33" spans="1:10" s="166" customFormat="1" ht="16.8">
      <c r="A33" s="194" t="s">
        <v>53</v>
      </c>
      <c r="B33" s="124">
        <v>0</v>
      </c>
      <c r="C33" s="195" t="s">
        <v>33</v>
      </c>
      <c r="D33" s="196" t="str">
        <f>IF(C33="Str",'Personal File'!$C$10,IF(C33="Dex",'Personal File'!$C$11,IF(C33="Con",'Personal File'!$C$12,IF(C33="Int",'Personal File'!$C$13,IF(C33="Wis",'Personal File'!$C$14,IF(C33="Cha",'Personal File'!$C$15))))))</f>
        <v>+0</v>
      </c>
      <c r="E33" s="197" t="str">
        <f t="shared" si="8"/>
        <v>Wis (+0)</v>
      </c>
      <c r="F33" s="171" t="s">
        <v>94</v>
      </c>
      <c r="G33" s="171">
        <f t="shared" si="6"/>
        <v>2</v>
      </c>
      <c r="H33" s="148">
        <f t="shared" ca="1" si="2"/>
        <v>18</v>
      </c>
      <c r="I33" s="171">
        <f t="shared" ca="1" si="10"/>
        <v>20</v>
      </c>
      <c r="J33" s="207"/>
    </row>
    <row r="34" spans="1:10" s="166" customFormat="1" ht="16.8">
      <c r="A34" s="180" t="s">
        <v>19</v>
      </c>
      <c r="B34" s="124">
        <v>0</v>
      </c>
      <c r="C34" s="181" t="s">
        <v>34</v>
      </c>
      <c r="D34" s="182" t="str">
        <f>IF(C34="Str",'Personal File'!$C$10,IF(C34="Dex",'Personal File'!$C$11,IF(C34="Con",'Personal File'!$C$12,IF(C34="Int",'Personal File'!$C$13,IF(C34="Wis",'Personal File'!$C$14,IF(C34="Cha",'Personal File'!$C$15))))))</f>
        <v>+2</v>
      </c>
      <c r="E34" s="149" t="str">
        <f t="shared" si="8"/>
        <v>Dex (+2)</v>
      </c>
      <c r="F34" s="171" t="s">
        <v>160</v>
      </c>
      <c r="G34" s="171">
        <f t="shared" si="6"/>
        <v>6</v>
      </c>
      <c r="H34" s="148">
        <f t="shared" ca="1" si="2"/>
        <v>6</v>
      </c>
      <c r="I34" s="171">
        <f t="shared" ca="1" si="10"/>
        <v>12</v>
      </c>
      <c r="J34" s="207"/>
    </row>
    <row r="35" spans="1:10" s="166" customFormat="1" ht="16.8">
      <c r="A35" s="339" t="s">
        <v>54</v>
      </c>
      <c r="B35" s="188">
        <v>0</v>
      </c>
      <c r="C35" s="340" t="s">
        <v>34</v>
      </c>
      <c r="D35" s="341" t="str">
        <f>IF(C35="Str",'Personal File'!$C$10,IF(C35="Dex",'Personal File'!$C$11,IF(C35="Con",'Personal File'!$C$12,IF(C35="Int",'Personal File'!$C$13,IF(C35="Wis",'Personal File'!$C$14,IF(C35="Cha",'Personal File'!$C$15))))))</f>
        <v>+2</v>
      </c>
      <c r="E35" s="342" t="str">
        <f t="shared" si="8"/>
        <v>Dex (+2)</v>
      </c>
      <c r="F35" s="192" t="s">
        <v>62</v>
      </c>
      <c r="G35" s="192">
        <f t="shared" si="6"/>
        <v>2</v>
      </c>
      <c r="H35" s="148">
        <f t="shared" ca="1" si="2"/>
        <v>14</v>
      </c>
      <c r="I35" s="192">
        <f t="shared" ca="1" si="10"/>
        <v>16</v>
      </c>
      <c r="J35" s="362"/>
    </row>
    <row r="36" spans="1:10" ht="16.8">
      <c r="A36" s="167" t="s">
        <v>471</v>
      </c>
      <c r="B36" s="124">
        <v>0</v>
      </c>
      <c r="C36" s="168" t="s">
        <v>30</v>
      </c>
      <c r="D36" s="169" t="str">
        <f>IF(C36="Str",'Personal File'!$C$10,IF(C36="Dex",'Personal File'!$C$11,IF(C36="Con",'Personal File'!$C$12,IF(C36="Int",'Personal File'!$C$13,IF(C36="Wis",'Personal File'!$C$14,IF(C36="Cha",'Personal File'!$C$15))))))</f>
        <v>+1</v>
      </c>
      <c r="E36" s="170" t="str">
        <f t="shared" si="8"/>
        <v>Cha (+1)</v>
      </c>
      <c r="F36" s="171" t="s">
        <v>62</v>
      </c>
      <c r="G36" s="171">
        <f t="shared" si="6"/>
        <v>1</v>
      </c>
      <c r="H36" s="148">
        <f t="shared" ca="1" si="2"/>
        <v>19</v>
      </c>
      <c r="I36" s="171">
        <f t="shared" ca="1" si="10"/>
        <v>20</v>
      </c>
      <c r="J36" s="207"/>
    </row>
    <row r="37" spans="1:10" ht="16.8">
      <c r="A37" s="389" t="s">
        <v>378</v>
      </c>
      <c r="B37" s="159">
        <v>4</v>
      </c>
      <c r="C37" s="403" t="s">
        <v>33</v>
      </c>
      <c r="D37" s="404" t="str">
        <f>IF(C37="Str",'Personal File'!$C$10,IF(C37="Dex",'Personal File'!$C$11,IF(C37="Con",'Personal File'!$C$12,IF(C37="Int",'Personal File'!$C$13,IF(C37="Wis",'Personal File'!$C$14,IF(C37="Cha",'Personal File'!$C$15))))))</f>
        <v>+0</v>
      </c>
      <c r="E37" s="405" t="str">
        <f t="shared" ref="E37" si="20">CONCATENATE(C37," (",D37,")")</f>
        <v>Wis (+0)</v>
      </c>
      <c r="F37" s="163" t="s">
        <v>62</v>
      </c>
      <c r="G37" s="406">
        <f t="shared" si="6"/>
        <v>4</v>
      </c>
      <c r="H37" s="148">
        <f t="shared" ca="1" si="2"/>
        <v>5</v>
      </c>
      <c r="I37" s="406">
        <f t="shared" ca="1" si="10"/>
        <v>9</v>
      </c>
      <c r="J37" s="206"/>
    </row>
    <row r="38" spans="1:10" ht="16.8">
      <c r="A38" s="344" t="s">
        <v>20</v>
      </c>
      <c r="B38" s="159">
        <v>2</v>
      </c>
      <c r="C38" s="345" t="s">
        <v>34</v>
      </c>
      <c r="D38" s="346" t="str">
        <f>IF(C38="Str",'Personal File'!$C$10,IF(C38="Dex",'Personal File'!$C$11,IF(C38="Con",'Personal File'!$C$12,IF(C38="Int",'Personal File'!$C$13,IF(C38="Wis",'Personal File'!$C$14,IF(C38="Cha",'Personal File'!$C$15))))))</f>
        <v>+2</v>
      </c>
      <c r="E38" s="347" t="str">
        <f t="shared" si="8"/>
        <v>Dex (+2)</v>
      </c>
      <c r="F38" s="163" t="s">
        <v>62</v>
      </c>
      <c r="G38" s="163">
        <f t="shared" si="6"/>
        <v>4</v>
      </c>
      <c r="H38" s="148">
        <f t="shared" ca="1" si="2"/>
        <v>10</v>
      </c>
      <c r="I38" s="163">
        <f t="shared" ca="1" si="10"/>
        <v>14</v>
      </c>
      <c r="J38" s="164"/>
    </row>
    <row r="39" spans="1:10" ht="16.8">
      <c r="A39" s="183" t="s">
        <v>21</v>
      </c>
      <c r="B39" s="124">
        <v>0</v>
      </c>
      <c r="C39" s="184" t="s">
        <v>32</v>
      </c>
      <c r="D39" s="185" t="str">
        <f>IF(C39="Str",'Personal File'!$C$10,IF(C39="Dex",'Personal File'!$C$11,IF(C39="Con",'Personal File'!$C$12,IF(C39="Int",'Personal File'!$C$13,IF(C39="Wis",'Personal File'!$C$14,IF(C39="Cha",'Personal File'!$C$15))))))</f>
        <v>+4</v>
      </c>
      <c r="E39" s="186" t="str">
        <f t="shared" si="8"/>
        <v>Int (+4)</v>
      </c>
      <c r="F39" s="171" t="s">
        <v>62</v>
      </c>
      <c r="G39" s="171">
        <f t="shared" si="6"/>
        <v>4</v>
      </c>
      <c r="H39" s="148">
        <f t="shared" ca="1" si="2"/>
        <v>8</v>
      </c>
      <c r="I39" s="171">
        <f t="shared" ca="1" si="10"/>
        <v>12</v>
      </c>
      <c r="J39" s="172"/>
    </row>
    <row r="40" spans="1:10" ht="16.8">
      <c r="A40" s="194" t="s">
        <v>55</v>
      </c>
      <c r="B40" s="124">
        <v>0</v>
      </c>
      <c r="C40" s="195" t="s">
        <v>33</v>
      </c>
      <c r="D40" s="196" t="str">
        <f>IF(C40="Str",'Personal File'!$C$10,IF(C40="Dex",'Personal File'!$C$11,IF(C40="Con",'Personal File'!$C$12,IF(C40="Int",'Personal File'!$C$13,IF(C40="Wis",'Personal File'!$C$14,IF(C40="Cha",'Personal File'!$C$15))))))</f>
        <v>+0</v>
      </c>
      <c r="E40" s="197" t="str">
        <f t="shared" si="8"/>
        <v>Wis (+0)</v>
      </c>
      <c r="F40" s="171" t="s">
        <v>62</v>
      </c>
      <c r="G40" s="171">
        <f t="shared" si="6"/>
        <v>0</v>
      </c>
      <c r="H40" s="148">
        <f t="shared" ca="1" si="2"/>
        <v>19</v>
      </c>
      <c r="I40" s="171">
        <f t="shared" ca="1" si="10"/>
        <v>19</v>
      </c>
      <c r="J40" s="172"/>
    </row>
    <row r="41" spans="1:10" ht="16.8">
      <c r="A41" s="339" t="s">
        <v>85</v>
      </c>
      <c r="B41" s="188">
        <v>0</v>
      </c>
      <c r="C41" s="340" t="s">
        <v>34</v>
      </c>
      <c r="D41" s="341" t="str">
        <f>IF(C41="Str",'Personal File'!$C$10,IF(C41="Dex",'Personal File'!$C$11,IF(C41="Con",'Personal File'!$C$12,IF(C41="Int",'Personal File'!$C$13,IF(C41="Wis",'Personal File'!$C$14,IF(C41="Cha",'Personal File'!$C$15))))))</f>
        <v>+2</v>
      </c>
      <c r="E41" s="342" t="str">
        <f t="shared" si="8"/>
        <v>Dex (+2)</v>
      </c>
      <c r="F41" s="192" t="s">
        <v>62</v>
      </c>
      <c r="G41" s="192">
        <f t="shared" si="6"/>
        <v>2</v>
      </c>
      <c r="H41" s="148">
        <f t="shared" ca="1" si="2"/>
        <v>1</v>
      </c>
      <c r="I41" s="192">
        <f t="shared" ca="1" si="10"/>
        <v>3</v>
      </c>
      <c r="J41" s="193"/>
    </row>
    <row r="42" spans="1:10" ht="16.8">
      <c r="A42" s="158" t="s">
        <v>260</v>
      </c>
      <c r="B42" s="159">
        <v>1</v>
      </c>
      <c r="C42" s="160" t="s">
        <v>32</v>
      </c>
      <c r="D42" s="161" t="str">
        <f>IF(C42="Str",'Personal File'!$C$10,IF(C42="Dex",'Personal File'!$C$11,IF(C42="Con",'Personal File'!$C$12,IF(C42="Int",'Personal File'!$C$13,IF(C42="Wis",'Personal File'!$C$14,IF(C42="Cha",'Personal File'!$C$15))))))</f>
        <v>+4</v>
      </c>
      <c r="E42" s="162" t="str">
        <f t="shared" si="8"/>
        <v>Int (+4)</v>
      </c>
      <c r="F42" s="163" t="s">
        <v>62</v>
      </c>
      <c r="G42" s="163">
        <f t="shared" si="6"/>
        <v>5</v>
      </c>
      <c r="H42" s="148">
        <f t="shared" ca="1" si="2"/>
        <v>5</v>
      </c>
      <c r="I42" s="163">
        <f t="shared" ca="1" si="10"/>
        <v>10</v>
      </c>
      <c r="J42" s="206"/>
    </row>
    <row r="43" spans="1:10" ht="16.8">
      <c r="A43" s="158" t="s">
        <v>261</v>
      </c>
      <c r="B43" s="159">
        <v>1</v>
      </c>
      <c r="C43" s="160" t="s">
        <v>32</v>
      </c>
      <c r="D43" s="161" t="str">
        <f>IF(C43="Str",'Personal File'!$C$10,IF(C43="Dex",'Personal File'!$C$11,IF(C43="Con",'Personal File'!$C$12,IF(C43="Int",'Personal File'!$C$13,IF(C43="Wis",'Personal File'!$C$14,IF(C43="Cha",'Personal File'!$C$15))))))</f>
        <v>+4</v>
      </c>
      <c r="E43" s="162" t="str">
        <f t="shared" ref="E43:E51" si="21">CONCATENATE(C43," (",D43,")")</f>
        <v>Int (+4)</v>
      </c>
      <c r="F43" s="163" t="s">
        <v>62</v>
      </c>
      <c r="G43" s="163">
        <f t="shared" ref="G43:G51" si="22">B43+D43+F43</f>
        <v>5</v>
      </c>
      <c r="H43" s="148">
        <f t="shared" ca="1" si="2"/>
        <v>11</v>
      </c>
      <c r="I43" s="163">
        <f t="shared" ref="I43:I51" ca="1" si="23">SUM(G43:H43)</f>
        <v>16</v>
      </c>
      <c r="J43" s="206"/>
    </row>
    <row r="44" spans="1:10" ht="16.8">
      <c r="A44" s="158" t="s">
        <v>262</v>
      </c>
      <c r="B44" s="159">
        <v>1</v>
      </c>
      <c r="C44" s="160" t="s">
        <v>32</v>
      </c>
      <c r="D44" s="161" t="str">
        <f>IF(C44="Str",'Personal File'!$C$10,IF(C44="Dex",'Personal File'!$C$11,IF(C44="Con",'Personal File'!$C$12,IF(C44="Int",'Personal File'!$C$13,IF(C44="Wis",'Personal File'!$C$14,IF(C44="Cha",'Personal File'!$C$15))))))</f>
        <v>+4</v>
      </c>
      <c r="E44" s="162" t="str">
        <f t="shared" si="21"/>
        <v>Int (+4)</v>
      </c>
      <c r="F44" s="163" t="s">
        <v>62</v>
      </c>
      <c r="G44" s="163">
        <f t="shared" si="22"/>
        <v>5</v>
      </c>
      <c r="H44" s="148">
        <f t="shared" ca="1" si="2"/>
        <v>12</v>
      </c>
      <c r="I44" s="163">
        <f t="shared" ca="1" si="23"/>
        <v>17</v>
      </c>
      <c r="J44" s="206"/>
    </row>
    <row r="45" spans="1:10" ht="16.8">
      <c r="A45" s="158" t="s">
        <v>263</v>
      </c>
      <c r="B45" s="159">
        <v>1</v>
      </c>
      <c r="C45" s="160" t="s">
        <v>32</v>
      </c>
      <c r="D45" s="161" t="str">
        <f>IF(C45="Str",'Personal File'!$C$10,IF(C45="Dex",'Personal File'!$C$11,IF(C45="Con",'Personal File'!$C$12,IF(C45="Int",'Personal File'!$C$13,IF(C45="Wis",'Personal File'!$C$14,IF(C45="Cha",'Personal File'!$C$15))))))</f>
        <v>+4</v>
      </c>
      <c r="E45" s="162" t="str">
        <f t="shared" si="21"/>
        <v>Int (+4)</v>
      </c>
      <c r="F45" s="163" t="s">
        <v>62</v>
      </c>
      <c r="G45" s="163">
        <f t="shared" si="22"/>
        <v>5</v>
      </c>
      <c r="H45" s="148">
        <f t="shared" ca="1" si="2"/>
        <v>10</v>
      </c>
      <c r="I45" s="163">
        <f t="shared" ca="1" si="23"/>
        <v>15</v>
      </c>
      <c r="J45" s="206"/>
    </row>
    <row r="46" spans="1:10" ht="16.8">
      <c r="A46" s="158" t="s">
        <v>266</v>
      </c>
      <c r="B46" s="159">
        <v>1</v>
      </c>
      <c r="C46" s="160" t="s">
        <v>32</v>
      </c>
      <c r="D46" s="161" t="str">
        <f>IF(C46="Str",'Personal File'!$C$10,IF(C46="Dex",'Personal File'!$C$11,IF(C46="Con",'Personal File'!$C$12,IF(C46="Int",'Personal File'!$C$13,IF(C46="Wis",'Personal File'!$C$14,IF(C46="Cha",'Personal File'!$C$15))))))</f>
        <v>+4</v>
      </c>
      <c r="E46" s="162" t="str">
        <f t="shared" si="21"/>
        <v>Int (+4)</v>
      </c>
      <c r="F46" s="163" t="s">
        <v>62</v>
      </c>
      <c r="G46" s="163">
        <f t="shared" si="22"/>
        <v>5</v>
      </c>
      <c r="H46" s="148">
        <f t="shared" ca="1" si="2"/>
        <v>19</v>
      </c>
      <c r="I46" s="163">
        <f t="shared" ca="1" si="23"/>
        <v>24</v>
      </c>
      <c r="J46" s="206"/>
    </row>
    <row r="47" spans="1:10" ht="16.8">
      <c r="A47" s="158" t="s">
        <v>267</v>
      </c>
      <c r="B47" s="159">
        <v>1</v>
      </c>
      <c r="C47" s="160" t="s">
        <v>32</v>
      </c>
      <c r="D47" s="161" t="str">
        <f>IF(C47="Str",'Personal File'!$C$10,IF(C47="Dex",'Personal File'!$C$11,IF(C47="Con",'Personal File'!$C$12,IF(C47="Int",'Personal File'!$C$13,IF(C47="Wis",'Personal File'!$C$14,IF(C47="Cha",'Personal File'!$C$15))))))</f>
        <v>+4</v>
      </c>
      <c r="E47" s="162" t="str">
        <f t="shared" si="21"/>
        <v>Int (+4)</v>
      </c>
      <c r="F47" s="163" t="s">
        <v>62</v>
      </c>
      <c r="G47" s="163">
        <f t="shared" si="22"/>
        <v>5</v>
      </c>
      <c r="H47" s="148">
        <f t="shared" ca="1" si="2"/>
        <v>4</v>
      </c>
      <c r="I47" s="163">
        <f t="shared" ca="1" si="23"/>
        <v>9</v>
      </c>
      <c r="J47" s="206"/>
    </row>
    <row r="48" spans="1:10" ht="16.8">
      <c r="A48" s="158" t="s">
        <v>268</v>
      </c>
      <c r="B48" s="159">
        <v>1</v>
      </c>
      <c r="C48" s="160" t="s">
        <v>32</v>
      </c>
      <c r="D48" s="161" t="str">
        <f>IF(C48="Str",'Personal File'!$C$10,IF(C48="Dex",'Personal File'!$C$11,IF(C48="Con",'Personal File'!$C$12,IF(C48="Int",'Personal File'!$C$13,IF(C48="Wis",'Personal File'!$C$14,IF(C48="Cha",'Personal File'!$C$15))))))</f>
        <v>+4</v>
      </c>
      <c r="E48" s="162" t="str">
        <f t="shared" si="21"/>
        <v>Int (+4)</v>
      </c>
      <c r="F48" s="163" t="s">
        <v>62</v>
      </c>
      <c r="G48" s="163">
        <f t="shared" si="22"/>
        <v>5</v>
      </c>
      <c r="H48" s="148">
        <f t="shared" ca="1" si="2"/>
        <v>13</v>
      </c>
      <c r="I48" s="163">
        <f t="shared" ca="1" si="23"/>
        <v>18</v>
      </c>
      <c r="J48" s="206"/>
    </row>
    <row r="49" spans="1:10" ht="16.8">
      <c r="A49" s="158" t="s">
        <v>269</v>
      </c>
      <c r="B49" s="159">
        <v>1</v>
      </c>
      <c r="C49" s="160" t="s">
        <v>32</v>
      </c>
      <c r="D49" s="161" t="str">
        <f>IF(C49="Str",'Personal File'!$C$10,IF(C49="Dex",'Personal File'!$C$11,IF(C49="Con",'Personal File'!$C$12,IF(C49="Int",'Personal File'!$C$13,IF(C49="Wis",'Personal File'!$C$14,IF(C49="Cha",'Personal File'!$C$15))))))</f>
        <v>+4</v>
      </c>
      <c r="E49" s="162" t="str">
        <f t="shared" si="21"/>
        <v>Int (+4)</v>
      </c>
      <c r="F49" s="163" t="s">
        <v>62</v>
      </c>
      <c r="G49" s="163">
        <f t="shared" si="22"/>
        <v>5</v>
      </c>
      <c r="H49" s="148">
        <f t="shared" ca="1" si="2"/>
        <v>15</v>
      </c>
      <c r="I49" s="163">
        <f t="shared" ca="1" si="23"/>
        <v>20</v>
      </c>
      <c r="J49" s="206"/>
    </row>
    <row r="50" spans="1:10" ht="16.8">
      <c r="A50" s="158" t="s">
        <v>265</v>
      </c>
      <c r="B50" s="159">
        <v>1</v>
      </c>
      <c r="C50" s="160" t="s">
        <v>32</v>
      </c>
      <c r="D50" s="161" t="str">
        <f>IF(C50="Str",'Personal File'!$C$10,IF(C50="Dex",'Personal File'!$C$11,IF(C50="Con",'Personal File'!$C$12,IF(C50="Int",'Personal File'!$C$13,IF(C50="Wis",'Personal File'!$C$14,IF(C50="Cha",'Personal File'!$C$15))))))</f>
        <v>+4</v>
      </c>
      <c r="E50" s="162" t="str">
        <f t="shared" si="21"/>
        <v>Int (+4)</v>
      </c>
      <c r="F50" s="163" t="s">
        <v>62</v>
      </c>
      <c r="G50" s="163">
        <f t="shared" si="22"/>
        <v>5</v>
      </c>
      <c r="H50" s="148">
        <f t="shared" ca="1" si="2"/>
        <v>13</v>
      </c>
      <c r="I50" s="163">
        <f t="shared" ca="1" si="23"/>
        <v>18</v>
      </c>
      <c r="J50" s="206"/>
    </row>
    <row r="51" spans="1:10" ht="16.8">
      <c r="A51" s="158" t="s">
        <v>264</v>
      </c>
      <c r="B51" s="159">
        <v>1</v>
      </c>
      <c r="C51" s="160" t="s">
        <v>32</v>
      </c>
      <c r="D51" s="161" t="str">
        <f>IF(C51="Str",'Personal File'!$C$10,IF(C51="Dex",'Personal File'!$C$11,IF(C51="Con",'Personal File'!$C$12,IF(C51="Int",'Personal File'!$C$13,IF(C51="Wis",'Personal File'!$C$14,IF(C51="Cha",'Personal File'!$C$15))))))</f>
        <v>+4</v>
      </c>
      <c r="E51" s="162" t="str">
        <f t="shared" si="21"/>
        <v>Int (+4)</v>
      </c>
      <c r="F51" s="163" t="s">
        <v>62</v>
      </c>
      <c r="G51" s="163">
        <f t="shared" si="22"/>
        <v>5</v>
      </c>
      <c r="H51" s="148">
        <f t="shared" ca="1" si="2"/>
        <v>9</v>
      </c>
      <c r="I51" s="163">
        <f t="shared" ca="1" si="23"/>
        <v>14</v>
      </c>
      <c r="J51" s="206"/>
    </row>
    <row r="52" spans="1:10" ht="16.8">
      <c r="A52" s="158" t="s">
        <v>56</v>
      </c>
      <c r="B52" s="159">
        <v>12</v>
      </c>
      <c r="C52" s="160" t="s">
        <v>32</v>
      </c>
      <c r="D52" s="161" t="str">
        <f>IF(C52="Str",'Personal File'!$C$10,IF(C52="Dex",'Personal File'!$C$11,IF(C52="Con",'Personal File'!$C$12,IF(C52="Int",'Personal File'!$C$13,IF(C52="Wis",'Personal File'!$C$14,IF(C52="Cha",'Personal File'!$C$15))))))</f>
        <v>+4</v>
      </c>
      <c r="E52" s="162" t="str">
        <f t="shared" si="8"/>
        <v>Int (+4)</v>
      </c>
      <c r="F52" s="163" t="s">
        <v>94</v>
      </c>
      <c r="G52" s="163">
        <f t="shared" si="6"/>
        <v>18</v>
      </c>
      <c r="H52" s="148">
        <f t="shared" ca="1" si="2"/>
        <v>14</v>
      </c>
      <c r="I52" s="163">
        <f t="shared" ca="1" si="10"/>
        <v>32</v>
      </c>
      <c r="J52" s="206"/>
    </row>
    <row r="53" spans="1:10" ht="16.8">
      <c r="A53" s="194" t="s">
        <v>57</v>
      </c>
      <c r="B53" s="124">
        <v>0</v>
      </c>
      <c r="C53" s="195" t="s">
        <v>33</v>
      </c>
      <c r="D53" s="196" t="str">
        <f>IF(C53="Str",'Personal File'!$C$10,IF(C53="Dex",'Personal File'!$C$11,IF(C53="Con",'Personal File'!$C$12,IF(C53="Int",'Personal File'!$C$13,IF(C53="Wis",'Personal File'!$C$14,IF(C53="Cha",'Personal File'!$C$15))))))</f>
        <v>+0</v>
      </c>
      <c r="E53" s="197" t="str">
        <f t="shared" si="8"/>
        <v>Wis (+0)</v>
      </c>
      <c r="F53" s="171" t="s">
        <v>94</v>
      </c>
      <c r="G53" s="171">
        <f t="shared" si="6"/>
        <v>2</v>
      </c>
      <c r="H53" s="148">
        <f t="shared" ca="1" si="2"/>
        <v>4</v>
      </c>
      <c r="I53" s="171">
        <f t="shared" ca="1" si="10"/>
        <v>6</v>
      </c>
      <c r="J53" s="172"/>
    </row>
    <row r="54" spans="1:10" ht="16.8">
      <c r="A54" s="194" t="s">
        <v>86</v>
      </c>
      <c r="B54" s="124">
        <v>0</v>
      </c>
      <c r="C54" s="195" t="s">
        <v>33</v>
      </c>
      <c r="D54" s="196" t="str">
        <f>IF(C54="Str",'Personal File'!$C$10,IF(C54="Dex",'Personal File'!$C$11,IF(C54="Con",'Personal File'!$C$12,IF(C54="Int",'Personal File'!$C$13,IF(C54="Wis",'Personal File'!$C$14,IF(C54="Cha",'Personal File'!$C$15))))))</f>
        <v>+0</v>
      </c>
      <c r="E54" s="197" t="str">
        <f t="shared" si="8"/>
        <v>Wis (+0)</v>
      </c>
      <c r="F54" s="171" t="s">
        <v>62</v>
      </c>
      <c r="G54" s="171">
        <f t="shared" si="6"/>
        <v>0</v>
      </c>
      <c r="H54" s="148">
        <f t="shared" ca="1" si="2"/>
        <v>10</v>
      </c>
      <c r="I54" s="171">
        <f t="shared" ca="1" si="10"/>
        <v>10</v>
      </c>
      <c r="J54" s="207"/>
    </row>
    <row r="55" spans="1:10" ht="16.8">
      <c r="A55" s="198" t="s">
        <v>22</v>
      </c>
      <c r="B55" s="124">
        <v>0</v>
      </c>
      <c r="C55" s="199" t="s">
        <v>35</v>
      </c>
      <c r="D55" s="200">
        <f>IF(C55="Str",'Personal File'!$C$10,IF(C55="Dex",'Personal File'!$C$11,IF(C55="Con",'Personal File'!$C$12,IF(C55="Int",'Personal File'!$C$13,IF(C55="Wis",'Personal File'!$C$14,IF(C55="Cha",'Personal File'!$C$15))))))</f>
        <v>-2</v>
      </c>
      <c r="E55" s="201" t="str">
        <f t="shared" si="8"/>
        <v>Str (-2)</v>
      </c>
      <c r="F55" s="171" t="s">
        <v>62</v>
      </c>
      <c r="G55" s="171">
        <f t="shared" si="6"/>
        <v>-2</v>
      </c>
      <c r="H55" s="148">
        <f t="shared" ca="1" si="2"/>
        <v>9</v>
      </c>
      <c r="I55" s="171">
        <f t="shared" ca="1" si="10"/>
        <v>7</v>
      </c>
      <c r="J55" s="172"/>
    </row>
    <row r="56" spans="1:10" ht="16.8">
      <c r="A56" s="339" t="s">
        <v>58</v>
      </c>
      <c r="B56" s="188">
        <v>0</v>
      </c>
      <c r="C56" s="340" t="s">
        <v>34</v>
      </c>
      <c r="D56" s="341" t="str">
        <f>IF(C56="Str",'Personal File'!$C$10,IF(C56="Dex",'Personal File'!$C$11,IF(C56="Con",'Personal File'!$C$12,IF(C56="Int",'Personal File'!$C$13,IF(C56="Wis",'Personal File'!$C$14,IF(C56="Cha",'Personal File'!$C$15))))))</f>
        <v>+2</v>
      </c>
      <c r="E56" s="342" t="str">
        <f t="shared" si="8"/>
        <v>Dex (+2)</v>
      </c>
      <c r="F56" s="192" t="s">
        <v>62</v>
      </c>
      <c r="G56" s="192">
        <f t="shared" si="6"/>
        <v>2</v>
      </c>
      <c r="H56" s="148">
        <f t="shared" ca="1" si="2"/>
        <v>8</v>
      </c>
      <c r="I56" s="192">
        <f t="shared" ca="1" si="10"/>
        <v>10</v>
      </c>
      <c r="J56" s="193"/>
    </row>
    <row r="57" spans="1:10" ht="16.8">
      <c r="A57" s="389" t="s">
        <v>59</v>
      </c>
      <c r="B57" s="159">
        <v>6</v>
      </c>
      <c r="C57" s="390" t="s">
        <v>30</v>
      </c>
      <c r="D57" s="391" t="str">
        <f>IF(C57="Str",'Personal File'!$C$10,IF(C57="Dex",'Personal File'!$C$11,IF(C57="Con",'Personal File'!$C$12,IF(C57="Int",'Personal File'!$C$13,IF(C57="Wis",'Personal File'!$C$14,IF(C57="Cha",'Personal File'!$C$15))))))</f>
        <v>+1</v>
      </c>
      <c r="E57" s="392" t="str">
        <f t="shared" si="8"/>
        <v>Cha (+1)</v>
      </c>
      <c r="F57" s="163" t="s">
        <v>62</v>
      </c>
      <c r="G57" s="163">
        <f t="shared" si="6"/>
        <v>7</v>
      </c>
      <c r="H57" s="148">
        <f t="shared" ca="1" si="2"/>
        <v>3</v>
      </c>
      <c r="I57" s="163">
        <f t="shared" ca="1" si="10"/>
        <v>10</v>
      </c>
      <c r="J57" s="164"/>
    </row>
    <row r="58" spans="1:10" ht="17.399999999999999" thickBot="1">
      <c r="A58" s="208" t="s">
        <v>60</v>
      </c>
      <c r="B58" s="209">
        <v>0</v>
      </c>
      <c r="C58" s="210" t="s">
        <v>34</v>
      </c>
      <c r="D58" s="211" t="str">
        <f>IF(C58="Str",'Personal File'!$C$10,IF(C58="Dex",'Personal File'!$C$11,IF(C58="Con",'Personal File'!$C$12,IF(C58="Int",'Personal File'!$C$13,IF(C58="Wis",'Personal File'!$C$14,IF(C58="Cha",'Personal File'!$C$15))))))</f>
        <v>+2</v>
      </c>
      <c r="E58" s="212" t="str">
        <f t="shared" si="8"/>
        <v>Dex (+2)</v>
      </c>
      <c r="F58" s="213" t="s">
        <v>62</v>
      </c>
      <c r="G58" s="213">
        <f t="shared" si="6"/>
        <v>2</v>
      </c>
      <c r="H58" s="214">
        <f t="shared" ref="H58" ca="1" si="24">RANDBETWEEN(1,20)</f>
        <v>16</v>
      </c>
      <c r="I58" s="213">
        <f t="shared" ca="1" si="10"/>
        <v>18</v>
      </c>
      <c r="J58" s="215"/>
    </row>
    <row r="59" spans="1:10" ht="16.2" thickTop="1">
      <c r="B59" s="217">
        <f>SUM(B6:B58)+B38</f>
        <v>78</v>
      </c>
      <c r="E59" s="217">
        <f>SUM(E60:E69)</f>
        <v>78</v>
      </c>
    </row>
    <row r="60" spans="1:10">
      <c r="B60" s="217"/>
      <c r="E60" s="44">
        <v>24</v>
      </c>
      <c r="F60" s="220" t="s">
        <v>243</v>
      </c>
    </row>
    <row r="61" spans="1:10">
      <c r="E61" s="44">
        <v>6</v>
      </c>
      <c r="F61" s="220" t="s">
        <v>270</v>
      </c>
    </row>
    <row r="62" spans="1:10">
      <c r="E62" s="44">
        <v>6</v>
      </c>
      <c r="F62" s="220" t="s">
        <v>244</v>
      </c>
    </row>
    <row r="63" spans="1:10">
      <c r="E63" s="44">
        <v>6</v>
      </c>
      <c r="F63" s="220" t="s">
        <v>245</v>
      </c>
    </row>
    <row r="64" spans="1:10">
      <c r="E64" s="44">
        <v>6</v>
      </c>
      <c r="F64" s="220" t="s">
        <v>271</v>
      </c>
    </row>
    <row r="65" spans="5:6">
      <c r="E65" s="44">
        <v>6</v>
      </c>
      <c r="F65" s="220" t="s">
        <v>272</v>
      </c>
    </row>
    <row r="66" spans="5:6">
      <c r="E66" s="44">
        <v>6</v>
      </c>
      <c r="F66" s="220" t="s">
        <v>273</v>
      </c>
    </row>
    <row r="67" spans="5:6">
      <c r="E67" s="44">
        <v>6</v>
      </c>
      <c r="F67" s="220" t="s">
        <v>338</v>
      </c>
    </row>
    <row r="68" spans="5:6">
      <c r="E68" s="44">
        <v>6</v>
      </c>
      <c r="F68" s="220" t="s">
        <v>345</v>
      </c>
    </row>
    <row r="69" spans="5:6">
      <c r="E69" s="44">
        <v>6</v>
      </c>
      <c r="F69" s="220" t="s">
        <v>353</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4"/>
  <sheetViews>
    <sheetView showGridLines="0" workbookViewId="0">
      <pane ySplit="2" topLeftCell="A3" activePane="bottomLeft" state="frozen"/>
      <selection pane="bottomLeft" activeCell="A3" sqref="A3"/>
    </sheetView>
  </sheetViews>
  <sheetFormatPr defaultColWidth="13" defaultRowHeight="15.6"/>
  <cols>
    <col min="1" max="1" width="22.09765625" style="143" bestFit="1" customWidth="1"/>
    <col min="2" max="2" width="6.19921875" style="143" bestFit="1" customWidth="1"/>
    <col min="3" max="3" width="13.3984375" style="144" bestFit="1" customWidth="1"/>
    <col min="4" max="4" width="11.19921875" style="144" bestFit="1" customWidth="1"/>
    <col min="5" max="5" width="10.59765625" style="144" bestFit="1" customWidth="1"/>
    <col min="6" max="6" width="13" style="144" bestFit="1" customWidth="1"/>
    <col min="7" max="7" width="13.3984375" style="144" bestFit="1" customWidth="1"/>
    <col min="8" max="8" width="20.8984375" style="143" bestFit="1" customWidth="1"/>
    <col min="9" max="9" width="5.59765625" style="127" bestFit="1" customWidth="1"/>
    <col min="10" max="16384" width="13" style="128"/>
  </cols>
  <sheetData>
    <row r="1" spans="1:9" ht="23.4" thickBot="1">
      <c r="A1" s="125" t="s">
        <v>185</v>
      </c>
      <c r="B1" s="126"/>
      <c r="C1" s="126"/>
      <c r="D1" s="126"/>
      <c r="E1" s="126"/>
      <c r="F1" s="126"/>
      <c r="G1" s="126"/>
      <c r="H1" s="126"/>
    </row>
    <row r="2" spans="1:9" s="132" customFormat="1" ht="31.8" thickBot="1">
      <c r="A2" s="129" t="s">
        <v>96</v>
      </c>
      <c r="B2" s="130" t="s">
        <v>99</v>
      </c>
      <c r="C2" s="130" t="s">
        <v>162</v>
      </c>
      <c r="D2" s="131" t="s">
        <v>163</v>
      </c>
      <c r="E2" s="131" t="s">
        <v>164</v>
      </c>
      <c r="F2" s="130" t="s">
        <v>165</v>
      </c>
      <c r="G2" s="130" t="s">
        <v>166</v>
      </c>
      <c r="H2" s="393" t="s">
        <v>215</v>
      </c>
      <c r="I2" s="394" t="s">
        <v>216</v>
      </c>
    </row>
    <row r="3" spans="1:9" ht="16.8">
      <c r="A3" s="133" t="s">
        <v>151</v>
      </c>
      <c r="B3" s="134">
        <v>0</v>
      </c>
      <c r="C3" s="18" t="s">
        <v>167</v>
      </c>
      <c r="D3" s="15" t="s">
        <v>168</v>
      </c>
      <c r="E3" s="301" t="s">
        <v>169</v>
      </c>
      <c r="F3" s="16" t="s">
        <v>170</v>
      </c>
      <c r="G3" s="16" t="s">
        <v>171</v>
      </c>
      <c r="H3" s="16" t="s">
        <v>214</v>
      </c>
      <c r="I3" s="19">
        <v>196</v>
      </c>
    </row>
    <row r="4" spans="1:9" ht="16.8">
      <c r="A4" s="297" t="s">
        <v>224</v>
      </c>
      <c r="B4" s="134">
        <v>0</v>
      </c>
      <c r="C4" s="298" t="s">
        <v>174</v>
      </c>
      <c r="D4" s="299" t="s">
        <v>168</v>
      </c>
      <c r="E4" s="300" t="s">
        <v>169</v>
      </c>
      <c r="F4" s="300" t="s">
        <v>170</v>
      </c>
      <c r="G4" s="300" t="s">
        <v>178</v>
      </c>
      <c r="H4" s="300" t="s">
        <v>218</v>
      </c>
      <c r="I4" s="19">
        <v>9</v>
      </c>
    </row>
    <row r="5" spans="1:9" ht="16.8">
      <c r="A5" s="133" t="s">
        <v>186</v>
      </c>
      <c r="B5" s="134">
        <v>0</v>
      </c>
      <c r="C5" s="18" t="s">
        <v>187</v>
      </c>
      <c r="D5" s="15" t="s">
        <v>168</v>
      </c>
      <c r="E5" s="301" t="s">
        <v>169</v>
      </c>
      <c r="F5" s="16" t="s">
        <v>188</v>
      </c>
      <c r="G5" s="16" t="s">
        <v>189</v>
      </c>
      <c r="H5" s="16" t="s">
        <v>214</v>
      </c>
      <c r="I5" s="19">
        <v>201</v>
      </c>
    </row>
    <row r="6" spans="1:9" ht="16.8">
      <c r="A6" s="297" t="s">
        <v>225</v>
      </c>
      <c r="B6" s="134">
        <v>0</v>
      </c>
      <c r="C6" s="298" t="s">
        <v>167</v>
      </c>
      <c r="D6" s="299" t="s">
        <v>168</v>
      </c>
      <c r="E6" s="300" t="s">
        <v>169</v>
      </c>
      <c r="F6" s="300" t="s">
        <v>170</v>
      </c>
      <c r="G6" s="300" t="s">
        <v>184</v>
      </c>
      <c r="H6" s="300" t="s">
        <v>218</v>
      </c>
      <c r="I6" s="302">
        <v>42</v>
      </c>
    </row>
    <row r="7" spans="1:9" ht="16.8">
      <c r="A7" s="133" t="s">
        <v>115</v>
      </c>
      <c r="B7" s="134">
        <v>0</v>
      </c>
      <c r="C7" s="18" t="s">
        <v>190</v>
      </c>
      <c r="D7" s="15" t="s">
        <v>168</v>
      </c>
      <c r="E7" s="16" t="s">
        <v>169</v>
      </c>
      <c r="F7" s="16" t="s">
        <v>177</v>
      </c>
      <c r="G7" s="16" t="s">
        <v>181</v>
      </c>
      <c r="H7" s="16" t="s">
        <v>214</v>
      </c>
      <c r="I7" s="19">
        <v>216</v>
      </c>
    </row>
    <row r="8" spans="1:9" ht="16.8">
      <c r="A8" s="133" t="s">
        <v>150</v>
      </c>
      <c r="B8" s="134">
        <v>0</v>
      </c>
      <c r="C8" s="18" t="s">
        <v>187</v>
      </c>
      <c r="D8" s="15" t="s">
        <v>168</v>
      </c>
      <c r="E8" s="16" t="s">
        <v>169</v>
      </c>
      <c r="F8" s="16" t="s">
        <v>192</v>
      </c>
      <c r="G8" s="16" t="s">
        <v>183</v>
      </c>
      <c r="H8" s="16" t="s">
        <v>214</v>
      </c>
      <c r="I8" s="19">
        <v>219</v>
      </c>
    </row>
    <row r="9" spans="1:9" ht="16.8">
      <c r="A9" s="133" t="s">
        <v>193</v>
      </c>
      <c r="B9" s="134">
        <v>0</v>
      </c>
      <c r="C9" s="20" t="s">
        <v>194</v>
      </c>
      <c r="D9" s="15" t="s">
        <v>168</v>
      </c>
      <c r="E9" s="301" t="s">
        <v>169</v>
      </c>
      <c r="F9" s="16" t="s">
        <v>170</v>
      </c>
      <c r="G9" s="16" t="s">
        <v>171</v>
      </c>
      <c r="H9" s="16" t="s">
        <v>214</v>
      </c>
      <c r="I9" s="19">
        <v>219</v>
      </c>
    </row>
    <row r="10" spans="1:9" ht="16.8">
      <c r="A10" s="133" t="s">
        <v>172</v>
      </c>
      <c r="B10" s="134">
        <v>0</v>
      </c>
      <c r="C10" s="18" t="s">
        <v>173</v>
      </c>
      <c r="D10" s="14" t="s">
        <v>168</v>
      </c>
      <c r="E10" s="303" t="s">
        <v>169</v>
      </c>
      <c r="F10" s="136" t="s">
        <v>170</v>
      </c>
      <c r="G10" s="136" t="s">
        <v>171</v>
      </c>
      <c r="H10" s="136" t="s">
        <v>218</v>
      </c>
      <c r="I10" s="19">
        <v>78</v>
      </c>
    </row>
    <row r="11" spans="1:9" ht="16.8">
      <c r="A11" s="133" t="s">
        <v>196</v>
      </c>
      <c r="B11" s="134">
        <v>0</v>
      </c>
      <c r="C11" s="20" t="s">
        <v>173</v>
      </c>
      <c r="D11" s="15" t="s">
        <v>197</v>
      </c>
      <c r="E11" s="301" t="s">
        <v>169</v>
      </c>
      <c r="F11" s="16" t="s">
        <v>170</v>
      </c>
      <c r="G11" s="16" t="s">
        <v>171</v>
      </c>
      <c r="H11" s="16" t="s">
        <v>214</v>
      </c>
      <c r="I11" s="19">
        <v>232</v>
      </c>
    </row>
    <row r="12" spans="1:9" s="127" customFormat="1" ht="16.8">
      <c r="A12" s="133" t="s">
        <v>116</v>
      </c>
      <c r="B12" s="134">
        <v>0</v>
      </c>
      <c r="C12" s="18" t="s">
        <v>190</v>
      </c>
      <c r="D12" s="15" t="s">
        <v>182</v>
      </c>
      <c r="E12" s="301" t="s">
        <v>169</v>
      </c>
      <c r="F12" s="16" t="s">
        <v>170</v>
      </c>
      <c r="G12" s="16" t="s">
        <v>184</v>
      </c>
      <c r="H12" s="16" t="s">
        <v>214</v>
      </c>
      <c r="I12" s="19">
        <v>235</v>
      </c>
    </row>
    <row r="13" spans="1:9" s="127" customFormat="1" ht="16.8">
      <c r="A13" s="297" t="s">
        <v>226</v>
      </c>
      <c r="B13" s="134">
        <v>0</v>
      </c>
      <c r="C13" s="298" t="s">
        <v>174</v>
      </c>
      <c r="D13" s="299" t="s">
        <v>182</v>
      </c>
      <c r="E13" s="300" t="s">
        <v>169</v>
      </c>
      <c r="F13" s="300" t="s">
        <v>175</v>
      </c>
      <c r="G13" s="300" t="s">
        <v>171</v>
      </c>
      <c r="H13" s="300" t="s">
        <v>218</v>
      </c>
      <c r="I13" s="302">
        <v>130</v>
      </c>
    </row>
    <row r="14" spans="1:9" ht="16.8">
      <c r="A14" s="297" t="s">
        <v>227</v>
      </c>
      <c r="B14" s="134">
        <v>0</v>
      </c>
      <c r="C14" s="298" t="s">
        <v>174</v>
      </c>
      <c r="D14" s="299" t="s">
        <v>228</v>
      </c>
      <c r="E14" s="300" t="s">
        <v>169</v>
      </c>
      <c r="F14" s="300" t="s">
        <v>175</v>
      </c>
      <c r="G14" s="300" t="s">
        <v>171</v>
      </c>
      <c r="H14" s="300" t="s">
        <v>218</v>
      </c>
      <c r="I14" s="302">
        <v>130</v>
      </c>
    </row>
    <row r="15" spans="1:9" ht="16.8">
      <c r="A15" s="133" t="s">
        <v>152</v>
      </c>
      <c r="B15" s="134">
        <v>0</v>
      </c>
      <c r="C15" s="20" t="s">
        <v>173</v>
      </c>
      <c r="D15" s="15" t="s">
        <v>198</v>
      </c>
      <c r="E15" s="301" t="s">
        <v>169</v>
      </c>
      <c r="F15" s="16" t="s">
        <v>175</v>
      </c>
      <c r="G15" s="16" t="s">
        <v>178</v>
      </c>
      <c r="H15" s="16" t="s">
        <v>214</v>
      </c>
      <c r="I15" s="19">
        <v>248</v>
      </c>
    </row>
    <row r="16" spans="1:9" ht="16.8">
      <c r="A16" s="133" t="s">
        <v>144</v>
      </c>
      <c r="B16" s="134">
        <v>0</v>
      </c>
      <c r="C16" s="18" t="s">
        <v>174</v>
      </c>
      <c r="D16" s="15" t="s">
        <v>168</v>
      </c>
      <c r="E16" s="301" t="s">
        <v>169</v>
      </c>
      <c r="F16" s="16" t="s">
        <v>170</v>
      </c>
      <c r="G16" s="16" t="s">
        <v>16</v>
      </c>
      <c r="H16" s="16" t="s">
        <v>214</v>
      </c>
      <c r="I16" s="19">
        <v>249</v>
      </c>
    </row>
    <row r="17" spans="1:9" ht="16.8">
      <c r="A17" s="133" t="s">
        <v>199</v>
      </c>
      <c r="B17" s="134">
        <v>0</v>
      </c>
      <c r="C17" s="20" t="s">
        <v>174</v>
      </c>
      <c r="D17" s="15" t="s">
        <v>168</v>
      </c>
      <c r="E17" s="301" t="s">
        <v>169</v>
      </c>
      <c r="F17" s="16" t="s">
        <v>200</v>
      </c>
      <c r="G17" s="16" t="s">
        <v>171</v>
      </c>
      <c r="H17" s="16" t="s">
        <v>214</v>
      </c>
      <c r="I17" s="19">
        <v>253</v>
      </c>
    </row>
    <row r="18" spans="1:9" ht="16.8">
      <c r="A18" s="133" t="s">
        <v>145</v>
      </c>
      <c r="B18" s="134">
        <v>0</v>
      </c>
      <c r="C18" s="18" t="s">
        <v>174</v>
      </c>
      <c r="D18" s="15" t="s">
        <v>176</v>
      </c>
      <c r="E18" s="301" t="s">
        <v>169</v>
      </c>
      <c r="F18" s="16" t="s">
        <v>177</v>
      </c>
      <c r="G18" s="16" t="s">
        <v>178</v>
      </c>
      <c r="H18" s="16" t="s">
        <v>214</v>
      </c>
      <c r="I18" s="19">
        <v>253</v>
      </c>
    </row>
    <row r="19" spans="1:9" ht="16.8">
      <c r="A19" s="133" t="s">
        <v>229</v>
      </c>
      <c r="B19" s="134">
        <v>0</v>
      </c>
      <c r="C19" s="298" t="s">
        <v>174</v>
      </c>
      <c r="D19" s="299" t="s">
        <v>168</v>
      </c>
      <c r="E19" s="300" t="s">
        <v>169</v>
      </c>
      <c r="F19" s="300" t="s">
        <v>170</v>
      </c>
      <c r="G19" s="300" t="s">
        <v>183</v>
      </c>
      <c r="H19" s="300" t="s">
        <v>230</v>
      </c>
      <c r="I19" s="302">
        <v>100</v>
      </c>
    </row>
    <row r="20" spans="1:9" ht="16.8">
      <c r="A20" s="133" t="s">
        <v>201</v>
      </c>
      <c r="B20" s="134">
        <v>0</v>
      </c>
      <c r="C20" s="18" t="s">
        <v>174</v>
      </c>
      <c r="D20" s="15" t="s">
        <v>176</v>
      </c>
      <c r="E20" s="301" t="s">
        <v>169</v>
      </c>
      <c r="F20" s="16" t="s">
        <v>170</v>
      </c>
      <c r="G20" s="16" t="s">
        <v>171</v>
      </c>
      <c r="H20" s="16" t="s">
        <v>214</v>
      </c>
      <c r="I20" s="19">
        <v>258</v>
      </c>
    </row>
    <row r="21" spans="1:9" ht="16.8">
      <c r="A21" s="133" t="s">
        <v>117</v>
      </c>
      <c r="B21" s="134">
        <v>0</v>
      </c>
      <c r="C21" s="18" t="s">
        <v>187</v>
      </c>
      <c r="D21" s="15" t="s">
        <v>168</v>
      </c>
      <c r="E21" s="301" t="s">
        <v>169</v>
      </c>
      <c r="F21" s="16" t="s">
        <v>200</v>
      </c>
      <c r="G21" s="16" t="s">
        <v>202</v>
      </c>
      <c r="H21" s="16" t="s">
        <v>214</v>
      </c>
      <c r="I21" s="19">
        <v>264</v>
      </c>
    </row>
    <row r="22" spans="1:9" ht="16.8">
      <c r="A22" s="133" t="s">
        <v>179</v>
      </c>
      <c r="B22" s="134">
        <v>0</v>
      </c>
      <c r="C22" s="18" t="s">
        <v>167</v>
      </c>
      <c r="D22" s="15" t="s">
        <v>168</v>
      </c>
      <c r="E22" s="301" t="s">
        <v>169</v>
      </c>
      <c r="F22" s="16" t="s">
        <v>170</v>
      </c>
      <c r="G22" s="16" t="s">
        <v>171</v>
      </c>
      <c r="H22" s="16" t="s">
        <v>214</v>
      </c>
      <c r="I22" s="19">
        <v>269</v>
      </c>
    </row>
    <row r="23" spans="1:9" ht="16.8">
      <c r="A23" s="133" t="s">
        <v>203</v>
      </c>
      <c r="B23" s="134">
        <v>0</v>
      </c>
      <c r="C23" s="20" t="s">
        <v>187</v>
      </c>
      <c r="D23" s="15" t="s">
        <v>176</v>
      </c>
      <c r="E23" s="301" t="s">
        <v>169</v>
      </c>
      <c r="F23" s="16" t="s">
        <v>195</v>
      </c>
      <c r="G23" s="16" t="s">
        <v>178</v>
      </c>
      <c r="H23" s="16" t="s">
        <v>214</v>
      </c>
      <c r="I23" s="19">
        <v>269</v>
      </c>
    </row>
    <row r="24" spans="1:9" ht="16.8">
      <c r="A24" s="133" t="s">
        <v>231</v>
      </c>
      <c r="B24" s="134">
        <v>0</v>
      </c>
      <c r="C24" s="20" t="s">
        <v>174</v>
      </c>
      <c r="D24" s="15" t="s">
        <v>168</v>
      </c>
      <c r="E24" s="301" t="s">
        <v>169</v>
      </c>
      <c r="F24" s="16" t="s">
        <v>175</v>
      </c>
      <c r="G24" s="16" t="s">
        <v>171</v>
      </c>
      <c r="H24" s="16" t="s">
        <v>232</v>
      </c>
      <c r="I24" s="19">
        <v>96</v>
      </c>
    </row>
    <row r="25" spans="1:9" ht="16.8">
      <c r="A25" s="133" t="s">
        <v>204</v>
      </c>
      <c r="B25" s="134">
        <v>0</v>
      </c>
      <c r="C25" s="18" t="s">
        <v>180</v>
      </c>
      <c r="D25" s="15" t="s">
        <v>205</v>
      </c>
      <c r="E25" s="301" t="s">
        <v>169</v>
      </c>
      <c r="F25" s="16" t="s">
        <v>175</v>
      </c>
      <c r="G25" s="16" t="s">
        <v>181</v>
      </c>
      <c r="H25" s="16" t="s">
        <v>214</v>
      </c>
      <c r="I25" s="19">
        <v>272</v>
      </c>
    </row>
    <row r="26" spans="1:9" ht="16.8">
      <c r="A26" s="297" t="s">
        <v>233</v>
      </c>
      <c r="B26" s="134">
        <v>0</v>
      </c>
      <c r="C26" s="298" t="s">
        <v>190</v>
      </c>
      <c r="D26" s="299" t="s">
        <v>228</v>
      </c>
      <c r="E26" s="300" t="s">
        <v>169</v>
      </c>
      <c r="F26" s="300" t="s">
        <v>170</v>
      </c>
      <c r="G26" s="300" t="s">
        <v>183</v>
      </c>
      <c r="H26" s="300" t="s">
        <v>218</v>
      </c>
      <c r="I26" s="302">
        <v>190</v>
      </c>
    </row>
    <row r="27" spans="1:9" ht="16.8">
      <c r="A27" s="133" t="s">
        <v>206</v>
      </c>
      <c r="B27" s="134">
        <v>0</v>
      </c>
      <c r="C27" s="18" t="s">
        <v>173</v>
      </c>
      <c r="D27" s="15" t="s">
        <v>168</v>
      </c>
      <c r="E27" s="301" t="s">
        <v>169</v>
      </c>
      <c r="F27" s="16" t="s">
        <v>170</v>
      </c>
      <c r="G27" s="16" t="s">
        <v>171</v>
      </c>
      <c r="H27" s="16" t="s">
        <v>218</v>
      </c>
      <c r="I27" s="19">
        <v>195</v>
      </c>
    </row>
    <row r="28" spans="1:9" ht="16.8">
      <c r="A28" s="297" t="s">
        <v>234</v>
      </c>
      <c r="B28" s="134">
        <v>0</v>
      </c>
      <c r="C28" s="298" t="s">
        <v>174</v>
      </c>
      <c r="D28" s="15" t="s">
        <v>182</v>
      </c>
      <c r="E28" s="300" t="s">
        <v>169</v>
      </c>
      <c r="F28" s="300" t="s">
        <v>175</v>
      </c>
      <c r="G28" s="300" t="s">
        <v>171</v>
      </c>
      <c r="H28" s="300" t="s">
        <v>218</v>
      </c>
      <c r="I28" s="302">
        <v>206</v>
      </c>
    </row>
    <row r="29" spans="1:9" ht="16.8">
      <c r="A29" s="137" t="s">
        <v>235</v>
      </c>
      <c r="B29" s="138">
        <v>0</v>
      </c>
      <c r="C29" s="304" t="s">
        <v>190</v>
      </c>
      <c r="D29" s="17" t="s">
        <v>168</v>
      </c>
      <c r="E29" s="305" t="s">
        <v>169</v>
      </c>
      <c r="F29" s="140" t="s">
        <v>170</v>
      </c>
      <c r="G29" s="140" t="s">
        <v>184</v>
      </c>
      <c r="H29" s="140" t="s">
        <v>230</v>
      </c>
      <c r="I29" s="141">
        <v>108</v>
      </c>
    </row>
    <row r="30" spans="1:9" ht="16.8">
      <c r="A30" s="133" t="s">
        <v>309</v>
      </c>
      <c r="B30" s="353">
        <v>1</v>
      </c>
      <c r="C30" s="20" t="s">
        <v>194</v>
      </c>
      <c r="D30" s="15" t="s">
        <v>205</v>
      </c>
      <c r="E30" s="301" t="s">
        <v>169</v>
      </c>
      <c r="F30" s="16" t="s">
        <v>195</v>
      </c>
      <c r="G30" s="16" t="s">
        <v>178</v>
      </c>
      <c r="H30" s="16" t="s">
        <v>214</v>
      </c>
      <c r="I30" s="19">
        <v>212</v>
      </c>
    </row>
    <row r="31" spans="1:9" ht="16.8">
      <c r="A31" s="133" t="s">
        <v>306</v>
      </c>
      <c r="B31" s="353">
        <v>1</v>
      </c>
      <c r="C31" s="20" t="s">
        <v>174</v>
      </c>
      <c r="D31" s="15" t="s">
        <v>182</v>
      </c>
      <c r="E31" s="301" t="s">
        <v>319</v>
      </c>
      <c r="F31" s="16" t="s">
        <v>170</v>
      </c>
      <c r="G31" s="16" t="s">
        <v>183</v>
      </c>
      <c r="H31" s="16" t="s">
        <v>214</v>
      </c>
      <c r="I31" s="19">
        <v>227</v>
      </c>
    </row>
    <row r="32" spans="1:9" ht="16.8">
      <c r="A32" s="133" t="s">
        <v>308</v>
      </c>
      <c r="B32" s="353">
        <v>1</v>
      </c>
      <c r="C32" s="20" t="s">
        <v>174</v>
      </c>
      <c r="D32" s="15" t="s">
        <v>168</v>
      </c>
      <c r="E32" s="301" t="s">
        <v>169</v>
      </c>
      <c r="F32" s="16" t="s">
        <v>195</v>
      </c>
      <c r="G32" s="16" t="s">
        <v>183</v>
      </c>
      <c r="H32" s="16" t="s">
        <v>214</v>
      </c>
      <c r="I32" s="19">
        <v>228</v>
      </c>
    </row>
    <row r="33" spans="1:9" ht="16.8">
      <c r="A33" s="133" t="s">
        <v>356</v>
      </c>
      <c r="B33" s="353">
        <v>1</v>
      </c>
      <c r="C33" s="20" t="s">
        <v>173</v>
      </c>
      <c r="D33" s="15" t="s">
        <v>168</v>
      </c>
      <c r="E33" s="301" t="s">
        <v>169</v>
      </c>
      <c r="F33" s="16" t="s">
        <v>377</v>
      </c>
      <c r="G33" s="16" t="s">
        <v>171</v>
      </c>
      <c r="H33" s="16" t="s">
        <v>329</v>
      </c>
      <c r="I33" s="19">
        <v>108</v>
      </c>
    </row>
    <row r="34" spans="1:9" ht="16.8">
      <c r="A34" s="133" t="s">
        <v>154</v>
      </c>
      <c r="B34" s="353">
        <v>1</v>
      </c>
      <c r="C34" s="20" t="s">
        <v>167</v>
      </c>
      <c r="D34" s="15" t="s">
        <v>176</v>
      </c>
      <c r="E34" s="135" t="s">
        <v>169</v>
      </c>
      <c r="F34" s="16" t="s">
        <v>175</v>
      </c>
      <c r="G34" s="16" t="s">
        <v>207</v>
      </c>
      <c r="H34" s="16" t="s">
        <v>214</v>
      </c>
      <c r="I34" s="19" t="s">
        <v>217</v>
      </c>
    </row>
    <row r="35" spans="1:9" ht="16.8">
      <c r="A35" s="133" t="s">
        <v>284</v>
      </c>
      <c r="B35" s="353">
        <v>1</v>
      </c>
      <c r="C35" s="20" t="s">
        <v>173</v>
      </c>
      <c r="D35" s="15" t="s">
        <v>168</v>
      </c>
      <c r="E35" s="301" t="s">
        <v>169</v>
      </c>
      <c r="F35" s="16" t="s">
        <v>177</v>
      </c>
      <c r="G35" s="16" t="s">
        <v>171</v>
      </c>
      <c r="H35" s="16" t="s">
        <v>214</v>
      </c>
      <c r="I35" s="270">
        <v>251</v>
      </c>
    </row>
    <row r="36" spans="1:9" ht="16.8">
      <c r="A36" s="133" t="s">
        <v>305</v>
      </c>
      <c r="B36" s="353">
        <v>1</v>
      </c>
      <c r="C36" s="20" t="s">
        <v>167</v>
      </c>
      <c r="D36" s="15" t="s">
        <v>182</v>
      </c>
      <c r="E36" s="301" t="s">
        <v>169</v>
      </c>
      <c r="F36" s="16" t="s">
        <v>170</v>
      </c>
      <c r="G36" s="16" t="s">
        <v>322</v>
      </c>
      <c r="H36" s="16" t="s">
        <v>214</v>
      </c>
      <c r="I36" s="19">
        <v>256</v>
      </c>
    </row>
    <row r="37" spans="1:9" ht="16.8">
      <c r="A37" s="133" t="s">
        <v>287</v>
      </c>
      <c r="B37" s="353">
        <v>1</v>
      </c>
      <c r="C37" s="20" t="s">
        <v>167</v>
      </c>
      <c r="D37" s="15" t="s">
        <v>168</v>
      </c>
      <c r="E37" s="301" t="s">
        <v>169</v>
      </c>
      <c r="F37" s="16" t="s">
        <v>314</v>
      </c>
      <c r="G37" s="16" t="s">
        <v>183</v>
      </c>
      <c r="H37" s="16" t="s">
        <v>214</v>
      </c>
      <c r="I37" s="19">
        <v>258</v>
      </c>
    </row>
    <row r="38" spans="1:9" ht="16.8">
      <c r="A38" s="133" t="s">
        <v>307</v>
      </c>
      <c r="B38" s="353">
        <v>1</v>
      </c>
      <c r="C38" s="20" t="s">
        <v>174</v>
      </c>
      <c r="D38" s="15" t="s">
        <v>182</v>
      </c>
      <c r="E38" s="301" t="s">
        <v>169</v>
      </c>
      <c r="F38" s="16" t="s">
        <v>170</v>
      </c>
      <c r="G38" s="16" t="s">
        <v>183</v>
      </c>
      <c r="H38" s="16" t="s">
        <v>214</v>
      </c>
      <c r="I38" s="19">
        <v>269</v>
      </c>
    </row>
    <row r="39" spans="1:9" ht="16.8">
      <c r="A39" s="133" t="s">
        <v>153</v>
      </c>
      <c r="B39" s="353">
        <v>1</v>
      </c>
      <c r="C39" s="20" t="s">
        <v>180</v>
      </c>
      <c r="D39" s="15" t="s">
        <v>168</v>
      </c>
      <c r="E39" s="301" t="s">
        <v>169</v>
      </c>
      <c r="F39" s="16" t="s">
        <v>195</v>
      </c>
      <c r="G39" s="16" t="s">
        <v>183</v>
      </c>
      <c r="H39" s="16" t="s">
        <v>214</v>
      </c>
      <c r="I39" s="270">
        <v>278</v>
      </c>
    </row>
    <row r="40" spans="1:9" ht="16.8">
      <c r="A40" s="133" t="s">
        <v>331</v>
      </c>
      <c r="B40" s="353">
        <v>1</v>
      </c>
      <c r="C40" s="20" t="s">
        <v>173</v>
      </c>
      <c r="D40" s="299" t="s">
        <v>168</v>
      </c>
      <c r="E40" s="300" t="s">
        <v>169</v>
      </c>
      <c r="F40" s="16" t="s">
        <v>170</v>
      </c>
      <c r="G40" s="16" t="s">
        <v>171</v>
      </c>
      <c r="H40" s="16" t="s">
        <v>218</v>
      </c>
      <c r="I40" s="19">
        <v>195</v>
      </c>
    </row>
    <row r="41" spans="1:9" ht="16.8">
      <c r="A41" s="133" t="s">
        <v>288</v>
      </c>
      <c r="B41" s="353">
        <v>1</v>
      </c>
      <c r="C41" s="20" t="s">
        <v>173</v>
      </c>
      <c r="D41" s="15" t="s">
        <v>182</v>
      </c>
      <c r="E41" s="301" t="s">
        <v>169</v>
      </c>
      <c r="F41" s="16" t="s">
        <v>170</v>
      </c>
      <c r="G41" s="16" t="s">
        <v>207</v>
      </c>
      <c r="H41" s="16" t="s">
        <v>214</v>
      </c>
      <c r="I41" s="19">
        <v>294</v>
      </c>
    </row>
    <row r="42" spans="1:9" ht="16.8">
      <c r="A42" s="137" t="s">
        <v>285</v>
      </c>
      <c r="B42" s="354">
        <v>1</v>
      </c>
      <c r="C42" s="304" t="s">
        <v>167</v>
      </c>
      <c r="D42" s="17" t="s">
        <v>182</v>
      </c>
      <c r="E42" s="139" t="s">
        <v>169</v>
      </c>
      <c r="F42" s="140" t="s">
        <v>170</v>
      </c>
      <c r="G42" s="140" t="s">
        <v>207</v>
      </c>
      <c r="H42" s="140" t="s">
        <v>214</v>
      </c>
      <c r="I42" s="141">
        <v>297</v>
      </c>
    </row>
    <row r="43" spans="1:9" ht="16.8">
      <c r="A43" s="133" t="s">
        <v>330</v>
      </c>
      <c r="B43" s="271">
        <v>2</v>
      </c>
      <c r="C43" s="20" t="s">
        <v>174</v>
      </c>
      <c r="D43" s="15" t="s">
        <v>318</v>
      </c>
      <c r="E43" s="301" t="s">
        <v>169</v>
      </c>
      <c r="F43" s="16" t="s">
        <v>175</v>
      </c>
      <c r="G43" s="16" t="s">
        <v>183</v>
      </c>
      <c r="H43" s="16" t="s">
        <v>214</v>
      </c>
      <c r="I43" s="36">
        <v>203</v>
      </c>
    </row>
    <row r="44" spans="1:9" ht="16.8">
      <c r="A44" s="133" t="s">
        <v>357</v>
      </c>
      <c r="B44" s="271">
        <v>2</v>
      </c>
      <c r="C44" s="20" t="s">
        <v>180</v>
      </c>
      <c r="D44" s="15" t="s">
        <v>182</v>
      </c>
      <c r="E44" s="301" t="s">
        <v>169</v>
      </c>
      <c r="F44" s="136" t="s">
        <v>170</v>
      </c>
      <c r="G44" s="16" t="s">
        <v>171</v>
      </c>
      <c r="H44" s="16" t="s">
        <v>329</v>
      </c>
      <c r="I44" s="36">
        <v>96</v>
      </c>
    </row>
    <row r="45" spans="1:9" ht="16.8">
      <c r="A45" s="133" t="s">
        <v>332</v>
      </c>
      <c r="B45" s="271">
        <v>2</v>
      </c>
      <c r="C45" s="20" t="s">
        <v>173</v>
      </c>
      <c r="D45" s="299" t="s">
        <v>168</v>
      </c>
      <c r="E45" s="301" t="s">
        <v>169</v>
      </c>
      <c r="F45" s="16" t="s">
        <v>177</v>
      </c>
      <c r="G45" s="16" t="s">
        <v>171</v>
      </c>
      <c r="H45" s="16" t="s">
        <v>218</v>
      </c>
      <c r="I45" s="36">
        <v>31</v>
      </c>
    </row>
    <row r="46" spans="1:9" ht="16.8">
      <c r="A46" s="133" t="s">
        <v>299</v>
      </c>
      <c r="B46" s="271">
        <v>2</v>
      </c>
      <c r="C46" s="20" t="s">
        <v>174</v>
      </c>
      <c r="D46" s="15" t="s">
        <v>182</v>
      </c>
      <c r="E46" s="301" t="s">
        <v>169</v>
      </c>
      <c r="F46" s="16" t="s">
        <v>175</v>
      </c>
      <c r="G46" s="16" t="s">
        <v>183</v>
      </c>
      <c r="H46" s="16" t="s">
        <v>214</v>
      </c>
      <c r="I46" s="36">
        <v>208</v>
      </c>
    </row>
    <row r="47" spans="1:9" ht="16.8">
      <c r="A47" s="133" t="s">
        <v>290</v>
      </c>
      <c r="B47" s="271">
        <v>2</v>
      </c>
      <c r="C47" s="20" t="s">
        <v>173</v>
      </c>
      <c r="D47" s="15" t="s">
        <v>205</v>
      </c>
      <c r="E47" s="301" t="s">
        <v>169</v>
      </c>
      <c r="F47" s="16" t="s">
        <v>177</v>
      </c>
      <c r="G47" s="16" t="s">
        <v>184</v>
      </c>
      <c r="H47" s="16" t="s">
        <v>214</v>
      </c>
      <c r="I47" s="19">
        <v>232</v>
      </c>
    </row>
    <row r="48" spans="1:9" ht="16.8">
      <c r="A48" s="133" t="s">
        <v>315</v>
      </c>
      <c r="B48" s="271">
        <v>2</v>
      </c>
      <c r="C48" s="20" t="s">
        <v>173</v>
      </c>
      <c r="D48" s="14" t="s">
        <v>182</v>
      </c>
      <c r="E48" s="351" t="s">
        <v>169</v>
      </c>
      <c r="F48" s="136" t="s">
        <v>170</v>
      </c>
      <c r="G48" s="136" t="s">
        <v>171</v>
      </c>
      <c r="H48" s="136" t="s">
        <v>316</v>
      </c>
      <c r="I48" s="172">
        <v>103</v>
      </c>
    </row>
    <row r="49" spans="1:9" ht="16.8">
      <c r="A49" s="133" t="s">
        <v>291</v>
      </c>
      <c r="B49" s="271">
        <v>2</v>
      </c>
      <c r="C49" s="20" t="s">
        <v>167</v>
      </c>
      <c r="D49" s="15" t="s">
        <v>182</v>
      </c>
      <c r="E49" s="301" t="s">
        <v>169</v>
      </c>
      <c r="F49" s="16" t="s">
        <v>177</v>
      </c>
      <c r="G49" s="16" t="s">
        <v>184</v>
      </c>
      <c r="H49" s="16" t="s">
        <v>214</v>
      </c>
      <c r="I49" s="19">
        <v>236</v>
      </c>
    </row>
    <row r="50" spans="1:9" ht="16.8">
      <c r="A50" s="133" t="s">
        <v>220</v>
      </c>
      <c r="B50" s="271">
        <v>2</v>
      </c>
      <c r="C50" s="20" t="s">
        <v>173</v>
      </c>
      <c r="D50" s="14" t="s">
        <v>168</v>
      </c>
      <c r="E50" s="301" t="s">
        <v>169</v>
      </c>
      <c r="F50" s="16" t="s">
        <v>192</v>
      </c>
      <c r="G50" s="16" t="s">
        <v>191</v>
      </c>
      <c r="H50" s="16" t="s">
        <v>214</v>
      </c>
      <c r="I50" s="19">
        <v>238</v>
      </c>
    </row>
    <row r="51" spans="1:9" ht="16.8">
      <c r="A51" s="133" t="s">
        <v>358</v>
      </c>
      <c r="B51" s="271">
        <v>2</v>
      </c>
      <c r="C51" s="20" t="s">
        <v>174</v>
      </c>
      <c r="D51" s="14" t="s">
        <v>168</v>
      </c>
      <c r="E51" s="301" t="s">
        <v>169</v>
      </c>
      <c r="F51" s="16" t="s">
        <v>195</v>
      </c>
      <c r="G51" s="16" t="s">
        <v>207</v>
      </c>
      <c r="H51" s="16" t="s">
        <v>329</v>
      </c>
      <c r="I51" s="19">
        <v>106</v>
      </c>
    </row>
    <row r="52" spans="1:9" ht="16.8">
      <c r="A52" s="133" t="s">
        <v>292</v>
      </c>
      <c r="B52" s="271">
        <v>2</v>
      </c>
      <c r="C52" s="20" t="s">
        <v>190</v>
      </c>
      <c r="D52" s="15" t="s">
        <v>310</v>
      </c>
      <c r="E52" s="301" t="s">
        <v>169</v>
      </c>
      <c r="F52" s="16" t="s">
        <v>317</v>
      </c>
      <c r="G52" s="16" t="s">
        <v>178</v>
      </c>
      <c r="H52" s="16" t="s">
        <v>214</v>
      </c>
      <c r="I52" s="19">
        <v>245</v>
      </c>
    </row>
    <row r="53" spans="1:9" ht="16.8">
      <c r="A53" s="133" t="s">
        <v>359</v>
      </c>
      <c r="B53" s="271">
        <v>2</v>
      </c>
      <c r="C53" s="20" t="s">
        <v>173</v>
      </c>
      <c r="D53" s="15" t="s">
        <v>168</v>
      </c>
      <c r="E53" s="301" t="s">
        <v>169</v>
      </c>
      <c r="F53" s="16" t="s">
        <v>170</v>
      </c>
      <c r="G53" s="16" t="s">
        <v>379</v>
      </c>
      <c r="H53" s="16" t="s">
        <v>329</v>
      </c>
      <c r="I53" s="19">
        <v>110</v>
      </c>
    </row>
    <row r="54" spans="1:9" ht="16.8">
      <c r="A54" s="133" t="s">
        <v>300</v>
      </c>
      <c r="B54" s="271">
        <v>2</v>
      </c>
      <c r="C54" s="20" t="s">
        <v>190</v>
      </c>
      <c r="D54" s="15" t="s">
        <v>168</v>
      </c>
      <c r="E54" s="301" t="s">
        <v>169</v>
      </c>
      <c r="F54" s="16" t="s">
        <v>195</v>
      </c>
      <c r="G54" s="16" t="s">
        <v>183</v>
      </c>
      <c r="H54" s="16" t="s">
        <v>214</v>
      </c>
      <c r="I54" s="19">
        <v>254</v>
      </c>
    </row>
    <row r="55" spans="1:9" ht="16.8">
      <c r="A55" s="133" t="s">
        <v>303</v>
      </c>
      <c r="B55" s="271">
        <v>2</v>
      </c>
      <c r="C55" s="20" t="s">
        <v>180</v>
      </c>
      <c r="D55" s="15" t="s">
        <v>176</v>
      </c>
      <c r="E55" s="301" t="s">
        <v>169</v>
      </c>
      <c r="F55" s="16" t="s">
        <v>175</v>
      </c>
      <c r="G55" s="16" t="s">
        <v>207</v>
      </c>
      <c r="H55" s="16" t="s">
        <v>214</v>
      </c>
      <c r="I55" s="19">
        <v>266</v>
      </c>
    </row>
    <row r="56" spans="1:9" ht="16.8">
      <c r="A56" s="133" t="s">
        <v>301</v>
      </c>
      <c r="B56" s="271">
        <v>2</v>
      </c>
      <c r="C56" s="20" t="s">
        <v>180</v>
      </c>
      <c r="D56" s="15" t="s">
        <v>318</v>
      </c>
      <c r="E56" s="301" t="s">
        <v>169</v>
      </c>
      <c r="F56" s="16" t="s">
        <v>175</v>
      </c>
      <c r="G56" s="16" t="s">
        <v>178</v>
      </c>
      <c r="H56" s="16" t="s">
        <v>214</v>
      </c>
      <c r="I56" s="19">
        <v>272</v>
      </c>
    </row>
    <row r="57" spans="1:9" ht="16.8">
      <c r="A57" s="133" t="s">
        <v>302</v>
      </c>
      <c r="B57" s="271">
        <v>2</v>
      </c>
      <c r="C57" s="20" t="s">
        <v>173</v>
      </c>
      <c r="D57" s="15" t="s">
        <v>168</v>
      </c>
      <c r="E57" s="301" t="s">
        <v>169</v>
      </c>
      <c r="F57" s="16" t="s">
        <v>170</v>
      </c>
      <c r="G57" s="16" t="s">
        <v>171</v>
      </c>
      <c r="H57" s="16" t="s">
        <v>214</v>
      </c>
      <c r="I57" s="19">
        <v>274</v>
      </c>
    </row>
    <row r="58" spans="1:9" ht="16.8">
      <c r="A58" s="133" t="s">
        <v>213</v>
      </c>
      <c r="B58" s="271">
        <v>2</v>
      </c>
      <c r="C58" s="20" t="s">
        <v>194</v>
      </c>
      <c r="D58" s="15" t="s">
        <v>182</v>
      </c>
      <c r="E58" s="135" t="s">
        <v>169</v>
      </c>
      <c r="F58" s="16" t="s">
        <v>177</v>
      </c>
      <c r="G58" s="16" t="s">
        <v>178</v>
      </c>
      <c r="H58" s="16" t="s">
        <v>214</v>
      </c>
      <c r="I58" s="270">
        <v>275</v>
      </c>
    </row>
    <row r="59" spans="1:9" ht="16.8">
      <c r="A59" s="137" t="s">
        <v>304</v>
      </c>
      <c r="B59" s="280">
        <v>2</v>
      </c>
      <c r="C59" s="304" t="s">
        <v>167</v>
      </c>
      <c r="D59" s="17" t="s">
        <v>205</v>
      </c>
      <c r="E59" s="305" t="s">
        <v>319</v>
      </c>
      <c r="F59" s="140" t="s">
        <v>170</v>
      </c>
      <c r="G59" s="140" t="s">
        <v>184</v>
      </c>
      <c r="H59" s="140" t="s">
        <v>214</v>
      </c>
      <c r="I59" s="141">
        <v>286</v>
      </c>
    </row>
    <row r="60" spans="1:9" ht="16.8">
      <c r="A60" s="133" t="s">
        <v>295</v>
      </c>
      <c r="B60" s="306">
        <v>3</v>
      </c>
      <c r="C60" s="20" t="s">
        <v>180</v>
      </c>
      <c r="D60" s="15" t="s">
        <v>168</v>
      </c>
      <c r="E60" s="301" t="s">
        <v>169</v>
      </c>
      <c r="F60" s="16" t="s">
        <v>177</v>
      </c>
      <c r="G60" s="16" t="s">
        <v>171</v>
      </c>
      <c r="H60" s="16" t="s">
        <v>214</v>
      </c>
      <c r="I60" s="19">
        <v>223</v>
      </c>
    </row>
    <row r="61" spans="1:9" ht="16.8">
      <c r="A61" s="133" t="s">
        <v>360</v>
      </c>
      <c r="B61" s="306">
        <v>3</v>
      </c>
      <c r="C61" s="20" t="s">
        <v>173</v>
      </c>
      <c r="D61" s="15" t="s">
        <v>168</v>
      </c>
      <c r="E61" s="301" t="s">
        <v>169</v>
      </c>
      <c r="F61" s="16" t="s">
        <v>321</v>
      </c>
      <c r="G61" s="16" t="s">
        <v>171</v>
      </c>
      <c r="H61" s="16" t="s">
        <v>218</v>
      </c>
      <c r="I61" s="19">
        <v>44</v>
      </c>
    </row>
    <row r="62" spans="1:9" ht="16.8">
      <c r="A62" s="133" t="s">
        <v>293</v>
      </c>
      <c r="B62" s="306">
        <v>3</v>
      </c>
      <c r="C62" s="20" t="s">
        <v>173</v>
      </c>
      <c r="D62" s="15" t="s">
        <v>182</v>
      </c>
      <c r="E62" s="301" t="s">
        <v>169</v>
      </c>
      <c r="F62" s="16" t="s">
        <v>321</v>
      </c>
      <c r="G62" s="16" t="s">
        <v>171</v>
      </c>
      <c r="H62" s="16" t="s">
        <v>214</v>
      </c>
      <c r="I62" s="270">
        <v>231</v>
      </c>
    </row>
    <row r="63" spans="1:9" ht="16.8">
      <c r="A63" s="133" t="s">
        <v>296</v>
      </c>
      <c r="B63" s="306">
        <v>3</v>
      </c>
      <c r="C63" s="20" t="s">
        <v>174</v>
      </c>
      <c r="D63" s="15" t="s">
        <v>310</v>
      </c>
      <c r="E63" s="301" t="s">
        <v>169</v>
      </c>
      <c r="F63" s="16" t="s">
        <v>175</v>
      </c>
      <c r="G63" s="16" t="s">
        <v>183</v>
      </c>
      <c r="H63" s="16" t="s">
        <v>214</v>
      </c>
      <c r="I63" s="19">
        <v>232</v>
      </c>
    </row>
    <row r="64" spans="1:9" ht="16.8">
      <c r="A64" s="133" t="s">
        <v>289</v>
      </c>
      <c r="B64" s="306">
        <v>3</v>
      </c>
      <c r="C64" s="20" t="s">
        <v>167</v>
      </c>
      <c r="D64" s="15" t="s">
        <v>182</v>
      </c>
      <c r="E64" s="16" t="s">
        <v>169</v>
      </c>
      <c r="F64" s="16" t="s">
        <v>170</v>
      </c>
      <c r="G64" s="16" t="s">
        <v>184</v>
      </c>
      <c r="H64" s="16" t="s">
        <v>214</v>
      </c>
      <c r="I64" s="19">
        <v>237</v>
      </c>
    </row>
    <row r="65" spans="1:9" ht="16.8">
      <c r="A65" s="133" t="s">
        <v>324</v>
      </c>
      <c r="B65" s="306">
        <v>3</v>
      </c>
      <c r="C65" s="20" t="s">
        <v>167</v>
      </c>
      <c r="D65" s="15" t="s">
        <v>182</v>
      </c>
      <c r="E65" s="301" t="s">
        <v>169</v>
      </c>
      <c r="F65" s="136" t="s">
        <v>175</v>
      </c>
      <c r="G65" s="16" t="s">
        <v>207</v>
      </c>
      <c r="H65" s="16" t="s">
        <v>323</v>
      </c>
      <c r="I65" s="172">
        <v>114</v>
      </c>
    </row>
    <row r="66" spans="1:9" ht="16.8">
      <c r="A66" s="133" t="s">
        <v>286</v>
      </c>
      <c r="B66" s="306">
        <v>3</v>
      </c>
      <c r="C66" s="18" t="s">
        <v>174</v>
      </c>
      <c r="D66" s="15" t="s">
        <v>168</v>
      </c>
      <c r="E66" s="16" t="s">
        <v>169</v>
      </c>
      <c r="F66" s="16" t="s">
        <v>177</v>
      </c>
      <c r="G66" s="16" t="s">
        <v>16</v>
      </c>
      <c r="H66" s="16" t="s">
        <v>218</v>
      </c>
      <c r="I66" s="355">
        <v>136</v>
      </c>
    </row>
    <row r="67" spans="1:9" ht="16.8">
      <c r="A67" s="133" t="s">
        <v>221</v>
      </c>
      <c r="B67" s="306">
        <v>3</v>
      </c>
      <c r="C67" s="20" t="s">
        <v>174</v>
      </c>
      <c r="D67" s="15" t="s">
        <v>182</v>
      </c>
      <c r="E67" s="301" t="s">
        <v>169</v>
      </c>
      <c r="F67" s="136" t="s">
        <v>170</v>
      </c>
      <c r="G67" s="16" t="s">
        <v>184</v>
      </c>
      <c r="H67" s="16" t="s">
        <v>214</v>
      </c>
      <c r="I67" s="36">
        <v>239</v>
      </c>
    </row>
    <row r="68" spans="1:9" ht="16.8">
      <c r="A68" s="133" t="s">
        <v>328</v>
      </c>
      <c r="B68" s="306">
        <v>3</v>
      </c>
      <c r="C68" s="20" t="s">
        <v>174</v>
      </c>
      <c r="D68" s="15" t="s">
        <v>168</v>
      </c>
      <c r="E68" s="301" t="s">
        <v>169</v>
      </c>
      <c r="F68" s="136" t="s">
        <v>195</v>
      </c>
      <c r="G68" s="16" t="s">
        <v>207</v>
      </c>
      <c r="H68" s="16" t="s">
        <v>329</v>
      </c>
      <c r="I68" s="36">
        <v>107</v>
      </c>
    </row>
    <row r="69" spans="1:9" ht="16.8">
      <c r="A69" s="133" t="s">
        <v>333</v>
      </c>
      <c r="B69" s="306">
        <v>3</v>
      </c>
      <c r="C69" s="20" t="s">
        <v>173</v>
      </c>
      <c r="D69" s="15" t="s">
        <v>182</v>
      </c>
      <c r="E69" s="301" t="s">
        <v>169</v>
      </c>
      <c r="F69" s="16" t="s">
        <v>334</v>
      </c>
      <c r="G69" s="16" t="s">
        <v>171</v>
      </c>
      <c r="H69" s="16" t="s">
        <v>214</v>
      </c>
      <c r="I69" s="19">
        <v>248</v>
      </c>
    </row>
    <row r="70" spans="1:9" ht="16.8">
      <c r="A70" s="133" t="s">
        <v>311</v>
      </c>
      <c r="B70" s="306">
        <v>3</v>
      </c>
      <c r="C70" s="20" t="s">
        <v>180</v>
      </c>
      <c r="D70" s="15" t="s">
        <v>312</v>
      </c>
      <c r="E70" s="301" t="s">
        <v>169</v>
      </c>
      <c r="F70" s="16" t="s">
        <v>313</v>
      </c>
      <c r="G70" s="16" t="s">
        <v>178</v>
      </c>
      <c r="H70" s="16" t="s">
        <v>214</v>
      </c>
      <c r="I70" s="19">
        <v>250</v>
      </c>
    </row>
    <row r="71" spans="1:9" ht="16.8">
      <c r="A71" s="133" t="s">
        <v>325</v>
      </c>
      <c r="B71" s="306">
        <v>3</v>
      </c>
      <c r="C71" s="20" t="s">
        <v>167</v>
      </c>
      <c r="D71" s="15" t="s">
        <v>168</v>
      </c>
      <c r="E71" s="16" t="s">
        <v>326</v>
      </c>
      <c r="F71" s="136" t="s">
        <v>327</v>
      </c>
      <c r="G71" s="16" t="s">
        <v>207</v>
      </c>
      <c r="H71" s="16" t="s">
        <v>214</v>
      </c>
      <c r="I71" s="19">
        <v>260</v>
      </c>
    </row>
    <row r="72" spans="1:9" ht="16.8">
      <c r="A72" s="133" t="s">
        <v>361</v>
      </c>
      <c r="B72" s="306">
        <v>3</v>
      </c>
      <c r="C72" s="20" t="s">
        <v>173</v>
      </c>
      <c r="D72" s="15" t="s">
        <v>168</v>
      </c>
      <c r="E72" s="301" t="s">
        <v>169</v>
      </c>
      <c r="F72" s="136" t="s">
        <v>192</v>
      </c>
      <c r="G72" s="16" t="s">
        <v>171</v>
      </c>
      <c r="H72" s="16" t="s">
        <v>218</v>
      </c>
      <c r="I72" s="19">
        <v>174</v>
      </c>
    </row>
    <row r="73" spans="1:9" ht="16.8">
      <c r="A73" s="133" t="s">
        <v>362</v>
      </c>
      <c r="B73" s="306">
        <v>3</v>
      </c>
      <c r="C73" s="20" t="s">
        <v>173</v>
      </c>
      <c r="D73" s="15" t="s">
        <v>182</v>
      </c>
      <c r="E73" s="301" t="s">
        <v>169</v>
      </c>
      <c r="F73" s="16" t="s">
        <v>321</v>
      </c>
      <c r="G73" s="16" t="s">
        <v>171</v>
      </c>
      <c r="H73" s="16" t="s">
        <v>218</v>
      </c>
      <c r="I73" s="19">
        <v>181</v>
      </c>
    </row>
    <row r="74" spans="1:9" ht="16.8">
      <c r="A74" s="133" t="s">
        <v>297</v>
      </c>
      <c r="B74" s="306">
        <v>3</v>
      </c>
      <c r="C74" s="20" t="s">
        <v>174</v>
      </c>
      <c r="D74" s="15" t="s">
        <v>182</v>
      </c>
      <c r="E74" s="301" t="s">
        <v>169</v>
      </c>
      <c r="F74" s="16" t="s">
        <v>170</v>
      </c>
      <c r="G74" s="16" t="s">
        <v>184</v>
      </c>
      <c r="H74" s="16" t="s">
        <v>214</v>
      </c>
      <c r="I74" s="19">
        <v>280</v>
      </c>
    </row>
    <row r="75" spans="1:9" ht="16.8">
      <c r="A75" s="133" t="s">
        <v>298</v>
      </c>
      <c r="B75" s="306">
        <v>3</v>
      </c>
      <c r="C75" s="20" t="s">
        <v>167</v>
      </c>
      <c r="D75" s="15" t="s">
        <v>182</v>
      </c>
      <c r="E75" s="301" t="s">
        <v>169</v>
      </c>
      <c r="F75" s="16" t="s">
        <v>177</v>
      </c>
      <c r="G75" s="16" t="s">
        <v>184</v>
      </c>
      <c r="H75" s="16" t="s">
        <v>214</v>
      </c>
      <c r="I75" s="19">
        <v>284</v>
      </c>
    </row>
    <row r="76" spans="1:9" ht="16.8">
      <c r="A76" s="133" t="s">
        <v>320</v>
      </c>
      <c r="B76" s="306">
        <v>3</v>
      </c>
      <c r="C76" s="20" t="s">
        <v>167</v>
      </c>
      <c r="D76" s="15" t="s">
        <v>205</v>
      </c>
      <c r="E76" s="301" t="s">
        <v>319</v>
      </c>
      <c r="F76" s="136" t="s">
        <v>170</v>
      </c>
      <c r="G76" s="16" t="s">
        <v>184</v>
      </c>
      <c r="H76" s="16" t="s">
        <v>214</v>
      </c>
      <c r="I76" s="36">
        <v>286</v>
      </c>
    </row>
    <row r="77" spans="1:9" ht="16.8">
      <c r="A77" s="137" t="s">
        <v>294</v>
      </c>
      <c r="B77" s="358">
        <v>3</v>
      </c>
      <c r="C77" s="304" t="s">
        <v>173</v>
      </c>
      <c r="D77" s="17" t="s">
        <v>205</v>
      </c>
      <c r="E77" s="305" t="s">
        <v>169</v>
      </c>
      <c r="F77" s="140" t="s">
        <v>177</v>
      </c>
      <c r="G77" s="140" t="s">
        <v>184</v>
      </c>
      <c r="H77" s="140" t="s">
        <v>214</v>
      </c>
      <c r="I77" s="359">
        <v>302</v>
      </c>
    </row>
    <row r="78" spans="1:9" ht="16.8">
      <c r="A78" s="133" t="s">
        <v>340</v>
      </c>
      <c r="B78" s="356">
        <v>4</v>
      </c>
      <c r="C78" s="20" t="s">
        <v>174</v>
      </c>
      <c r="D78" s="15" t="s">
        <v>168</v>
      </c>
      <c r="E78" s="301" t="s">
        <v>169</v>
      </c>
      <c r="F78" s="136" t="s">
        <v>195</v>
      </c>
      <c r="G78" s="16" t="s">
        <v>207</v>
      </c>
      <c r="H78" s="16" t="s">
        <v>329</v>
      </c>
      <c r="I78" s="36">
        <v>106</v>
      </c>
    </row>
    <row r="79" spans="1:9" ht="16.8">
      <c r="A79" s="133" t="s">
        <v>343</v>
      </c>
      <c r="B79" s="356">
        <v>4</v>
      </c>
      <c r="C79" s="20" t="s">
        <v>174</v>
      </c>
      <c r="D79" s="15" t="s">
        <v>197</v>
      </c>
      <c r="E79" s="301" t="s">
        <v>169</v>
      </c>
      <c r="F79" s="16" t="s">
        <v>321</v>
      </c>
      <c r="G79" s="16" t="s">
        <v>171</v>
      </c>
      <c r="H79" s="16" t="s">
        <v>214</v>
      </c>
      <c r="I79" s="19">
        <v>221</v>
      </c>
    </row>
    <row r="80" spans="1:9" ht="16.8">
      <c r="A80" s="133" t="s">
        <v>354</v>
      </c>
      <c r="B80" s="356">
        <v>4</v>
      </c>
      <c r="C80" s="20" t="s">
        <v>174</v>
      </c>
      <c r="D80" s="15" t="s">
        <v>182</v>
      </c>
      <c r="E80" s="301" t="s">
        <v>169</v>
      </c>
      <c r="F80" s="16" t="s">
        <v>195</v>
      </c>
      <c r="G80" s="16" t="s">
        <v>184</v>
      </c>
      <c r="H80" s="16" t="s">
        <v>218</v>
      </c>
      <c r="I80" s="19">
        <v>67</v>
      </c>
    </row>
    <row r="81" spans="1:9" ht="16.8">
      <c r="A81" s="133" t="s">
        <v>355</v>
      </c>
      <c r="B81" s="356">
        <v>4</v>
      </c>
      <c r="C81" s="20" t="s">
        <v>173</v>
      </c>
      <c r="D81" s="15" t="s">
        <v>168</v>
      </c>
      <c r="E81" s="301" t="s">
        <v>169</v>
      </c>
      <c r="F81" s="16" t="s">
        <v>177</v>
      </c>
      <c r="G81" s="16" t="s">
        <v>171</v>
      </c>
      <c r="H81" s="16" t="s">
        <v>218</v>
      </c>
      <c r="I81" s="19">
        <v>98</v>
      </c>
    </row>
    <row r="82" spans="1:9" ht="16.8">
      <c r="A82" s="133" t="s">
        <v>344</v>
      </c>
      <c r="B82" s="356">
        <v>4</v>
      </c>
      <c r="C82" s="20" t="s">
        <v>190</v>
      </c>
      <c r="D82" s="15" t="s">
        <v>168</v>
      </c>
      <c r="E82" s="301" t="s">
        <v>169</v>
      </c>
      <c r="F82" s="16" t="s">
        <v>175</v>
      </c>
      <c r="G82" s="16" t="s">
        <v>184</v>
      </c>
      <c r="H82" s="16" t="s">
        <v>214</v>
      </c>
      <c r="I82" s="19">
        <v>245</v>
      </c>
    </row>
    <row r="83" spans="1:9" ht="17.399999999999999" thickBot="1">
      <c r="A83" s="142" t="s">
        <v>341</v>
      </c>
      <c r="B83" s="357">
        <v>4</v>
      </c>
      <c r="C83" s="348" t="s">
        <v>173</v>
      </c>
      <c r="D83" s="21" t="s">
        <v>182</v>
      </c>
      <c r="E83" s="349" t="s">
        <v>169</v>
      </c>
      <c r="F83" s="350" t="s">
        <v>177</v>
      </c>
      <c r="G83" s="350" t="s">
        <v>184</v>
      </c>
      <c r="H83" s="350" t="s">
        <v>218</v>
      </c>
      <c r="I83" s="352">
        <v>232</v>
      </c>
    </row>
    <row r="84" spans="1:9" ht="16.2" thickTop="1"/>
  </sheetData>
  <sortState ref="A3:I66">
    <sortCondition ref="B3:B66"/>
    <sortCondition ref="A3:A66"/>
  </sortState>
  <conditionalFormatting sqref="B77">
    <cfRule type="cellIs" dxfId="35" priority="12" operator="equal">
      <formula>9</formula>
    </cfRule>
    <cfRule type="cellIs" dxfId="34" priority="13" operator="equal">
      <formula>8</formula>
    </cfRule>
    <cfRule type="cellIs" dxfId="33" priority="14" operator="equal">
      <formula>7</formula>
    </cfRule>
    <cfRule type="cellIs" dxfId="32" priority="15" operator="equal">
      <formula>6</formula>
    </cfRule>
    <cfRule type="cellIs" dxfId="31" priority="16" operator="equal">
      <formula>5</formula>
    </cfRule>
    <cfRule type="cellIs" dxfId="30" priority="17" operator="equal">
      <formula>4</formula>
    </cfRule>
    <cfRule type="cellIs" dxfId="29" priority="18" operator="equal">
      <formula>3</formula>
    </cfRule>
    <cfRule type="cellIs" dxfId="28" priority="19" operator="equal">
      <formula>2</formula>
    </cfRule>
    <cfRule type="cellIs" dxfId="27" priority="20" operator="equal">
      <formula>1</formula>
    </cfRule>
    <cfRule type="containsBlanks" dxfId="26" priority="21">
      <formula>LEN(TRIM(B77))=0</formula>
    </cfRule>
    <cfRule type="cellIs" dxfId="25" priority="22" operator="equal">
      <formula>0</formula>
    </cfRule>
  </conditionalFormatting>
  <conditionalFormatting sqref="B83">
    <cfRule type="cellIs" dxfId="24" priority="1" operator="equal">
      <formula>9</formula>
    </cfRule>
    <cfRule type="cellIs" dxfId="23" priority="2" operator="equal">
      <formula>8</formula>
    </cfRule>
    <cfRule type="cellIs" dxfId="22" priority="3" operator="equal">
      <formula>7</formula>
    </cfRule>
    <cfRule type="cellIs" dxfId="21" priority="4" operator="equal">
      <formula>6</formula>
    </cfRule>
    <cfRule type="cellIs" dxfId="20" priority="5" operator="equal">
      <formula>5</formula>
    </cfRule>
    <cfRule type="cellIs" dxfId="19" priority="6" operator="equal">
      <formula>4</formula>
    </cfRule>
    <cfRule type="cellIs" dxfId="18" priority="7" operator="equal">
      <formula>3</formula>
    </cfRule>
    <cfRule type="cellIs" dxfId="17" priority="8" operator="equal">
      <formula>2</formula>
    </cfRule>
    <cfRule type="cellIs" dxfId="16" priority="9" operator="equal">
      <formula>1</formula>
    </cfRule>
    <cfRule type="containsBlanks" dxfId="15" priority="10">
      <formula>LEN(TRIM(B83))=0</formula>
    </cfRule>
    <cfRule type="cellIs" dxfId="14"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2"/>
  <sheetViews>
    <sheetView showGridLines="0" workbookViewId="0">
      <pane ySplit="2" topLeftCell="A3" activePane="bottomLeft" state="frozen"/>
      <selection pane="bottomLeft" activeCell="A3" sqref="A3"/>
    </sheetView>
  </sheetViews>
  <sheetFormatPr defaultColWidth="13" defaultRowHeight="15.6"/>
  <cols>
    <col min="1" max="1" width="23.5" style="541" bestFit="1" customWidth="1"/>
    <col min="2" max="2" width="6.19921875" style="326" bestFit="1" customWidth="1"/>
    <col min="3" max="3" width="13.59765625" style="542" bestFit="1" customWidth="1"/>
    <col min="4" max="4" width="11.296875" style="542" bestFit="1" customWidth="1"/>
    <col min="5" max="5" width="10.5" style="543" bestFit="1" customWidth="1"/>
    <col min="6" max="6" width="13.19921875" style="542" bestFit="1" customWidth="1"/>
    <col min="7" max="7" width="11.19921875" style="542" bestFit="1" customWidth="1"/>
    <col min="8" max="8" width="28.09765625" style="541" bestFit="1" customWidth="1"/>
    <col min="9" max="9" width="13" style="327"/>
    <col min="10" max="16384" width="13" style="510"/>
  </cols>
  <sheetData>
    <row r="1" spans="1:9" ht="23.4" thickBot="1">
      <c r="A1" s="548" t="s">
        <v>276</v>
      </c>
      <c r="B1" s="507"/>
      <c r="C1" s="508"/>
      <c r="D1" s="508"/>
      <c r="E1" s="509"/>
      <c r="F1" s="508"/>
      <c r="G1" s="508"/>
      <c r="H1" s="508"/>
    </row>
    <row r="2" spans="1:9" s="511" customFormat="1" ht="16.8">
      <c r="A2" s="544" t="s">
        <v>96</v>
      </c>
      <c r="B2" s="545" t="s">
        <v>99</v>
      </c>
      <c r="C2" s="546" t="s">
        <v>162</v>
      </c>
      <c r="D2" s="547" t="s">
        <v>384</v>
      </c>
      <c r="E2" s="578" t="s">
        <v>164</v>
      </c>
      <c r="F2" s="546" t="s">
        <v>165</v>
      </c>
      <c r="G2" s="546" t="s">
        <v>166</v>
      </c>
      <c r="H2" s="546" t="s">
        <v>385</v>
      </c>
      <c r="I2" s="327"/>
    </row>
    <row r="3" spans="1:9" ht="16.8">
      <c r="A3" s="512" t="s">
        <v>151</v>
      </c>
      <c r="B3" s="513">
        <v>0</v>
      </c>
      <c r="C3" s="514" t="s">
        <v>167</v>
      </c>
      <c r="D3" s="515" t="s">
        <v>168</v>
      </c>
      <c r="E3" s="579" t="s">
        <v>169</v>
      </c>
      <c r="F3" s="549" t="s">
        <v>170</v>
      </c>
      <c r="G3" s="516" t="s">
        <v>171</v>
      </c>
      <c r="H3" s="517" t="s">
        <v>130</v>
      </c>
    </row>
    <row r="4" spans="1:9" ht="16.8">
      <c r="A4" s="518" t="s">
        <v>386</v>
      </c>
      <c r="B4" s="519">
        <v>0</v>
      </c>
      <c r="C4" s="18" t="s">
        <v>466</v>
      </c>
      <c r="D4" s="15" t="s">
        <v>168</v>
      </c>
      <c r="E4" s="580" t="s">
        <v>169</v>
      </c>
      <c r="F4" s="522" t="s">
        <v>170</v>
      </c>
      <c r="G4" s="16" t="s">
        <v>171</v>
      </c>
      <c r="H4" s="520" t="s">
        <v>387</v>
      </c>
    </row>
    <row r="5" spans="1:9" ht="16.8">
      <c r="A5" s="518" t="s">
        <v>152</v>
      </c>
      <c r="B5" s="519">
        <v>0</v>
      </c>
      <c r="C5" s="521" t="s">
        <v>173</v>
      </c>
      <c r="D5" s="15" t="s">
        <v>198</v>
      </c>
      <c r="E5" s="580" t="s">
        <v>169</v>
      </c>
      <c r="F5" s="522" t="s">
        <v>175</v>
      </c>
      <c r="G5" s="522" t="s">
        <v>178</v>
      </c>
      <c r="H5" s="523" t="s">
        <v>467</v>
      </c>
    </row>
    <row r="6" spans="1:9" ht="16.8">
      <c r="A6" s="524" t="s">
        <v>179</v>
      </c>
      <c r="B6" s="525">
        <v>0</v>
      </c>
      <c r="C6" s="526" t="s">
        <v>167</v>
      </c>
      <c r="D6" s="17" t="s">
        <v>168</v>
      </c>
      <c r="E6" s="581" t="s">
        <v>169</v>
      </c>
      <c r="F6" s="540" t="s">
        <v>170</v>
      </c>
      <c r="G6" s="140" t="s">
        <v>171</v>
      </c>
      <c r="H6" s="527" t="s">
        <v>130</v>
      </c>
    </row>
    <row r="7" spans="1:9" ht="16.8">
      <c r="A7" s="518" t="s">
        <v>388</v>
      </c>
      <c r="B7" s="519">
        <v>1</v>
      </c>
      <c r="C7" s="528" t="s">
        <v>174</v>
      </c>
      <c r="D7" s="529" t="s">
        <v>182</v>
      </c>
      <c r="E7" s="580" t="s">
        <v>169</v>
      </c>
      <c r="F7" s="530" t="s">
        <v>175</v>
      </c>
      <c r="G7" s="522" t="s">
        <v>178</v>
      </c>
      <c r="H7" s="523" t="s">
        <v>389</v>
      </c>
    </row>
    <row r="8" spans="1:9" ht="16.8">
      <c r="A8" s="518" t="s">
        <v>390</v>
      </c>
      <c r="B8" s="519">
        <v>1</v>
      </c>
      <c r="C8" s="528" t="s">
        <v>173</v>
      </c>
      <c r="D8" s="15" t="s">
        <v>168</v>
      </c>
      <c r="E8" s="580" t="s">
        <v>169</v>
      </c>
      <c r="F8" s="530" t="s">
        <v>391</v>
      </c>
      <c r="G8" s="300" t="s">
        <v>171</v>
      </c>
      <c r="H8" s="523" t="s">
        <v>392</v>
      </c>
    </row>
    <row r="9" spans="1:9" ht="16.8">
      <c r="A9" s="518" t="s">
        <v>393</v>
      </c>
      <c r="B9" s="519">
        <v>1</v>
      </c>
      <c r="C9" s="521" t="s">
        <v>466</v>
      </c>
      <c r="D9" s="529" t="s">
        <v>168</v>
      </c>
      <c r="E9" s="580" t="s">
        <v>169</v>
      </c>
      <c r="F9" s="522" t="s">
        <v>175</v>
      </c>
      <c r="G9" s="522" t="s">
        <v>171</v>
      </c>
      <c r="H9" s="531" t="s">
        <v>394</v>
      </c>
    </row>
    <row r="10" spans="1:9" ht="16.8">
      <c r="A10" s="518" t="s">
        <v>395</v>
      </c>
      <c r="B10" s="519">
        <v>1</v>
      </c>
      <c r="C10" s="528" t="s">
        <v>174</v>
      </c>
      <c r="D10" s="529" t="s">
        <v>182</v>
      </c>
      <c r="E10" s="580" t="s">
        <v>169</v>
      </c>
      <c r="F10" s="530" t="s">
        <v>195</v>
      </c>
      <c r="G10" s="300" t="s">
        <v>181</v>
      </c>
      <c r="H10" s="523" t="s">
        <v>396</v>
      </c>
    </row>
    <row r="11" spans="1:9" ht="16.8">
      <c r="A11" s="518" t="s">
        <v>397</v>
      </c>
      <c r="B11" s="519">
        <v>1</v>
      </c>
      <c r="C11" s="528" t="s">
        <v>167</v>
      </c>
      <c r="D11" s="529" t="s">
        <v>182</v>
      </c>
      <c r="E11" s="580" t="s">
        <v>319</v>
      </c>
      <c r="F11" s="16" t="s">
        <v>177</v>
      </c>
      <c r="G11" s="300" t="s">
        <v>171</v>
      </c>
      <c r="H11" s="523" t="s">
        <v>398</v>
      </c>
    </row>
    <row r="12" spans="1:9" ht="16.8">
      <c r="A12" s="518" t="s">
        <v>284</v>
      </c>
      <c r="B12" s="519">
        <v>1</v>
      </c>
      <c r="C12" s="521" t="s">
        <v>173</v>
      </c>
      <c r="D12" s="529" t="s">
        <v>168</v>
      </c>
      <c r="E12" s="529" t="s">
        <v>169</v>
      </c>
      <c r="F12" s="16" t="s">
        <v>177</v>
      </c>
      <c r="G12" s="522" t="s">
        <v>171</v>
      </c>
      <c r="H12" s="531" t="s">
        <v>399</v>
      </c>
    </row>
    <row r="13" spans="1:9" ht="16.8">
      <c r="A13" s="518" t="s">
        <v>400</v>
      </c>
      <c r="B13" s="519">
        <v>1</v>
      </c>
      <c r="C13" s="521" t="s">
        <v>167</v>
      </c>
      <c r="D13" s="529" t="s">
        <v>168</v>
      </c>
      <c r="E13" s="529" t="s">
        <v>169</v>
      </c>
      <c r="F13" s="522" t="s">
        <v>170</v>
      </c>
      <c r="G13" s="300" t="s">
        <v>171</v>
      </c>
      <c r="H13" s="19" t="s">
        <v>401</v>
      </c>
    </row>
    <row r="14" spans="1:9" ht="16.8">
      <c r="A14" s="518" t="s">
        <v>402</v>
      </c>
      <c r="B14" s="519">
        <v>1</v>
      </c>
      <c r="C14" s="521" t="s">
        <v>167</v>
      </c>
      <c r="D14" s="529" t="s">
        <v>168</v>
      </c>
      <c r="E14" s="529" t="s">
        <v>169</v>
      </c>
      <c r="F14" s="522" t="s">
        <v>170</v>
      </c>
      <c r="G14" s="300" t="s">
        <v>171</v>
      </c>
      <c r="H14" s="19" t="s">
        <v>401</v>
      </c>
    </row>
    <row r="15" spans="1:9" ht="16.8">
      <c r="A15" s="518" t="s">
        <v>403</v>
      </c>
      <c r="B15" s="519">
        <v>1</v>
      </c>
      <c r="C15" s="521" t="s">
        <v>167</v>
      </c>
      <c r="D15" s="529" t="s">
        <v>168</v>
      </c>
      <c r="E15" s="529" t="s">
        <v>169</v>
      </c>
      <c r="F15" s="522" t="s">
        <v>170</v>
      </c>
      <c r="G15" s="300" t="s">
        <v>171</v>
      </c>
      <c r="H15" s="19" t="s">
        <v>404</v>
      </c>
    </row>
    <row r="16" spans="1:9" ht="16.8">
      <c r="A16" s="518" t="s">
        <v>405</v>
      </c>
      <c r="B16" s="519">
        <v>1</v>
      </c>
      <c r="C16" s="521" t="s">
        <v>167</v>
      </c>
      <c r="D16" s="529" t="s">
        <v>168</v>
      </c>
      <c r="E16" s="529" t="s">
        <v>169</v>
      </c>
      <c r="F16" s="522" t="s">
        <v>170</v>
      </c>
      <c r="G16" s="300" t="s">
        <v>171</v>
      </c>
      <c r="H16" s="19" t="s">
        <v>404</v>
      </c>
    </row>
    <row r="17" spans="1:9" ht="16.8">
      <c r="A17" s="518" t="s">
        <v>406</v>
      </c>
      <c r="B17" s="519">
        <v>1</v>
      </c>
      <c r="C17" s="521" t="s">
        <v>167</v>
      </c>
      <c r="D17" s="529" t="s">
        <v>168</v>
      </c>
      <c r="E17" s="529" t="s">
        <v>169</v>
      </c>
      <c r="F17" s="522" t="s">
        <v>170</v>
      </c>
      <c r="G17" s="300" t="s">
        <v>171</v>
      </c>
      <c r="H17" s="19" t="s">
        <v>404</v>
      </c>
    </row>
    <row r="18" spans="1:9" ht="16.8">
      <c r="A18" s="518" t="s">
        <v>407</v>
      </c>
      <c r="B18" s="519">
        <v>1</v>
      </c>
      <c r="C18" s="528" t="s">
        <v>173</v>
      </c>
      <c r="D18" s="529" t="s">
        <v>168</v>
      </c>
      <c r="E18" s="580" t="s">
        <v>169</v>
      </c>
      <c r="F18" s="530" t="s">
        <v>175</v>
      </c>
      <c r="G18" s="300" t="s">
        <v>171</v>
      </c>
      <c r="H18" s="19" t="s">
        <v>408</v>
      </c>
    </row>
    <row r="19" spans="1:9" ht="16.8">
      <c r="A19" s="524" t="s">
        <v>409</v>
      </c>
      <c r="B19" s="525">
        <v>1</v>
      </c>
      <c r="C19" s="532" t="s">
        <v>194</v>
      </c>
      <c r="D19" s="17" t="s">
        <v>410</v>
      </c>
      <c r="E19" s="581" t="s">
        <v>169</v>
      </c>
      <c r="F19" s="533" t="s">
        <v>195</v>
      </c>
      <c r="G19" s="534" t="s">
        <v>411</v>
      </c>
      <c r="H19" s="141" t="s">
        <v>412</v>
      </c>
      <c r="I19" s="535"/>
    </row>
    <row r="20" spans="1:9" ht="16.8">
      <c r="A20" s="518" t="s">
        <v>413</v>
      </c>
      <c r="B20" s="519">
        <v>2</v>
      </c>
      <c r="C20" s="528" t="s">
        <v>167</v>
      </c>
      <c r="D20" s="15" t="s">
        <v>197</v>
      </c>
      <c r="E20" s="580" t="s">
        <v>414</v>
      </c>
      <c r="F20" s="530" t="s">
        <v>175</v>
      </c>
      <c r="G20" s="300" t="s">
        <v>191</v>
      </c>
      <c r="H20" s="19" t="s">
        <v>415</v>
      </c>
      <c r="I20" s="535"/>
    </row>
    <row r="21" spans="1:9" ht="16.8">
      <c r="A21" s="518" t="s">
        <v>416</v>
      </c>
      <c r="B21" s="519">
        <v>2</v>
      </c>
      <c r="C21" s="521" t="s">
        <v>190</v>
      </c>
      <c r="D21" s="529" t="s">
        <v>182</v>
      </c>
      <c r="E21" s="580" t="s">
        <v>169</v>
      </c>
      <c r="F21" s="522" t="s">
        <v>175</v>
      </c>
      <c r="G21" s="522" t="s">
        <v>189</v>
      </c>
      <c r="H21" s="523" t="s">
        <v>417</v>
      </c>
    </row>
    <row r="22" spans="1:9" ht="16.8">
      <c r="A22" s="518" t="s">
        <v>418</v>
      </c>
      <c r="B22" s="519">
        <v>2</v>
      </c>
      <c r="C22" s="521" t="s">
        <v>180</v>
      </c>
      <c r="D22" s="536" t="s">
        <v>182</v>
      </c>
      <c r="E22" s="16" t="s">
        <v>326</v>
      </c>
      <c r="F22" s="522" t="s">
        <v>175</v>
      </c>
      <c r="G22" s="522" t="s">
        <v>419</v>
      </c>
      <c r="H22" s="537" t="s">
        <v>420</v>
      </c>
    </row>
    <row r="23" spans="1:9" ht="16.8">
      <c r="A23" s="518" t="s">
        <v>421</v>
      </c>
      <c r="B23" s="519">
        <v>2</v>
      </c>
      <c r="C23" s="521" t="s">
        <v>173</v>
      </c>
      <c r="D23" s="529" t="s">
        <v>182</v>
      </c>
      <c r="E23" s="580" t="s">
        <v>169</v>
      </c>
      <c r="F23" s="522" t="s">
        <v>422</v>
      </c>
      <c r="G23" s="522" t="s">
        <v>171</v>
      </c>
      <c r="H23" s="523" t="s">
        <v>423</v>
      </c>
    </row>
    <row r="24" spans="1:9" ht="16.8">
      <c r="A24" s="518" t="s">
        <v>290</v>
      </c>
      <c r="B24" s="519">
        <v>2</v>
      </c>
      <c r="C24" s="521" t="s">
        <v>173</v>
      </c>
      <c r="D24" s="529" t="s">
        <v>205</v>
      </c>
      <c r="E24" s="580" t="s">
        <v>169</v>
      </c>
      <c r="F24" s="522" t="s">
        <v>177</v>
      </c>
      <c r="G24" s="522" t="s">
        <v>184</v>
      </c>
      <c r="H24" s="523" t="s">
        <v>424</v>
      </c>
    </row>
    <row r="25" spans="1:9" ht="16.8">
      <c r="A25" s="518" t="s">
        <v>425</v>
      </c>
      <c r="B25" s="519">
        <v>2</v>
      </c>
      <c r="C25" s="521" t="s">
        <v>167</v>
      </c>
      <c r="D25" s="529" t="s">
        <v>426</v>
      </c>
      <c r="E25" s="580" t="s">
        <v>169</v>
      </c>
      <c r="F25" s="16" t="s">
        <v>321</v>
      </c>
      <c r="G25" s="522" t="s">
        <v>171</v>
      </c>
      <c r="H25" s="19" t="s">
        <v>427</v>
      </c>
    </row>
    <row r="26" spans="1:9" ht="16.8">
      <c r="A26" s="518" t="s">
        <v>469</v>
      </c>
      <c r="B26" s="519">
        <v>2</v>
      </c>
      <c r="C26" s="521" t="s">
        <v>167</v>
      </c>
      <c r="D26" s="529" t="s">
        <v>428</v>
      </c>
      <c r="E26" s="580" t="s">
        <v>169</v>
      </c>
      <c r="F26" s="16" t="s">
        <v>321</v>
      </c>
      <c r="G26" s="522" t="s">
        <v>411</v>
      </c>
      <c r="H26" s="19" t="s">
        <v>429</v>
      </c>
    </row>
    <row r="27" spans="1:9" ht="16.8">
      <c r="A27" s="518" t="s">
        <v>302</v>
      </c>
      <c r="B27" s="519">
        <v>2</v>
      </c>
      <c r="C27" s="521" t="s">
        <v>173</v>
      </c>
      <c r="D27" s="529" t="s">
        <v>168</v>
      </c>
      <c r="E27" s="580" t="s">
        <v>169</v>
      </c>
      <c r="F27" s="522" t="s">
        <v>170</v>
      </c>
      <c r="G27" s="522" t="s">
        <v>171</v>
      </c>
      <c r="H27" s="523" t="s">
        <v>430</v>
      </c>
    </row>
    <row r="28" spans="1:9" ht="16.8">
      <c r="A28" s="518" t="s">
        <v>431</v>
      </c>
      <c r="B28" s="519">
        <v>2</v>
      </c>
      <c r="C28" s="20" t="s">
        <v>173</v>
      </c>
      <c r="D28" s="15" t="s">
        <v>205</v>
      </c>
      <c r="E28" s="580" t="s">
        <v>169</v>
      </c>
      <c r="F28" s="522" t="s">
        <v>170</v>
      </c>
      <c r="G28" s="16" t="s">
        <v>171</v>
      </c>
      <c r="H28" s="523" t="s">
        <v>432</v>
      </c>
    </row>
    <row r="29" spans="1:9" ht="16.8">
      <c r="A29" s="524" t="s">
        <v>433</v>
      </c>
      <c r="B29" s="525">
        <v>2</v>
      </c>
      <c r="C29" s="538" t="s">
        <v>174</v>
      </c>
      <c r="D29" s="539" t="s">
        <v>176</v>
      </c>
      <c r="E29" s="581" t="s">
        <v>169</v>
      </c>
      <c r="F29" s="540" t="s">
        <v>192</v>
      </c>
      <c r="G29" s="540" t="s">
        <v>171</v>
      </c>
      <c r="H29" s="141" t="s">
        <v>434</v>
      </c>
    </row>
    <row r="30" spans="1:9" ht="16.8">
      <c r="A30" s="550" t="s">
        <v>435</v>
      </c>
      <c r="B30" s="551">
        <v>3</v>
      </c>
      <c r="C30" s="552" t="s">
        <v>173</v>
      </c>
      <c r="D30" s="553" t="s">
        <v>205</v>
      </c>
      <c r="E30" s="582" t="s">
        <v>169</v>
      </c>
      <c r="F30" s="554" t="s">
        <v>195</v>
      </c>
      <c r="G30" s="555" t="s">
        <v>184</v>
      </c>
      <c r="H30" s="556" t="s">
        <v>436</v>
      </c>
    </row>
    <row r="31" spans="1:9" ht="16.8">
      <c r="A31" s="550" t="s">
        <v>293</v>
      </c>
      <c r="B31" s="551">
        <v>3</v>
      </c>
      <c r="C31" s="552" t="s">
        <v>173</v>
      </c>
      <c r="D31" s="557" t="s">
        <v>182</v>
      </c>
      <c r="E31" s="582" t="s">
        <v>169</v>
      </c>
      <c r="F31" s="554" t="s">
        <v>321</v>
      </c>
      <c r="G31" s="555" t="s">
        <v>171</v>
      </c>
      <c r="H31" s="558" t="s">
        <v>420</v>
      </c>
    </row>
    <row r="32" spans="1:9" ht="16.8">
      <c r="A32" s="550" t="s">
        <v>437</v>
      </c>
      <c r="B32" s="551">
        <v>3</v>
      </c>
      <c r="C32" s="552" t="s">
        <v>174</v>
      </c>
      <c r="D32" s="557" t="s">
        <v>182</v>
      </c>
      <c r="E32" s="583" t="s">
        <v>169</v>
      </c>
      <c r="F32" s="555" t="s">
        <v>170</v>
      </c>
      <c r="G32" s="555" t="s">
        <v>178</v>
      </c>
      <c r="H32" s="558" t="s">
        <v>420</v>
      </c>
    </row>
    <row r="33" spans="1:9" ht="16.8">
      <c r="A33" s="550" t="s">
        <v>220</v>
      </c>
      <c r="B33" s="551">
        <v>3</v>
      </c>
      <c r="C33" s="552" t="s">
        <v>173</v>
      </c>
      <c r="D33" s="553" t="s">
        <v>168</v>
      </c>
      <c r="E33" s="583" t="s">
        <v>169</v>
      </c>
      <c r="F33" s="555" t="s">
        <v>192</v>
      </c>
      <c r="G33" s="555" t="s">
        <v>191</v>
      </c>
      <c r="H33" s="556" t="s">
        <v>438</v>
      </c>
    </row>
    <row r="34" spans="1:9" ht="16.8">
      <c r="A34" s="550" t="s">
        <v>439</v>
      </c>
      <c r="B34" s="551">
        <v>3</v>
      </c>
      <c r="C34" s="552" t="s">
        <v>173</v>
      </c>
      <c r="D34" s="553" t="s">
        <v>205</v>
      </c>
      <c r="E34" s="555" t="s">
        <v>169</v>
      </c>
      <c r="F34" s="559" t="s">
        <v>321</v>
      </c>
      <c r="G34" s="555" t="s">
        <v>440</v>
      </c>
      <c r="H34" s="560" t="s">
        <v>441</v>
      </c>
    </row>
    <row r="35" spans="1:9" ht="16.8">
      <c r="A35" s="550" t="s">
        <v>333</v>
      </c>
      <c r="B35" s="551">
        <v>3</v>
      </c>
      <c r="C35" s="561" t="s">
        <v>173</v>
      </c>
      <c r="D35" s="562" t="s">
        <v>182</v>
      </c>
      <c r="E35" s="582" t="s">
        <v>169</v>
      </c>
      <c r="F35" s="554" t="s">
        <v>334</v>
      </c>
      <c r="G35" s="554" t="s">
        <v>171</v>
      </c>
      <c r="H35" s="563" t="s">
        <v>442</v>
      </c>
    </row>
    <row r="36" spans="1:9" ht="16.8">
      <c r="A36" s="550" t="s">
        <v>443</v>
      </c>
      <c r="B36" s="551">
        <v>3</v>
      </c>
      <c r="C36" s="552" t="s">
        <v>466</v>
      </c>
      <c r="D36" s="564" t="s">
        <v>318</v>
      </c>
      <c r="E36" s="555" t="s">
        <v>169</v>
      </c>
      <c r="F36" s="555" t="s">
        <v>175</v>
      </c>
      <c r="G36" s="555" t="s">
        <v>171</v>
      </c>
      <c r="H36" s="560" t="s">
        <v>444</v>
      </c>
    </row>
    <row r="37" spans="1:9" ht="16.8">
      <c r="A37" s="550" t="s">
        <v>445</v>
      </c>
      <c r="B37" s="551">
        <v>3</v>
      </c>
      <c r="C37" s="552" t="s">
        <v>167</v>
      </c>
      <c r="D37" s="562" t="s">
        <v>182</v>
      </c>
      <c r="E37" s="555" t="s">
        <v>169</v>
      </c>
      <c r="F37" s="555" t="s">
        <v>195</v>
      </c>
      <c r="G37" s="555" t="s">
        <v>183</v>
      </c>
      <c r="H37" s="563" t="s">
        <v>446</v>
      </c>
    </row>
    <row r="38" spans="1:9" ht="16.8">
      <c r="A38" s="550" t="s">
        <v>447</v>
      </c>
      <c r="B38" s="551">
        <v>3</v>
      </c>
      <c r="C38" s="552" t="s">
        <v>167</v>
      </c>
      <c r="D38" s="562" t="s">
        <v>205</v>
      </c>
      <c r="E38" s="582" t="s">
        <v>169</v>
      </c>
      <c r="F38" s="554" t="s">
        <v>321</v>
      </c>
      <c r="G38" s="555" t="s">
        <v>184</v>
      </c>
      <c r="H38" s="556" t="s">
        <v>448</v>
      </c>
    </row>
    <row r="39" spans="1:9" ht="16.8">
      <c r="A39" s="565" t="s">
        <v>298</v>
      </c>
      <c r="B39" s="566">
        <v>3</v>
      </c>
      <c r="C39" s="567" t="s">
        <v>167</v>
      </c>
      <c r="D39" s="568" t="s">
        <v>182</v>
      </c>
      <c r="E39" s="584" t="s">
        <v>169</v>
      </c>
      <c r="F39" s="569" t="s">
        <v>177</v>
      </c>
      <c r="G39" s="569" t="s">
        <v>184</v>
      </c>
      <c r="H39" s="570" t="s">
        <v>449</v>
      </c>
    </row>
    <row r="40" spans="1:9" ht="16.8">
      <c r="A40" s="550" t="s">
        <v>450</v>
      </c>
      <c r="B40" s="551">
        <v>4</v>
      </c>
      <c r="C40" s="552" t="s">
        <v>167</v>
      </c>
      <c r="D40" s="562" t="s">
        <v>182</v>
      </c>
      <c r="E40" s="582" t="s">
        <v>169</v>
      </c>
      <c r="F40" s="555" t="s">
        <v>175</v>
      </c>
      <c r="G40" s="555" t="s">
        <v>191</v>
      </c>
      <c r="H40" s="563" t="s">
        <v>415</v>
      </c>
    </row>
    <row r="41" spans="1:9" ht="16.8">
      <c r="A41" s="550" t="s">
        <v>451</v>
      </c>
      <c r="B41" s="551">
        <v>4</v>
      </c>
      <c r="C41" s="552" t="s">
        <v>466</v>
      </c>
      <c r="D41" s="562" t="s">
        <v>168</v>
      </c>
      <c r="E41" s="582" t="s">
        <v>169</v>
      </c>
      <c r="F41" s="554" t="s">
        <v>175</v>
      </c>
      <c r="G41" s="555" t="s">
        <v>171</v>
      </c>
      <c r="H41" s="563" t="s">
        <v>452</v>
      </c>
    </row>
    <row r="42" spans="1:9" ht="16.8">
      <c r="A42" s="550" t="s">
        <v>470</v>
      </c>
      <c r="B42" s="551">
        <v>4</v>
      </c>
      <c r="C42" s="552" t="s">
        <v>167</v>
      </c>
      <c r="D42" s="562" t="s">
        <v>182</v>
      </c>
      <c r="E42" s="582" t="s">
        <v>169</v>
      </c>
      <c r="F42" s="555" t="s">
        <v>177</v>
      </c>
      <c r="G42" s="555" t="s">
        <v>184</v>
      </c>
      <c r="H42" s="563" t="s">
        <v>453</v>
      </c>
    </row>
    <row r="43" spans="1:9" ht="16.8">
      <c r="A43" s="550" t="s">
        <v>454</v>
      </c>
      <c r="B43" s="551">
        <v>4</v>
      </c>
      <c r="C43" s="552" t="s">
        <v>167</v>
      </c>
      <c r="D43" s="562" t="s">
        <v>168</v>
      </c>
      <c r="E43" s="562" t="s">
        <v>169</v>
      </c>
      <c r="F43" s="555" t="s">
        <v>170</v>
      </c>
      <c r="G43" s="555" t="s">
        <v>171</v>
      </c>
      <c r="H43" s="563" t="s">
        <v>401</v>
      </c>
    </row>
    <row r="44" spans="1:9" ht="16.8">
      <c r="A44" s="550" t="s">
        <v>455</v>
      </c>
      <c r="B44" s="551">
        <v>4</v>
      </c>
      <c r="C44" s="552" t="s">
        <v>167</v>
      </c>
      <c r="D44" s="562" t="s">
        <v>168</v>
      </c>
      <c r="E44" s="562" t="s">
        <v>169</v>
      </c>
      <c r="F44" s="555" t="s">
        <v>170</v>
      </c>
      <c r="G44" s="555" t="s">
        <v>171</v>
      </c>
      <c r="H44" s="563" t="s">
        <v>401</v>
      </c>
    </row>
    <row r="45" spans="1:9" ht="16.8">
      <c r="A45" s="550" t="s">
        <v>456</v>
      </c>
      <c r="B45" s="551">
        <v>4</v>
      </c>
      <c r="C45" s="552" t="s">
        <v>167</v>
      </c>
      <c r="D45" s="562" t="s">
        <v>168</v>
      </c>
      <c r="E45" s="562" t="s">
        <v>169</v>
      </c>
      <c r="F45" s="555" t="s">
        <v>170</v>
      </c>
      <c r="G45" s="555" t="s">
        <v>171</v>
      </c>
      <c r="H45" s="563" t="s">
        <v>404</v>
      </c>
    </row>
    <row r="46" spans="1:9" ht="16.8">
      <c r="A46" s="550" t="s">
        <v>457</v>
      </c>
      <c r="B46" s="551">
        <v>4</v>
      </c>
      <c r="C46" s="552" t="s">
        <v>167</v>
      </c>
      <c r="D46" s="562" t="s">
        <v>168</v>
      </c>
      <c r="E46" s="562" t="s">
        <v>169</v>
      </c>
      <c r="F46" s="555" t="s">
        <v>177</v>
      </c>
      <c r="G46" s="555" t="s">
        <v>171</v>
      </c>
      <c r="H46" s="563" t="s">
        <v>404</v>
      </c>
      <c r="I46" s="535"/>
    </row>
    <row r="47" spans="1:9" ht="16.8">
      <c r="A47" s="550" t="s">
        <v>458</v>
      </c>
      <c r="B47" s="551">
        <v>4</v>
      </c>
      <c r="C47" s="552" t="s">
        <v>167</v>
      </c>
      <c r="D47" s="562" t="s">
        <v>168</v>
      </c>
      <c r="E47" s="562" t="s">
        <v>169</v>
      </c>
      <c r="F47" s="555" t="s">
        <v>170</v>
      </c>
      <c r="G47" s="555" t="s">
        <v>171</v>
      </c>
      <c r="H47" s="563" t="s">
        <v>404</v>
      </c>
      <c r="I47" s="535"/>
    </row>
    <row r="48" spans="1:9" ht="16.8">
      <c r="A48" s="550" t="s">
        <v>459</v>
      </c>
      <c r="B48" s="551">
        <v>4</v>
      </c>
      <c r="C48" s="552" t="s">
        <v>167</v>
      </c>
      <c r="D48" s="562" t="s">
        <v>168</v>
      </c>
      <c r="E48" s="562" t="s">
        <v>169</v>
      </c>
      <c r="F48" s="555" t="s">
        <v>170</v>
      </c>
      <c r="G48" s="555" t="s">
        <v>171</v>
      </c>
      <c r="H48" s="563" t="s">
        <v>404</v>
      </c>
      <c r="I48" s="535"/>
    </row>
    <row r="49" spans="1:8" ht="16.8">
      <c r="A49" s="550" t="s">
        <v>460</v>
      </c>
      <c r="B49" s="551">
        <v>4</v>
      </c>
      <c r="C49" s="552" t="s">
        <v>190</v>
      </c>
      <c r="D49" s="562" t="s">
        <v>168</v>
      </c>
      <c r="E49" s="562" t="s">
        <v>169</v>
      </c>
      <c r="F49" s="555" t="s">
        <v>177</v>
      </c>
      <c r="G49" s="555" t="s">
        <v>171</v>
      </c>
      <c r="H49" s="563" t="s">
        <v>461</v>
      </c>
    </row>
    <row r="50" spans="1:8" ht="16.8">
      <c r="A50" s="550" t="s">
        <v>462</v>
      </c>
      <c r="B50" s="551">
        <v>4</v>
      </c>
      <c r="C50" s="552" t="s">
        <v>173</v>
      </c>
      <c r="D50" s="562" t="s">
        <v>197</v>
      </c>
      <c r="E50" s="562" t="s">
        <v>169</v>
      </c>
      <c r="F50" s="555" t="s">
        <v>143</v>
      </c>
      <c r="G50" s="555" t="s">
        <v>171</v>
      </c>
      <c r="H50" s="563" t="s">
        <v>408</v>
      </c>
    </row>
    <row r="51" spans="1:8" ht="17.399999999999999" thickBot="1">
      <c r="A51" s="571" t="s">
        <v>463</v>
      </c>
      <c r="B51" s="572">
        <v>4</v>
      </c>
      <c r="C51" s="573" t="s">
        <v>173</v>
      </c>
      <c r="D51" s="574" t="s">
        <v>205</v>
      </c>
      <c r="E51" s="585" t="s">
        <v>169</v>
      </c>
      <c r="F51" s="575" t="s">
        <v>177</v>
      </c>
      <c r="G51" s="576" t="s">
        <v>464</v>
      </c>
      <c r="H51" s="577" t="s">
        <v>465</v>
      </c>
    </row>
    <row r="52" spans="1:8"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3"/>
  <sheetViews>
    <sheetView showGridLines="0" workbookViewId="0"/>
  </sheetViews>
  <sheetFormatPr defaultColWidth="9.8984375" defaultRowHeight="16.8"/>
  <cols>
    <col min="1" max="1" width="15.296875" style="112" bestFit="1" customWidth="1"/>
    <col min="2" max="2" width="3.5" style="112" bestFit="1" customWidth="1"/>
    <col min="3" max="3" width="6.19921875" style="112" bestFit="1" customWidth="1"/>
    <col min="4" max="4" width="4.09765625" style="112" bestFit="1" customWidth="1"/>
    <col min="5" max="5" width="6.296875" style="112" bestFit="1" customWidth="1"/>
    <col min="6" max="6" width="2.8984375" style="112" customWidth="1"/>
    <col min="7" max="7" width="18.5" style="112" bestFit="1" customWidth="1"/>
    <col min="8" max="8" width="3.8984375" style="112" bestFit="1" customWidth="1"/>
    <col min="9" max="9" width="4" style="112" customWidth="1"/>
    <col min="10" max="10" width="4.3984375" style="112" bestFit="1" customWidth="1"/>
    <col min="11" max="11" width="4.09765625" style="112" bestFit="1" customWidth="1"/>
    <col min="12" max="15" width="3.8984375" style="112" bestFit="1" customWidth="1"/>
    <col min="16" max="16" width="2.8984375" style="112" customWidth="1"/>
    <col min="17" max="17" width="28.3984375" style="112" bestFit="1" customWidth="1"/>
    <col min="18" max="18" width="3.5" style="112" bestFit="1" customWidth="1"/>
    <col min="19" max="19" width="6.19921875" style="112" bestFit="1" customWidth="1"/>
    <col min="20" max="20" width="4.09765625" style="112" bestFit="1" customWidth="1"/>
    <col min="21" max="21" width="6.296875" style="112" bestFit="1" customWidth="1"/>
    <col min="22" max="22" width="5.8984375" style="112" customWidth="1"/>
    <col min="23" max="16384" width="9.8984375" style="112"/>
  </cols>
  <sheetData>
    <row r="1" spans="1:23" ht="22.2" thickTop="1" thickBot="1">
      <c r="A1" s="503" t="s">
        <v>276</v>
      </c>
      <c r="B1" s="432"/>
      <c r="C1" s="433"/>
      <c r="D1" s="433"/>
      <c r="E1" s="434"/>
      <c r="G1" s="435"/>
      <c r="H1" s="436" t="s">
        <v>277</v>
      </c>
      <c r="I1" s="437"/>
      <c r="J1" s="438"/>
      <c r="K1" s="438"/>
      <c r="L1" s="438"/>
      <c r="M1" s="438"/>
      <c r="N1" s="438"/>
      <c r="O1" s="439"/>
      <c r="Q1" s="502" t="s">
        <v>383</v>
      </c>
      <c r="R1" s="472"/>
      <c r="S1" s="473"/>
      <c r="T1" s="473"/>
      <c r="U1" s="474"/>
    </row>
    <row r="2" spans="1:23" ht="18" thickTop="1" thickBot="1">
      <c r="A2" s="440" t="s">
        <v>283</v>
      </c>
      <c r="B2" s="441" t="s">
        <v>337</v>
      </c>
      <c r="C2" s="441" t="s">
        <v>99</v>
      </c>
      <c r="D2" s="441" t="s">
        <v>100</v>
      </c>
      <c r="E2" s="442" t="s">
        <v>101</v>
      </c>
      <c r="G2" s="435"/>
      <c r="H2" s="443" t="s">
        <v>114</v>
      </c>
      <c r="I2" s="444" t="s">
        <v>106</v>
      </c>
      <c r="J2" s="444" t="s">
        <v>107</v>
      </c>
      <c r="K2" s="444" t="s">
        <v>108</v>
      </c>
      <c r="L2" s="444" t="s">
        <v>109</v>
      </c>
      <c r="M2" s="444" t="s">
        <v>110</v>
      </c>
      <c r="N2" s="444" t="s">
        <v>111</v>
      </c>
      <c r="O2" s="445" t="s">
        <v>112</v>
      </c>
      <c r="Q2" s="493" t="s">
        <v>96</v>
      </c>
      <c r="R2" s="494" t="s">
        <v>337</v>
      </c>
      <c r="S2" s="494" t="s">
        <v>99</v>
      </c>
      <c r="T2" s="495" t="s">
        <v>100</v>
      </c>
      <c r="U2" s="496" t="s">
        <v>101</v>
      </c>
    </row>
    <row r="3" spans="1:23" ht="17.399999999999999" thickTop="1">
      <c r="A3" s="446">
        <f>$H$5</f>
        <v>6</v>
      </c>
      <c r="B3" s="447">
        <v>1</v>
      </c>
      <c r="C3" s="447">
        <v>0</v>
      </c>
      <c r="D3" s="448">
        <f>10+B3+C3+'Personal File'!$C$15</f>
        <v>12</v>
      </c>
      <c r="E3" s="449">
        <v>0</v>
      </c>
      <c r="G3" s="450" t="s">
        <v>276</v>
      </c>
      <c r="H3" s="451">
        <v>6</v>
      </c>
      <c r="I3" s="452">
        <v>6</v>
      </c>
      <c r="J3" s="452">
        <v>4</v>
      </c>
      <c r="K3" s="453">
        <v>0</v>
      </c>
      <c r="L3" s="453">
        <v>0</v>
      </c>
      <c r="M3" s="453">
        <v>0</v>
      </c>
      <c r="N3" s="453">
        <v>0</v>
      </c>
      <c r="O3" s="454">
        <v>0</v>
      </c>
      <c r="Q3" s="414" t="s">
        <v>150</v>
      </c>
      <c r="R3" s="415">
        <v>0</v>
      </c>
      <c r="S3" s="415">
        <v>0</v>
      </c>
      <c r="T3" s="416">
        <f>10+R3+S3+'Personal File'!$C$13</f>
        <v>14</v>
      </c>
      <c r="U3" s="417" t="s">
        <v>102</v>
      </c>
    </row>
    <row r="4" spans="1:23">
      <c r="A4" s="455">
        <f>$I$5</f>
        <v>14</v>
      </c>
      <c r="B4" s="456">
        <v>1</v>
      </c>
      <c r="C4" s="456">
        <v>1</v>
      </c>
      <c r="D4" s="457">
        <f>10+B4+C4+'Personal File'!$C$15</f>
        <v>13</v>
      </c>
      <c r="E4" s="458">
        <v>0</v>
      </c>
      <c r="G4" s="459" t="s">
        <v>275</v>
      </c>
      <c r="H4" s="460">
        <v>0</v>
      </c>
      <c r="I4" s="460">
        <v>1</v>
      </c>
      <c r="J4" s="460">
        <v>0</v>
      </c>
      <c r="K4" s="461">
        <v>0</v>
      </c>
      <c r="L4" s="461">
        <v>0</v>
      </c>
      <c r="M4" s="461">
        <v>0</v>
      </c>
      <c r="N4" s="461">
        <v>0</v>
      </c>
      <c r="O4" s="462">
        <v>0</v>
      </c>
      <c r="Q4" s="414" t="s">
        <v>150</v>
      </c>
      <c r="R4" s="415">
        <v>0</v>
      </c>
      <c r="S4" s="415">
        <v>0</v>
      </c>
      <c r="T4" s="416">
        <f>10+R4+S4+'Personal File'!$C$13</f>
        <v>14</v>
      </c>
      <c r="U4" s="417" t="s">
        <v>102</v>
      </c>
    </row>
    <row r="5" spans="1:23" ht="17.399999999999999" thickBot="1">
      <c r="A5" s="463">
        <f>$J$5</f>
        <v>4</v>
      </c>
      <c r="B5" s="464">
        <v>1</v>
      </c>
      <c r="C5" s="464">
        <v>2</v>
      </c>
      <c r="D5" s="465">
        <f>10+B5+C5+'Personal File'!$C$15</f>
        <v>14</v>
      </c>
      <c r="E5" s="466">
        <v>0</v>
      </c>
      <c r="G5" s="467" t="s">
        <v>122</v>
      </c>
      <c r="H5" s="468">
        <f>SUM(H3:H4)</f>
        <v>6</v>
      </c>
      <c r="I5" s="469">
        <f>2*SUM(I3:I4)</f>
        <v>14</v>
      </c>
      <c r="J5" s="468">
        <f>SUM(J3:J4)</f>
        <v>4</v>
      </c>
      <c r="K5" s="470">
        <v>0</v>
      </c>
      <c r="L5" s="470">
        <v>0</v>
      </c>
      <c r="M5" s="470">
        <v>0</v>
      </c>
      <c r="N5" s="470">
        <v>0</v>
      </c>
      <c r="O5" s="471">
        <v>0</v>
      </c>
      <c r="Q5" s="414" t="s">
        <v>144</v>
      </c>
      <c r="R5" s="415">
        <v>1</v>
      </c>
      <c r="S5" s="415">
        <v>0</v>
      </c>
      <c r="T5" s="416">
        <f>10+R5+S5+'Personal File'!$C$13</f>
        <v>15</v>
      </c>
      <c r="U5" s="417" t="s">
        <v>102</v>
      </c>
    </row>
    <row r="6" spans="1:23" ht="18" thickTop="1" thickBot="1">
      <c r="Q6" s="418" t="s">
        <v>203</v>
      </c>
      <c r="R6" s="419">
        <v>0</v>
      </c>
      <c r="S6" s="419">
        <v>0</v>
      </c>
      <c r="T6" s="420">
        <f>10+R6+S6+'Personal File'!$C$13</f>
        <v>14</v>
      </c>
      <c r="U6" s="421" t="s">
        <v>102</v>
      </c>
    </row>
    <row r="7" spans="1:23" ht="22.2" thickTop="1" thickBot="1">
      <c r="A7" s="502" t="s">
        <v>208</v>
      </c>
      <c r="B7" s="472"/>
      <c r="C7" s="473"/>
      <c r="D7" s="473"/>
      <c r="E7" s="474"/>
      <c r="G7" s="435"/>
      <c r="H7" s="436" t="s">
        <v>278</v>
      </c>
      <c r="I7" s="437"/>
      <c r="J7" s="438"/>
      <c r="K7" s="438"/>
      <c r="L7" s="438"/>
      <c r="M7" s="438"/>
      <c r="N7" s="438"/>
      <c r="O7" s="439"/>
      <c r="Q7" s="414" t="s">
        <v>153</v>
      </c>
      <c r="R7" s="415">
        <v>0</v>
      </c>
      <c r="S7" s="415">
        <v>1</v>
      </c>
      <c r="T7" s="416">
        <f>10+R7+S7+'Personal File'!$C$13</f>
        <v>15</v>
      </c>
      <c r="U7" s="417" t="s">
        <v>102</v>
      </c>
    </row>
    <row r="8" spans="1:23" ht="18" thickTop="1" thickBot="1">
      <c r="A8" s="493" t="s">
        <v>96</v>
      </c>
      <c r="B8" s="494" t="s">
        <v>337</v>
      </c>
      <c r="C8" s="494" t="s">
        <v>99</v>
      </c>
      <c r="D8" s="495" t="s">
        <v>100</v>
      </c>
      <c r="E8" s="496" t="s">
        <v>101</v>
      </c>
      <c r="G8" s="435"/>
      <c r="H8" s="443" t="s">
        <v>114</v>
      </c>
      <c r="I8" s="444" t="s">
        <v>106</v>
      </c>
      <c r="J8" s="444" t="s">
        <v>107</v>
      </c>
      <c r="K8" s="444" t="s">
        <v>108</v>
      </c>
      <c r="L8" s="444" t="s">
        <v>109</v>
      </c>
      <c r="M8" s="444" t="s">
        <v>110</v>
      </c>
      <c r="N8" s="444" t="s">
        <v>111</v>
      </c>
      <c r="O8" s="445" t="s">
        <v>112</v>
      </c>
      <c r="Q8" s="414" t="s">
        <v>154</v>
      </c>
      <c r="R8" s="415">
        <v>0</v>
      </c>
      <c r="S8" s="415">
        <v>1</v>
      </c>
      <c r="T8" s="416">
        <f>10+R8+S8+'Personal File'!$C$13</f>
        <v>15</v>
      </c>
      <c r="U8" s="417" t="s">
        <v>102</v>
      </c>
    </row>
    <row r="9" spans="1:23" ht="17.399999999999999" thickTop="1">
      <c r="A9" s="475" t="s">
        <v>116</v>
      </c>
      <c r="B9" s="476">
        <v>0</v>
      </c>
      <c r="C9" s="476">
        <v>0</v>
      </c>
      <c r="D9" s="477">
        <f>10+B9+C9+'Personal File'!$C$13+1</f>
        <v>15</v>
      </c>
      <c r="E9" s="478" t="s">
        <v>102</v>
      </c>
      <c r="G9" s="450" t="s">
        <v>149</v>
      </c>
      <c r="H9" s="451">
        <v>4</v>
      </c>
      <c r="I9" s="452">
        <v>4</v>
      </c>
      <c r="J9" s="452">
        <v>3</v>
      </c>
      <c r="K9" s="452">
        <v>3</v>
      </c>
      <c r="L9" s="452">
        <v>2</v>
      </c>
      <c r="M9" s="453">
        <v>0</v>
      </c>
      <c r="N9" s="453">
        <v>0</v>
      </c>
      <c r="O9" s="454">
        <v>0</v>
      </c>
      <c r="Q9" s="414" t="s">
        <v>356</v>
      </c>
      <c r="R9" s="415">
        <v>1</v>
      </c>
      <c r="S9" s="415">
        <v>1</v>
      </c>
      <c r="T9" s="416">
        <f>10+R9+S9+'Personal File'!$C$13</f>
        <v>16</v>
      </c>
      <c r="U9" s="417" t="s">
        <v>102</v>
      </c>
    </row>
    <row r="10" spans="1:23">
      <c r="A10" s="479" t="s">
        <v>144</v>
      </c>
      <c r="B10" s="123">
        <v>0</v>
      </c>
      <c r="C10" s="123">
        <v>0</v>
      </c>
      <c r="D10" s="124">
        <f>10+B10+C10+'Personal File'!$C$13+1</f>
        <v>15</v>
      </c>
      <c r="E10" s="417" t="s">
        <v>102</v>
      </c>
      <c r="G10" s="459" t="s">
        <v>246</v>
      </c>
      <c r="H10" s="460">
        <v>0</v>
      </c>
      <c r="I10" s="460">
        <v>1</v>
      </c>
      <c r="J10" s="460">
        <v>1</v>
      </c>
      <c r="K10" s="460">
        <v>1</v>
      </c>
      <c r="L10" s="460">
        <v>1</v>
      </c>
      <c r="M10" s="461">
        <v>0</v>
      </c>
      <c r="N10" s="461">
        <v>0</v>
      </c>
      <c r="O10" s="462">
        <v>0</v>
      </c>
      <c r="Q10" s="414" t="s">
        <v>356</v>
      </c>
      <c r="R10" s="415">
        <v>1</v>
      </c>
      <c r="S10" s="415">
        <v>1</v>
      </c>
      <c r="T10" s="416">
        <f>10+R10+S10+'Personal File'!$C$13</f>
        <v>16</v>
      </c>
      <c r="U10" s="417" t="s">
        <v>102</v>
      </c>
    </row>
    <row r="11" spans="1:23">
      <c r="A11" s="479" t="s">
        <v>145</v>
      </c>
      <c r="B11" s="123">
        <v>0</v>
      </c>
      <c r="C11" s="123">
        <v>0</v>
      </c>
      <c r="D11" s="124">
        <f>10+B11+C11+'Personal File'!$C$13+1</f>
        <v>15</v>
      </c>
      <c r="E11" s="417" t="s">
        <v>102</v>
      </c>
      <c r="G11" s="459" t="s">
        <v>118</v>
      </c>
      <c r="H11" s="460">
        <v>0</v>
      </c>
      <c r="I11" s="460">
        <v>1</v>
      </c>
      <c r="J11" s="460">
        <v>1</v>
      </c>
      <c r="K11" s="460">
        <v>1</v>
      </c>
      <c r="L11" s="460">
        <v>1</v>
      </c>
      <c r="M11" s="461">
        <v>0</v>
      </c>
      <c r="N11" s="461">
        <v>0</v>
      </c>
      <c r="O11" s="462">
        <v>0</v>
      </c>
      <c r="Q11" s="414" t="s">
        <v>287</v>
      </c>
      <c r="R11" s="415">
        <v>1</v>
      </c>
      <c r="S11" s="415">
        <v>1</v>
      </c>
      <c r="T11" s="416">
        <f>10+R11+S11+'Personal File'!$C$13</f>
        <v>16</v>
      </c>
      <c r="U11" s="417" t="s">
        <v>102</v>
      </c>
    </row>
    <row r="12" spans="1:23" ht="17.399999999999999" thickBot="1">
      <c r="A12" s="480" t="s">
        <v>146</v>
      </c>
      <c r="B12" s="429">
        <v>0</v>
      </c>
      <c r="C12" s="429">
        <v>2</v>
      </c>
      <c r="D12" s="430">
        <f>10+B12+C12+'Personal File'!$C$13+1</f>
        <v>17</v>
      </c>
      <c r="E12" s="431" t="s">
        <v>102</v>
      </c>
      <c r="G12" s="467" t="s">
        <v>122</v>
      </c>
      <c r="H12" s="501">
        <f t="shared" ref="H12" si="0">SUM(H9:H11)</f>
        <v>4</v>
      </c>
      <c r="I12" s="469">
        <f>2*SUM(I9:I11)</f>
        <v>12</v>
      </c>
      <c r="J12" s="501">
        <f t="shared" ref="J12:K12" si="1">SUM(J9:J11)</f>
        <v>5</v>
      </c>
      <c r="K12" s="501">
        <f t="shared" si="1"/>
        <v>5</v>
      </c>
      <c r="L12" s="501">
        <f t="shared" ref="L12" si="2">SUM(L9:L11)</f>
        <v>4</v>
      </c>
      <c r="M12" s="470">
        <v>0</v>
      </c>
      <c r="N12" s="470">
        <v>0</v>
      </c>
      <c r="O12" s="471">
        <v>0</v>
      </c>
      <c r="Q12" s="414" t="s">
        <v>287</v>
      </c>
      <c r="R12" s="415">
        <v>1</v>
      </c>
      <c r="S12" s="415">
        <v>1</v>
      </c>
      <c r="T12" s="416">
        <f>10+R12+S12+'Personal File'!$C$13</f>
        <v>16</v>
      </c>
      <c r="U12" s="417" t="s">
        <v>102</v>
      </c>
    </row>
    <row r="13" spans="1:23" ht="18" thickTop="1" thickBot="1">
      <c r="Q13" s="422" t="s">
        <v>331</v>
      </c>
      <c r="R13" s="423">
        <v>1</v>
      </c>
      <c r="S13" s="423">
        <v>1</v>
      </c>
      <c r="T13" s="424">
        <f>10+R13+S13+'Personal File'!$C$13</f>
        <v>16</v>
      </c>
      <c r="U13" s="417" t="s">
        <v>102</v>
      </c>
    </row>
    <row r="14" spans="1:23" ht="17.399999999999999" thickTop="1">
      <c r="G14" s="497" t="s">
        <v>219</v>
      </c>
      <c r="H14" s="498" t="s">
        <v>280</v>
      </c>
      <c r="I14" s="498"/>
      <c r="J14" s="499" t="s">
        <v>282</v>
      </c>
      <c r="K14" s="498"/>
      <c r="L14" s="499" t="s">
        <v>281</v>
      </c>
      <c r="M14" s="499"/>
      <c r="N14" s="498"/>
      <c r="O14" s="500"/>
      <c r="Q14" s="422" t="s">
        <v>331</v>
      </c>
      <c r="R14" s="423">
        <v>1</v>
      </c>
      <c r="S14" s="423">
        <v>1</v>
      </c>
      <c r="T14" s="424">
        <f>10+R14+S14+'Personal File'!$C$13</f>
        <v>16</v>
      </c>
      <c r="U14" s="417" t="s">
        <v>102</v>
      </c>
    </row>
    <row r="15" spans="1:23">
      <c r="G15" s="481" t="s">
        <v>249</v>
      </c>
      <c r="H15" s="482">
        <f>'Personal File'!E4</f>
        <v>1</v>
      </c>
      <c r="I15" s="482"/>
      <c r="J15" s="483">
        <f>H15+('Personal File'!$E$6-1)</f>
        <v>5</v>
      </c>
      <c r="K15" s="484"/>
      <c r="L15" s="483">
        <f>H15+'Personal File'!$E$6+4+2-1</f>
        <v>11</v>
      </c>
      <c r="M15" s="484"/>
      <c r="N15" s="484"/>
      <c r="O15" s="485"/>
      <c r="Q15" s="422" t="s">
        <v>284</v>
      </c>
      <c r="R15" s="423">
        <v>1</v>
      </c>
      <c r="S15" s="423">
        <v>1</v>
      </c>
      <c r="T15" s="424">
        <f>10+R15+S15+'Personal File'!$C$13</f>
        <v>16</v>
      </c>
      <c r="U15" s="417" t="s">
        <v>102</v>
      </c>
      <c r="W15" s="486" t="s">
        <v>363</v>
      </c>
    </row>
    <row r="16" spans="1:23" ht="17.399999999999999" thickBot="1">
      <c r="G16" s="487" t="s">
        <v>242</v>
      </c>
      <c r="H16" s="488">
        <f>'Personal File'!E3</f>
        <v>3</v>
      </c>
      <c r="I16" s="488"/>
      <c r="J16" s="489">
        <f>H16+'Personal File'!E5+'Personal File'!E6-1</f>
        <v>8</v>
      </c>
      <c r="K16" s="490"/>
      <c r="L16" s="489">
        <f>H16+'Personal File'!$E$5+'Personal File'!$E$6+2-1</f>
        <v>10</v>
      </c>
      <c r="M16" s="490"/>
      <c r="N16" s="490"/>
      <c r="O16" s="491"/>
      <c r="Q16" s="422" t="s">
        <v>284</v>
      </c>
      <c r="R16" s="423">
        <v>1</v>
      </c>
      <c r="S16" s="423">
        <v>1</v>
      </c>
      <c r="T16" s="424">
        <f>10+R16+S16+'Personal File'!$C$13</f>
        <v>16</v>
      </c>
      <c r="U16" s="417" t="s">
        <v>102</v>
      </c>
    </row>
    <row r="17" spans="9:21" ht="17.399999999999999" thickTop="1">
      <c r="I17" s="492" t="s">
        <v>376</v>
      </c>
      <c r="Q17" s="422" t="s">
        <v>284</v>
      </c>
      <c r="R17" s="423">
        <v>1</v>
      </c>
      <c r="S17" s="423">
        <v>1</v>
      </c>
      <c r="T17" s="424">
        <f>10+R17+S17+'Personal File'!$C$13</f>
        <v>16</v>
      </c>
      <c r="U17" s="417" t="s">
        <v>102</v>
      </c>
    </row>
    <row r="18" spans="9:21">
      <c r="I18" s="492" t="s">
        <v>374</v>
      </c>
      <c r="Q18" s="425" t="s">
        <v>284</v>
      </c>
      <c r="R18" s="426">
        <v>1</v>
      </c>
      <c r="S18" s="426">
        <v>1</v>
      </c>
      <c r="T18" s="427">
        <f>10+R18+S18+'Personal File'!$C$13</f>
        <v>16</v>
      </c>
      <c r="U18" s="421" t="s">
        <v>102</v>
      </c>
    </row>
    <row r="19" spans="9:21">
      <c r="Q19" s="414" t="s">
        <v>299</v>
      </c>
      <c r="R19" s="415">
        <v>0</v>
      </c>
      <c r="S19" s="415">
        <v>2</v>
      </c>
      <c r="T19" s="416">
        <f>10+R19+S19+'Personal File'!$C$13</f>
        <v>16</v>
      </c>
      <c r="U19" s="417" t="s">
        <v>102</v>
      </c>
    </row>
    <row r="20" spans="9:21">
      <c r="Q20" s="414" t="s">
        <v>332</v>
      </c>
      <c r="R20" s="415">
        <v>1</v>
      </c>
      <c r="S20" s="415">
        <v>2</v>
      </c>
      <c r="T20" s="416">
        <f>10+R20+S20+'Personal File'!$C$13</f>
        <v>17</v>
      </c>
      <c r="U20" s="417" t="s">
        <v>102</v>
      </c>
    </row>
    <row r="21" spans="9:21">
      <c r="Q21" s="414" t="s">
        <v>291</v>
      </c>
      <c r="R21" s="415">
        <v>0</v>
      </c>
      <c r="S21" s="415">
        <v>2</v>
      </c>
      <c r="T21" s="416">
        <f>10+R21+S21+'Personal File'!$C$13</f>
        <v>16</v>
      </c>
      <c r="U21" s="417" t="s">
        <v>102</v>
      </c>
    </row>
    <row r="22" spans="9:21">
      <c r="Q22" s="414" t="s">
        <v>358</v>
      </c>
      <c r="R22" s="415">
        <v>1</v>
      </c>
      <c r="S22" s="415">
        <v>2</v>
      </c>
      <c r="T22" s="416">
        <f>10+R22+S22+'Personal File'!$C$13</f>
        <v>17</v>
      </c>
      <c r="U22" s="417" t="s">
        <v>102</v>
      </c>
    </row>
    <row r="23" spans="9:21">
      <c r="Q23" s="418" t="s">
        <v>330</v>
      </c>
      <c r="R23" s="419">
        <v>0</v>
      </c>
      <c r="S23" s="419">
        <v>2</v>
      </c>
      <c r="T23" s="420">
        <f>10+R23+S23+'Personal File'!$C$13</f>
        <v>16</v>
      </c>
      <c r="U23" s="421" t="s">
        <v>102</v>
      </c>
    </row>
    <row r="24" spans="9:21">
      <c r="Q24" s="133" t="s">
        <v>296</v>
      </c>
      <c r="R24" s="123">
        <v>0</v>
      </c>
      <c r="S24" s="123">
        <v>3</v>
      </c>
      <c r="T24" s="269">
        <f>10+R24+S24+'Personal File'!$C$13</f>
        <v>17</v>
      </c>
      <c r="U24" s="417" t="s">
        <v>102</v>
      </c>
    </row>
    <row r="25" spans="9:21">
      <c r="Q25" s="133" t="s">
        <v>295</v>
      </c>
      <c r="R25" s="123">
        <v>1</v>
      </c>
      <c r="S25" s="123">
        <v>3</v>
      </c>
      <c r="T25" s="269">
        <f>10+R25+S25+'Personal File'!$C$13</f>
        <v>18</v>
      </c>
      <c r="U25" s="417" t="s">
        <v>102</v>
      </c>
    </row>
    <row r="26" spans="9:21">
      <c r="Q26" s="133" t="s">
        <v>295</v>
      </c>
      <c r="R26" s="123">
        <v>0</v>
      </c>
      <c r="S26" s="123">
        <v>3</v>
      </c>
      <c r="T26" s="269">
        <f>10+R26+S26+'Personal File'!$C$13</f>
        <v>17</v>
      </c>
      <c r="U26" s="417" t="s">
        <v>102</v>
      </c>
    </row>
    <row r="27" spans="9:21">
      <c r="Q27" s="133" t="s">
        <v>295</v>
      </c>
      <c r="R27" s="123">
        <v>0</v>
      </c>
      <c r="S27" s="123">
        <v>3</v>
      </c>
      <c r="T27" s="269">
        <f>10+R27+S27+'Personal File'!$C$13</f>
        <v>17</v>
      </c>
      <c r="U27" s="417" t="s">
        <v>102</v>
      </c>
    </row>
    <row r="28" spans="9:21">
      <c r="Q28" s="137" t="s">
        <v>221</v>
      </c>
      <c r="R28" s="152">
        <v>0</v>
      </c>
      <c r="S28" s="152">
        <v>3</v>
      </c>
      <c r="T28" s="428">
        <f>10+R28+S28+'Personal File'!$C$13</f>
        <v>17</v>
      </c>
      <c r="U28" s="421" t="s">
        <v>102</v>
      </c>
    </row>
    <row r="29" spans="9:21">
      <c r="Q29" s="133" t="s">
        <v>343</v>
      </c>
      <c r="R29" s="123">
        <v>0</v>
      </c>
      <c r="S29" s="123">
        <v>4</v>
      </c>
      <c r="T29" s="269">
        <f>10+R29+S29+'Personal File'!$C$13</f>
        <v>18</v>
      </c>
      <c r="U29" s="417" t="s">
        <v>102</v>
      </c>
    </row>
    <row r="30" spans="9:21">
      <c r="Q30" s="133" t="s">
        <v>343</v>
      </c>
      <c r="R30" s="123">
        <v>1</v>
      </c>
      <c r="S30" s="123">
        <v>4</v>
      </c>
      <c r="T30" s="269">
        <f>10+R30+S30+'Personal File'!$C$13</f>
        <v>19</v>
      </c>
      <c r="U30" s="417" t="s">
        <v>102</v>
      </c>
    </row>
    <row r="31" spans="9:21">
      <c r="Q31" s="133" t="s">
        <v>343</v>
      </c>
      <c r="R31" s="123">
        <v>0</v>
      </c>
      <c r="S31" s="123">
        <v>4</v>
      </c>
      <c r="T31" s="269">
        <f>10+R31+S31+'Personal File'!$C$13</f>
        <v>18</v>
      </c>
      <c r="U31" s="417" t="s">
        <v>102</v>
      </c>
    </row>
    <row r="32" spans="9:21" ht="17.399999999999999" thickBot="1">
      <c r="Q32" s="142" t="s">
        <v>340</v>
      </c>
      <c r="R32" s="429">
        <v>1</v>
      </c>
      <c r="S32" s="429">
        <v>4</v>
      </c>
      <c r="T32" s="430">
        <f>10+R32+S32+'Personal File'!$C$13</f>
        <v>19</v>
      </c>
      <c r="U32" s="431" t="s">
        <v>102</v>
      </c>
    </row>
    <row r="33" ht="17.399999999999999" thickTop="1"/>
  </sheetData>
  <sortState ref="Q3:U28">
    <sortCondition ref="S3:S28"/>
    <sortCondition ref="Q3:Q28"/>
  </sortState>
  <conditionalFormatting sqref="U26:U29 U31:U32 U3:U24">
    <cfRule type="cellIs" dxfId="13" priority="4" operator="equal">
      <formula>"þ"</formula>
    </cfRule>
  </conditionalFormatting>
  <conditionalFormatting sqref="U30">
    <cfRule type="cellIs" dxfId="12" priority="2" operator="equal">
      <formula>"þ"</formula>
    </cfRule>
  </conditionalFormatting>
  <conditionalFormatting sqref="U25">
    <cfRule type="cellIs" dxfId="11"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3"/>
  <sheetViews>
    <sheetView showGridLines="0" workbookViewId="0"/>
  </sheetViews>
  <sheetFormatPr defaultColWidth="10.59765625" defaultRowHeight="16.8"/>
  <cols>
    <col min="1" max="1" width="34.796875" style="115" bestFit="1" customWidth="1"/>
    <col min="2" max="2" width="2.59765625" style="110" customWidth="1"/>
    <col min="3" max="3" width="44.69921875" style="112" bestFit="1" customWidth="1"/>
    <col min="4" max="4" width="10.59765625" style="112"/>
    <col min="5" max="5" width="23.5" style="112" bestFit="1" customWidth="1"/>
    <col min="6" max="16384" width="10.59765625" style="112"/>
  </cols>
  <sheetData>
    <row r="1" spans="1:3" ht="24" thickTop="1" thickBot="1">
      <c r="A1" s="333" t="s">
        <v>91</v>
      </c>
      <c r="C1" s="111" t="s">
        <v>247</v>
      </c>
    </row>
    <row r="2" spans="1:3">
      <c r="A2" s="332" t="s">
        <v>252</v>
      </c>
      <c r="C2" s="113" t="s">
        <v>147</v>
      </c>
    </row>
    <row r="3" spans="1:3" ht="17.399999999999999" thickBot="1">
      <c r="A3" s="279" t="s">
        <v>253</v>
      </c>
      <c r="C3" s="114" t="s">
        <v>148</v>
      </c>
    </row>
    <row r="4" spans="1:3" ht="18" thickTop="1" thickBot="1">
      <c r="A4" s="279" t="s">
        <v>279</v>
      </c>
    </row>
    <row r="5" spans="1:3" ht="24" thickTop="1" thickBot="1">
      <c r="A5" s="279" t="s">
        <v>373</v>
      </c>
      <c r="C5" s="111" t="s">
        <v>349</v>
      </c>
    </row>
    <row r="6" spans="1:3" ht="17.399999999999999" thickBot="1">
      <c r="A6" s="587" t="s">
        <v>472</v>
      </c>
      <c r="C6" s="387" t="s">
        <v>350</v>
      </c>
    </row>
    <row r="7" spans="1:3" ht="18" thickTop="1" thickBot="1">
      <c r="C7" s="388" t="s">
        <v>351</v>
      </c>
    </row>
    <row r="8" spans="1:3" ht="24" thickTop="1" thickBot="1">
      <c r="A8" s="334" t="s">
        <v>89</v>
      </c>
    </row>
    <row r="9" spans="1:3" ht="24" thickTop="1" thickBot="1">
      <c r="A9" s="116" t="s">
        <v>352</v>
      </c>
      <c r="C9" s="111" t="s">
        <v>365</v>
      </c>
    </row>
    <row r="10" spans="1:3" ht="17.399999999999999" thickBot="1">
      <c r="A10" s="120" t="s">
        <v>255</v>
      </c>
      <c r="C10" s="279" t="s">
        <v>254</v>
      </c>
    </row>
    <row r="11" spans="1:3" ht="18" thickTop="1" thickBot="1">
      <c r="C11" s="114"/>
    </row>
    <row r="12" spans="1:3" ht="24" thickTop="1" thickBot="1">
      <c r="A12" s="336" t="s">
        <v>75</v>
      </c>
    </row>
    <row r="13" spans="1:3" ht="24" thickTop="1" thickBot="1">
      <c r="A13" s="117" t="s">
        <v>258</v>
      </c>
      <c r="C13" s="111" t="s">
        <v>364</v>
      </c>
    </row>
    <row r="14" spans="1:3">
      <c r="A14" s="337" t="s">
        <v>259</v>
      </c>
      <c r="C14" s="279" t="s">
        <v>375</v>
      </c>
    </row>
    <row r="15" spans="1:3">
      <c r="A15" s="337" t="s">
        <v>256</v>
      </c>
      <c r="C15" s="279" t="s">
        <v>339</v>
      </c>
    </row>
    <row r="16" spans="1:3" ht="17.399999999999999" thickBot="1">
      <c r="A16" s="119" t="s">
        <v>257</v>
      </c>
      <c r="C16" s="279" t="s">
        <v>346</v>
      </c>
    </row>
    <row r="17" spans="1:3" ht="18" thickTop="1" thickBot="1">
      <c r="C17" s="279" t="s">
        <v>347</v>
      </c>
    </row>
    <row r="18" spans="1:3" ht="24" thickTop="1" thickBot="1">
      <c r="A18" s="335" t="s">
        <v>119</v>
      </c>
      <c r="C18" s="114" t="s">
        <v>380</v>
      </c>
    </row>
    <row r="19" spans="1:3">
      <c r="A19" s="118" t="s">
        <v>139</v>
      </c>
    </row>
    <row r="20" spans="1:3">
      <c r="A20" s="118" t="s">
        <v>138</v>
      </c>
    </row>
    <row r="21" spans="1:3">
      <c r="A21" s="121" t="s">
        <v>120</v>
      </c>
    </row>
    <row r="22" spans="1:3" ht="17.399999999999999" thickBot="1">
      <c r="A22" s="122" t="s">
        <v>121</v>
      </c>
    </row>
    <row r="23" spans="1:3"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showGridLines="0" workbookViewId="0"/>
  </sheetViews>
  <sheetFormatPr defaultColWidth="13" defaultRowHeight="15.6"/>
  <cols>
    <col min="1" max="1" width="20.19921875" style="44" bestFit="1" customWidth="1"/>
    <col min="2" max="2" width="8.59765625" style="44" customWidth="1"/>
    <col min="3" max="3" width="4.3984375" style="44" bestFit="1" customWidth="1"/>
    <col min="4" max="4" width="6.69921875" style="44" customWidth="1"/>
    <col min="5" max="5" width="8.5" style="44" bestFit="1" customWidth="1"/>
    <col min="6" max="6" width="8.8984375" style="44" bestFit="1" customWidth="1"/>
    <col min="7" max="7" width="4.5" style="44" bestFit="1" customWidth="1"/>
    <col min="8" max="8" width="5.59765625" style="44" bestFit="1" customWidth="1"/>
    <col min="9" max="9" width="5.5" style="44" bestFit="1" customWidth="1"/>
    <col min="10" max="10" width="6.19921875" style="44" bestFit="1" customWidth="1"/>
    <col min="11" max="11" width="24.19921875" style="44" bestFit="1" customWidth="1"/>
    <col min="12" max="12" width="3.3984375" style="39" customWidth="1"/>
    <col min="13" max="13" width="7.3984375" style="288" bestFit="1" customWidth="1"/>
    <col min="14" max="14" width="7.69921875" style="44" bestFit="1" customWidth="1"/>
    <col min="15" max="16384" width="13" style="39"/>
  </cols>
  <sheetData>
    <row r="1" spans="1:14" ht="23.4" thickBot="1">
      <c r="A1" s="37" t="s">
        <v>23</v>
      </c>
      <c r="B1" s="37"/>
      <c r="C1" s="37"/>
      <c r="D1" s="37"/>
      <c r="E1" s="37"/>
      <c r="F1" s="37"/>
      <c r="G1" s="37"/>
      <c r="H1" s="37"/>
      <c r="I1" s="37"/>
      <c r="J1" s="37"/>
      <c r="K1" s="37"/>
    </row>
    <row r="2" spans="1:14" ht="16.8" thickTop="1" thickBot="1">
      <c r="A2" s="75" t="s">
        <v>4</v>
      </c>
      <c r="B2" s="76" t="s">
        <v>5</v>
      </c>
      <c r="C2" s="76" t="s">
        <v>25</v>
      </c>
      <c r="D2" s="76" t="s">
        <v>26</v>
      </c>
      <c r="E2" s="77" t="s">
        <v>68</v>
      </c>
      <c r="F2" s="76" t="s">
        <v>24</v>
      </c>
      <c r="G2" s="76" t="s">
        <v>27</v>
      </c>
      <c r="H2" s="78" t="s">
        <v>90</v>
      </c>
      <c r="I2" s="79" t="s">
        <v>95</v>
      </c>
      <c r="J2" s="78" t="s">
        <v>81</v>
      </c>
      <c r="K2" s="80" t="s">
        <v>79</v>
      </c>
      <c r="M2" s="289" t="s">
        <v>212</v>
      </c>
    </row>
    <row r="3" spans="1:14">
      <c r="A3" s="295" t="s">
        <v>473</v>
      </c>
      <c r="B3" s="22" t="s">
        <v>130</v>
      </c>
      <c r="C3" s="23">
        <v>1</v>
      </c>
      <c r="D3" s="24" t="s">
        <v>474</v>
      </c>
      <c r="E3" s="24" t="s">
        <v>335</v>
      </c>
      <c r="F3" s="25" t="s">
        <v>336</v>
      </c>
      <c r="G3" s="26">
        <v>0.25</v>
      </c>
      <c r="H3" s="285">
        <f>'Personal File'!$B$8+'Personal File'!$C$10+D3</f>
        <v>3</v>
      </c>
      <c r="I3" s="286">
        <f t="shared" ref="I3:I4" ca="1" si="0">RANDBETWEEN(1,20)</f>
        <v>14</v>
      </c>
      <c r="J3" s="287">
        <f t="shared" ref="J3:J4" ca="1" si="1">I3+H3</f>
        <v>17</v>
      </c>
      <c r="K3" s="33"/>
      <c r="L3" s="278"/>
      <c r="M3" s="290">
        <v>2000</v>
      </c>
    </row>
    <row r="4" spans="1:14" ht="16.2" thickBot="1">
      <c r="A4" s="27" t="s">
        <v>210</v>
      </c>
      <c r="B4" s="28" t="s">
        <v>130</v>
      </c>
      <c r="C4" s="29">
        <f>'Personal File'!$C$10</f>
        <v>-2</v>
      </c>
      <c r="D4" s="30" t="s">
        <v>62</v>
      </c>
      <c r="E4" s="30" t="s">
        <v>211</v>
      </c>
      <c r="F4" s="31" t="s">
        <v>128</v>
      </c>
      <c r="G4" s="32">
        <v>0</v>
      </c>
      <c r="H4" s="34">
        <f>'Personal File'!$B$8+'Personal File'!$C$10+D4</f>
        <v>2</v>
      </c>
      <c r="I4" s="81">
        <f t="shared" ca="1" si="0"/>
        <v>20</v>
      </c>
      <c r="J4" s="82">
        <f t="shared" ca="1" si="1"/>
        <v>22</v>
      </c>
      <c r="K4" s="35" t="s">
        <v>120</v>
      </c>
      <c r="M4" s="324" t="s">
        <v>97</v>
      </c>
    </row>
    <row r="5" spans="1:14" ht="6" customHeight="1" thickTop="1" thickBot="1">
      <c r="I5" s="83"/>
      <c r="J5" s="83"/>
      <c r="M5" s="293"/>
    </row>
    <row r="6" spans="1:14" ht="16.8" thickTop="1" thickBot="1">
      <c r="A6" s="75" t="s">
        <v>7</v>
      </c>
      <c r="B6" s="76" t="s">
        <v>8</v>
      </c>
      <c r="C6" s="76" t="s">
        <v>25</v>
      </c>
      <c r="D6" s="76" t="s">
        <v>26</v>
      </c>
      <c r="E6" s="77" t="s">
        <v>68</v>
      </c>
      <c r="F6" s="76" t="s">
        <v>9</v>
      </c>
      <c r="G6" s="76" t="s">
        <v>27</v>
      </c>
      <c r="H6" s="78" t="s">
        <v>90</v>
      </c>
      <c r="I6" s="79" t="s">
        <v>95</v>
      </c>
      <c r="J6" s="78" t="s">
        <v>81</v>
      </c>
      <c r="K6" s="80" t="s">
        <v>79</v>
      </c>
      <c r="M6" s="289" t="s">
        <v>212</v>
      </c>
    </row>
    <row r="7" spans="1:14">
      <c r="A7" s="8" t="s">
        <v>129</v>
      </c>
      <c r="B7" s="9" t="s">
        <v>97</v>
      </c>
      <c r="C7" s="10" t="s">
        <v>97</v>
      </c>
      <c r="D7" s="11" t="s">
        <v>62</v>
      </c>
      <c r="E7" s="11" t="s">
        <v>97</v>
      </c>
      <c r="F7" s="12" t="s">
        <v>97</v>
      </c>
      <c r="G7" s="13" t="s">
        <v>97</v>
      </c>
      <c r="H7" s="328">
        <f>'Personal File'!$B$8+'Personal File'!$C$11+D7</f>
        <v>6</v>
      </c>
      <c r="I7" s="368">
        <f t="shared" ref="I7:I8" ca="1" si="2">RANDBETWEEN(1,20)</f>
        <v>6</v>
      </c>
      <c r="J7" s="296">
        <f t="shared" ref="J7" ca="1" si="3">I7+H7</f>
        <v>12</v>
      </c>
      <c r="K7" s="366" t="s">
        <v>120</v>
      </c>
      <c r="L7" s="367"/>
      <c r="M7" s="294" t="s">
        <v>97</v>
      </c>
    </row>
    <row r="8" spans="1:14" s="329" customFormat="1">
      <c r="A8" s="371" t="s">
        <v>348</v>
      </c>
      <c r="B8" s="372" t="s">
        <v>249</v>
      </c>
      <c r="C8" s="373" t="s">
        <v>97</v>
      </c>
      <c r="D8" s="374" t="s">
        <v>97</v>
      </c>
      <c r="E8" s="374" t="s">
        <v>97</v>
      </c>
      <c r="F8" s="375" t="s">
        <v>97</v>
      </c>
      <c r="G8" s="376" t="s">
        <v>97</v>
      </c>
      <c r="H8" s="377">
        <f>Spells!J15</f>
        <v>5</v>
      </c>
      <c r="I8" s="369">
        <f t="shared" ca="1" si="2"/>
        <v>15</v>
      </c>
      <c r="J8" s="377">
        <f t="shared" ref="J8:J9" ca="1" si="4">I8+H8</f>
        <v>20</v>
      </c>
      <c r="K8" s="383"/>
      <c r="L8" s="367"/>
      <c r="M8" s="385"/>
      <c r="N8" s="367"/>
    </row>
    <row r="9" spans="1:14" ht="16.2" thickBot="1">
      <c r="A9" s="378" t="s">
        <v>348</v>
      </c>
      <c r="B9" s="379" t="s">
        <v>242</v>
      </c>
      <c r="C9" s="380" t="s">
        <v>97</v>
      </c>
      <c r="D9" s="380" t="s">
        <v>97</v>
      </c>
      <c r="E9" s="379" t="s">
        <v>97</v>
      </c>
      <c r="F9" s="380" t="s">
        <v>97</v>
      </c>
      <c r="G9" s="381" t="s">
        <v>97</v>
      </c>
      <c r="H9" s="382">
        <f>Spells!J16</f>
        <v>8</v>
      </c>
      <c r="I9" s="370">
        <f t="shared" ref="I9" ca="1" si="5">RANDBETWEEN(1,20)</f>
        <v>12</v>
      </c>
      <c r="J9" s="382">
        <f t="shared" ca="1" si="4"/>
        <v>20</v>
      </c>
      <c r="K9" s="384"/>
      <c r="L9" s="367"/>
      <c r="M9" s="386"/>
    </row>
    <row r="10" spans="1:14" ht="6" customHeight="1" thickTop="1" thickBot="1">
      <c r="D10" s="84"/>
      <c r="E10" s="84"/>
      <c r="G10" s="74"/>
      <c r="H10" s="74"/>
      <c r="I10" s="83"/>
      <c r="J10" s="74"/>
      <c r="M10" s="293"/>
    </row>
    <row r="11" spans="1:14" ht="16.8" thickTop="1" thickBot="1">
      <c r="A11" s="75" t="s">
        <v>70</v>
      </c>
      <c r="B11" s="76" t="s">
        <v>17</v>
      </c>
      <c r="C11" s="76" t="s">
        <v>34</v>
      </c>
      <c r="D11" s="76" t="s">
        <v>81</v>
      </c>
      <c r="E11" s="76" t="s">
        <v>82</v>
      </c>
      <c r="F11" s="76" t="s">
        <v>83</v>
      </c>
      <c r="G11" s="76" t="s">
        <v>27</v>
      </c>
      <c r="H11" s="85" t="s">
        <v>79</v>
      </c>
      <c r="I11" s="86"/>
      <c r="J11" s="86"/>
      <c r="K11" s="87"/>
      <c r="M11" s="289" t="s">
        <v>212</v>
      </c>
    </row>
    <row r="12" spans="1:14">
      <c r="A12" s="408" t="s">
        <v>154</v>
      </c>
      <c r="B12" s="315" t="s">
        <v>381</v>
      </c>
      <c r="C12" s="316" t="s">
        <v>97</v>
      </c>
      <c r="D12" s="315" t="s">
        <v>97</v>
      </c>
      <c r="E12" s="317" t="s">
        <v>97</v>
      </c>
      <c r="F12" s="318" t="s">
        <v>97</v>
      </c>
      <c r="G12" s="364" t="s">
        <v>97</v>
      </c>
      <c r="H12" s="319"/>
      <c r="I12" s="320"/>
      <c r="J12" s="320"/>
      <c r="K12" s="321"/>
      <c r="L12" s="325"/>
      <c r="M12" s="322" t="s">
        <v>97</v>
      </c>
      <c r="N12" s="323"/>
    </row>
    <row r="13" spans="1:14" ht="16.2" thickBot="1">
      <c r="A13" s="27" t="s">
        <v>324</v>
      </c>
      <c r="B13" s="28" t="s">
        <v>382</v>
      </c>
      <c r="C13" s="88" t="s">
        <v>97</v>
      </c>
      <c r="D13" s="28" t="s">
        <v>97</v>
      </c>
      <c r="E13" s="409" t="s">
        <v>97</v>
      </c>
      <c r="F13" s="28" t="s">
        <v>97</v>
      </c>
      <c r="G13" s="32" t="s">
        <v>97</v>
      </c>
      <c r="H13" s="89"/>
      <c r="I13" s="90"/>
      <c r="J13" s="90"/>
      <c r="K13" s="91"/>
      <c r="M13" s="292" t="s">
        <v>97</v>
      </c>
    </row>
    <row r="14" spans="1:14" ht="6.75" customHeight="1" thickTop="1" thickBot="1">
      <c r="M14" s="293"/>
    </row>
    <row r="15" spans="1:14" ht="16.8" thickTop="1" thickBot="1">
      <c r="A15" s="92"/>
      <c r="B15" s="74"/>
      <c r="D15" s="93" t="s">
        <v>71</v>
      </c>
      <c r="E15" s="94"/>
      <c r="F15" s="85" t="s">
        <v>6</v>
      </c>
      <c r="G15" s="76" t="s">
        <v>27</v>
      </c>
      <c r="H15" s="78" t="s">
        <v>90</v>
      </c>
      <c r="I15" s="85" t="s">
        <v>79</v>
      </c>
      <c r="J15" s="86"/>
      <c r="K15" s="87"/>
      <c r="M15" s="289" t="s">
        <v>212</v>
      </c>
    </row>
    <row r="16" spans="1:14">
      <c r="A16" s="92"/>
      <c r="B16" s="395"/>
      <c r="D16" s="95"/>
      <c r="E16" s="96"/>
      <c r="F16" s="97"/>
      <c r="G16" s="26"/>
      <c r="H16" s="98"/>
      <c r="I16" s="99"/>
      <c r="J16" s="100"/>
      <c r="K16" s="101"/>
      <c r="M16" s="290"/>
    </row>
    <row r="17" spans="1:14" ht="16.2" thickBot="1">
      <c r="A17" s="92"/>
      <c r="B17" s="395"/>
      <c r="D17" s="102"/>
      <c r="E17" s="103"/>
      <c r="F17" s="104"/>
      <c r="G17" s="32"/>
      <c r="H17" s="105"/>
      <c r="I17" s="106"/>
      <c r="J17" s="107"/>
      <c r="K17" s="91"/>
      <c r="M17" s="292"/>
    </row>
    <row r="18" spans="1:14" ht="16.8" thickTop="1" thickBot="1">
      <c r="B18" s="39"/>
    </row>
    <row r="19" spans="1:14" ht="16.8" thickTop="1" thickBot="1">
      <c r="B19" s="39"/>
      <c r="D19" s="93" t="s">
        <v>209</v>
      </c>
      <c r="E19" s="86"/>
      <c r="F19" s="86"/>
      <c r="G19" s="108" t="s">
        <v>6</v>
      </c>
      <c r="H19" s="108" t="s">
        <v>99</v>
      </c>
      <c r="I19" s="108" t="s">
        <v>133</v>
      </c>
      <c r="J19" s="109" t="s">
        <v>79</v>
      </c>
      <c r="K19" s="87"/>
      <c r="M19" s="289" t="s">
        <v>212</v>
      </c>
    </row>
    <row r="20" spans="1:14">
      <c r="B20" s="39"/>
      <c r="D20" s="273" t="s">
        <v>372</v>
      </c>
      <c r="E20" s="274"/>
      <c r="F20" s="274"/>
      <c r="G20" s="275">
        <v>1</v>
      </c>
      <c r="H20" s="275">
        <v>3</v>
      </c>
      <c r="I20" s="275" t="s">
        <v>97</v>
      </c>
      <c r="J20" s="276"/>
      <c r="K20" s="277"/>
      <c r="L20" s="278"/>
      <c r="M20" s="291">
        <v>3000</v>
      </c>
      <c r="N20" s="83"/>
    </row>
    <row r="21" spans="1:14">
      <c r="B21" s="39"/>
      <c r="D21" s="273" t="s">
        <v>367</v>
      </c>
      <c r="E21" s="274"/>
      <c r="F21" s="274"/>
      <c r="G21" s="275">
        <v>3</v>
      </c>
      <c r="H21" s="275">
        <v>3</v>
      </c>
      <c r="I21" s="275">
        <v>5</v>
      </c>
      <c r="J21" s="276"/>
      <c r="K21" s="277"/>
      <c r="L21" s="278"/>
      <c r="M21" s="291">
        <f t="shared" ref="M21:M26" si="6">25*G21*H21*I21</f>
        <v>1125</v>
      </c>
      <c r="N21" s="39"/>
    </row>
    <row r="22" spans="1:14">
      <c r="B22" s="39"/>
      <c r="D22" s="273" t="s">
        <v>369</v>
      </c>
      <c r="E22" s="274"/>
      <c r="F22" s="274"/>
      <c r="G22" s="275">
        <v>2</v>
      </c>
      <c r="H22" s="275">
        <v>4</v>
      </c>
      <c r="I22" s="275">
        <v>9</v>
      </c>
      <c r="J22" s="276"/>
      <c r="K22" s="277"/>
      <c r="L22" s="278"/>
      <c r="M22" s="291">
        <f t="shared" si="6"/>
        <v>1800</v>
      </c>
      <c r="N22" s="39"/>
    </row>
    <row r="23" spans="1:14">
      <c r="B23" s="39"/>
      <c r="D23" s="273" t="s">
        <v>370</v>
      </c>
      <c r="E23" s="274"/>
      <c r="F23" s="274"/>
      <c r="G23" s="275">
        <v>2</v>
      </c>
      <c r="H23" s="275">
        <v>2</v>
      </c>
      <c r="I23" s="275">
        <v>6</v>
      </c>
      <c r="J23" s="276"/>
      <c r="K23" s="277"/>
      <c r="L23" s="278"/>
      <c r="M23" s="291">
        <f t="shared" si="6"/>
        <v>600</v>
      </c>
      <c r="N23" s="39"/>
    </row>
    <row r="24" spans="1:14">
      <c r="B24" s="39"/>
      <c r="D24" s="273" t="s">
        <v>371</v>
      </c>
      <c r="E24" s="274"/>
      <c r="F24" s="274"/>
      <c r="G24" s="275">
        <v>2</v>
      </c>
      <c r="H24" s="275">
        <v>3</v>
      </c>
      <c r="I24" s="275">
        <v>5</v>
      </c>
      <c r="J24" s="276"/>
      <c r="K24" s="277"/>
      <c r="L24" s="278"/>
      <c r="M24" s="291">
        <f t="shared" si="6"/>
        <v>750</v>
      </c>
      <c r="N24" s="39"/>
    </row>
    <row r="25" spans="1:14">
      <c r="B25" s="395"/>
      <c r="D25" s="273" t="s">
        <v>366</v>
      </c>
      <c r="E25" s="274"/>
      <c r="F25" s="274"/>
      <c r="G25" s="275">
        <v>2</v>
      </c>
      <c r="H25" s="275">
        <v>2</v>
      </c>
      <c r="I25" s="275">
        <v>4</v>
      </c>
      <c r="J25" s="276"/>
      <c r="K25" s="277"/>
      <c r="L25" s="278"/>
      <c r="M25" s="291">
        <f t="shared" si="6"/>
        <v>400</v>
      </c>
      <c r="N25" s="39"/>
    </row>
    <row r="26" spans="1:14">
      <c r="B26" s="39"/>
      <c r="D26" s="273" t="s">
        <v>368</v>
      </c>
      <c r="E26" s="274"/>
      <c r="F26" s="274"/>
      <c r="G26" s="275">
        <v>2</v>
      </c>
      <c r="H26" s="275">
        <v>3</v>
      </c>
      <c r="I26" s="275">
        <v>7</v>
      </c>
      <c r="J26" s="276"/>
      <c r="K26" s="277"/>
      <c r="L26" s="278"/>
      <c r="M26" s="291">
        <f t="shared" si="6"/>
        <v>1050</v>
      </c>
      <c r="N26" s="39"/>
    </row>
    <row r="27" spans="1:14" ht="16.2" thickBot="1">
      <c r="A27" s="39"/>
      <c r="B27" s="39"/>
      <c r="D27" s="281"/>
      <c r="E27" s="282"/>
      <c r="F27" s="282"/>
      <c r="G27" s="28"/>
      <c r="H27" s="28"/>
      <c r="I27" s="28"/>
      <c r="J27" s="283"/>
      <c r="K27" s="284"/>
      <c r="M27" s="292"/>
      <c r="N27" s="83"/>
    </row>
    <row r="28" spans="1:14" ht="16.2" thickTop="1">
      <c r="A28" s="39"/>
      <c r="B28" s="39"/>
    </row>
    <row r="29" spans="1:14">
      <c r="A29" s="39"/>
      <c r="B29" s="39"/>
    </row>
    <row r="30" spans="1:14">
      <c r="A30" s="39"/>
      <c r="B30" s="39"/>
    </row>
    <row r="31" spans="1:14">
      <c r="A31" s="39"/>
      <c r="B31" s="39"/>
    </row>
    <row r="32" spans="1:14">
      <c r="A32" s="39"/>
      <c r="B32" s="39"/>
    </row>
    <row r="33" spans="1:2">
      <c r="A33" s="39"/>
      <c r="B33" s="39"/>
    </row>
  </sheetData>
  <sortState ref="D19:K39">
    <sortCondition ref="I19:I39"/>
    <sortCondition ref="D19:D39"/>
  </sortState>
  <phoneticPr fontId="0" type="noConversion"/>
  <conditionalFormatting sqref="I4">
    <cfRule type="cellIs" dxfId="10" priority="13" operator="equal">
      <formula>20</formula>
    </cfRule>
    <cfRule type="cellIs" dxfId="9" priority="14" operator="equal">
      <formula>1</formula>
    </cfRule>
  </conditionalFormatting>
  <conditionalFormatting sqref="I9">
    <cfRule type="cellIs" dxfId="8" priority="9" operator="equal">
      <formula>20</formula>
    </cfRule>
    <cfRule type="cellIs" dxfId="7" priority="10" operator="equal">
      <formula>1</formula>
    </cfRule>
  </conditionalFormatting>
  <conditionalFormatting sqref="I3">
    <cfRule type="cellIs" dxfId="6" priority="3" operator="equal">
      <formula>20</formula>
    </cfRule>
    <cfRule type="cellIs" dxfId="5" priority="4" operator="equal">
      <formula>1</formula>
    </cfRule>
  </conditionalFormatting>
  <conditionalFormatting sqref="I7:I8">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showGridLines="0" workbookViewId="0"/>
  </sheetViews>
  <sheetFormatPr defaultColWidth="8.59765625" defaultRowHeight="15.6"/>
  <cols>
    <col min="1" max="1" width="20.296875" style="44" bestFit="1" customWidth="1"/>
    <col min="2" max="2" width="14.8984375" style="44" bestFit="1" customWidth="1"/>
    <col min="3" max="3" width="4.59765625" style="74" bestFit="1" customWidth="1"/>
    <col min="4" max="4" width="13.09765625" style="39" bestFit="1" customWidth="1"/>
    <col min="5" max="5" width="7.09765625" style="39" bestFit="1" customWidth="1"/>
    <col min="6" max="6" width="2.3984375" style="39" customWidth="1"/>
    <col min="7" max="7" width="8.296875" style="39" bestFit="1" customWidth="1"/>
    <col min="8" max="16384" width="8.59765625" style="39"/>
  </cols>
  <sheetData>
    <row r="1" spans="1:8" ht="23.4" thickBot="1">
      <c r="A1" s="37" t="s">
        <v>76</v>
      </c>
      <c r="B1" s="37"/>
      <c r="C1" s="38"/>
      <c r="D1" s="37"/>
      <c r="E1" s="37"/>
    </row>
    <row r="2" spans="1:8" s="44" customFormat="1" ht="16.8" thickTop="1" thickBot="1">
      <c r="A2" s="40" t="s">
        <v>77</v>
      </c>
      <c r="B2" s="40" t="s">
        <v>6</v>
      </c>
      <c r="C2" s="41" t="s">
        <v>27</v>
      </c>
      <c r="D2" s="42" t="s">
        <v>78</v>
      </c>
      <c r="E2" s="43" t="s">
        <v>79</v>
      </c>
      <c r="G2" s="396" t="s">
        <v>212</v>
      </c>
    </row>
    <row r="3" spans="1:8">
      <c r="A3" s="45" t="s">
        <v>157</v>
      </c>
      <c r="B3" s="46">
        <v>1</v>
      </c>
      <c r="C3" s="47">
        <v>1.25</v>
      </c>
      <c r="D3" s="48"/>
      <c r="E3" s="49"/>
      <c r="G3" s="397">
        <v>0</v>
      </c>
    </row>
    <row r="4" spans="1:8">
      <c r="A4" s="50" t="s">
        <v>158</v>
      </c>
      <c r="B4" s="51">
        <v>1</v>
      </c>
      <c r="C4" s="52">
        <v>0.25</v>
      </c>
      <c r="D4" s="53"/>
      <c r="E4" s="54"/>
      <c r="G4" s="398">
        <v>0</v>
      </c>
    </row>
    <row r="5" spans="1:8">
      <c r="A5" s="50" t="s">
        <v>238</v>
      </c>
      <c r="B5" s="51">
        <v>1</v>
      </c>
      <c r="C5" s="52">
        <v>1</v>
      </c>
      <c r="D5" s="272"/>
      <c r="E5" s="54"/>
      <c r="G5" s="398">
        <v>750</v>
      </c>
      <c r="H5" s="278"/>
    </row>
    <row r="6" spans="1:8">
      <c r="A6" s="50" t="s">
        <v>342</v>
      </c>
      <c r="B6" s="51">
        <v>1</v>
      </c>
      <c r="C6" s="52">
        <v>0</v>
      </c>
      <c r="D6" s="272"/>
      <c r="E6" s="54"/>
      <c r="G6" s="398">
        <v>20000</v>
      </c>
      <c r="H6" s="278"/>
    </row>
    <row r="7" spans="1:8">
      <c r="A7" s="50" t="s">
        <v>156</v>
      </c>
      <c r="B7" s="51">
        <v>1</v>
      </c>
      <c r="C7" s="55">
        <f>0.25*B7</f>
        <v>0.25</v>
      </c>
      <c r="D7" s="53"/>
      <c r="E7" s="54"/>
      <c r="G7" s="399">
        <v>0</v>
      </c>
    </row>
    <row r="8" spans="1:8" ht="16.2" thickBot="1">
      <c r="A8" s="56" t="s">
        <v>159</v>
      </c>
      <c r="B8" s="57">
        <v>1</v>
      </c>
      <c r="C8" s="58">
        <v>1</v>
      </c>
      <c r="D8" s="59"/>
      <c r="E8" s="60"/>
      <c r="G8" s="400">
        <v>2</v>
      </c>
    </row>
    <row r="9" spans="1:8" ht="24" thickTop="1" thickBot="1">
      <c r="A9" s="37" t="s">
        <v>80</v>
      </c>
      <c r="B9" s="37"/>
      <c r="C9" s="61"/>
      <c r="D9" s="37"/>
      <c r="E9" s="62"/>
      <c r="G9" s="61"/>
    </row>
    <row r="10" spans="1:8" ht="16.8" thickTop="1" thickBot="1">
      <c r="A10" s="40" t="s">
        <v>77</v>
      </c>
      <c r="B10" s="40" t="s">
        <v>6</v>
      </c>
      <c r="C10" s="41" t="s">
        <v>27</v>
      </c>
      <c r="D10" s="42" t="s">
        <v>78</v>
      </c>
      <c r="E10" s="43" t="s">
        <v>79</v>
      </c>
      <c r="G10" s="396" t="s">
        <v>212</v>
      </c>
    </row>
    <row r="11" spans="1:8">
      <c r="A11" s="63" t="s">
        <v>126</v>
      </c>
      <c r="B11" s="46">
        <v>1</v>
      </c>
      <c r="C11" s="64">
        <v>0.5</v>
      </c>
      <c r="D11" s="65"/>
      <c r="E11" s="49"/>
      <c r="G11" s="401">
        <v>1</v>
      </c>
    </row>
    <row r="12" spans="1:8" ht="16.2" thickBot="1">
      <c r="A12" s="56"/>
      <c r="B12" s="57"/>
      <c r="C12" s="58"/>
      <c r="D12" s="59"/>
      <c r="E12" s="60"/>
      <c r="G12" s="399"/>
    </row>
    <row r="13" spans="1:8" ht="24" thickTop="1" thickBot="1">
      <c r="A13" s="37" t="s">
        <v>239</v>
      </c>
      <c r="B13" s="37"/>
      <c r="C13" s="61"/>
      <c r="D13" s="37"/>
      <c r="E13" s="62"/>
      <c r="F13" s="327"/>
      <c r="G13" s="400">
        <v>2000</v>
      </c>
    </row>
    <row r="14" spans="1:8" ht="16.8" thickTop="1" thickBot="1">
      <c r="A14" s="40" t="s">
        <v>77</v>
      </c>
      <c r="B14" s="40" t="s">
        <v>6</v>
      </c>
      <c r="C14" s="41" t="s">
        <v>27</v>
      </c>
      <c r="D14" s="42" t="s">
        <v>78</v>
      </c>
      <c r="E14" s="43" t="s">
        <v>79</v>
      </c>
      <c r="G14" s="396" t="s">
        <v>212</v>
      </c>
    </row>
    <row r="15" spans="1:8">
      <c r="A15" s="67" t="s">
        <v>222</v>
      </c>
      <c r="B15" s="68">
        <v>1</v>
      </c>
      <c r="C15" s="69">
        <v>5</v>
      </c>
      <c r="D15" s="70"/>
      <c r="E15" s="71"/>
      <c r="G15" s="402">
        <v>10</v>
      </c>
    </row>
    <row r="16" spans="1:8">
      <c r="A16" s="50" t="s">
        <v>131</v>
      </c>
      <c r="B16" s="66">
        <v>0</v>
      </c>
      <c r="C16" s="55">
        <f>B16/100</f>
        <v>0</v>
      </c>
      <c r="D16" s="70"/>
      <c r="E16" s="71"/>
      <c r="G16" s="402">
        <f>B16</f>
        <v>0</v>
      </c>
    </row>
    <row r="17" spans="1:7">
      <c r="A17" s="67" t="s">
        <v>223</v>
      </c>
      <c r="B17" s="68">
        <v>1</v>
      </c>
      <c r="C17" s="69">
        <v>4</v>
      </c>
      <c r="D17" s="70"/>
      <c r="E17" s="71"/>
      <c r="G17" s="402">
        <v>1</v>
      </c>
    </row>
    <row r="18" spans="1:7">
      <c r="A18" s="410" t="s">
        <v>475</v>
      </c>
      <c r="B18" s="66">
        <v>1</v>
      </c>
      <c r="C18" s="411">
        <v>4</v>
      </c>
      <c r="D18" s="412" t="s">
        <v>476</v>
      </c>
      <c r="E18" s="71"/>
      <c r="F18" s="278"/>
      <c r="G18" s="413">
        <v>7200</v>
      </c>
    </row>
    <row r="19" spans="1:7">
      <c r="A19" s="67" t="s">
        <v>125</v>
      </c>
      <c r="B19" s="68">
        <v>1</v>
      </c>
      <c r="C19" s="69">
        <v>0</v>
      </c>
      <c r="D19" s="70"/>
      <c r="E19" s="71"/>
      <c r="G19" s="402">
        <v>1</v>
      </c>
    </row>
    <row r="20" spans="1:7" ht="16.2" thickBot="1">
      <c r="A20" s="72" t="s">
        <v>155</v>
      </c>
      <c r="B20" s="73">
        <v>4</v>
      </c>
      <c r="C20" s="58">
        <v>0</v>
      </c>
      <c r="D20" s="59"/>
      <c r="E20" s="60"/>
      <c r="G20" s="400">
        <v>0</v>
      </c>
    </row>
    <row r="21" spans="1:7" ht="16.2" thickTop="1">
      <c r="B21" s="326" t="s">
        <v>240</v>
      </c>
      <c r="C21" s="363">
        <f>SUM(C15:C20)/100</f>
        <v>0.13</v>
      </c>
    </row>
    <row r="22" spans="1:7">
      <c r="A22" s="39"/>
      <c r="E22" s="216" t="s">
        <v>477</v>
      </c>
      <c r="F22" s="278"/>
      <c r="G22" s="504">
        <f>SUM(G3:G20,Martial!M3:M27)</f>
        <v>40690</v>
      </c>
    </row>
  </sheetData>
  <sortState ref="A40:D52">
    <sortCondition ref="A40:A52"/>
  </sortState>
  <phoneticPr fontId="0" type="noConversion"/>
  <conditionalFormatting sqref="C21">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Spellbook</vt:lpstr>
      <vt:lpstr>Warmage</vt:lpstr>
      <vt:lpstr>Spells</vt:lpstr>
      <vt:lpstr>Feats</vt:lpstr>
      <vt:lpstr>Martial</vt:lpstr>
      <vt:lpstr>Equipment</vt:lpstr>
      <vt:lpstr>'Personal File'!Print_Area</vt:lpstr>
      <vt:lpstr>Skills!Print_Area</vt:lpstr>
      <vt:lpstr>Spellbook!Print_Area</vt:lpstr>
      <vt:lpstr>Warmage!Print_Area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2017-12-04T23:00:48Z</dcterms:modified>
</cp:coreProperties>
</file>