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6528" windowHeight="4740" tabRatio="638"/>
  </bookViews>
  <sheets>
    <sheet name="Personal File" sheetId="4" r:id="rId1"/>
    <sheet name="Skills" sheetId="15" r:id="rId2"/>
    <sheet name="Feats" sheetId="20" r:id="rId3"/>
    <sheet name="Martial" sheetId="6" r:id="rId4"/>
    <sheet name="Equipment" sheetId="19" r:id="rId5"/>
    <sheet name="XP Awards" sheetId="21"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File'!$A$1:$H$12</definedName>
    <definedName name="_xlnm.Print_Area" localSheetId="1">Skills!$A$1:$K$28</definedName>
  </definedNames>
  <calcPr calcId="145621"/>
</workbook>
</file>

<file path=xl/calcChain.xml><?xml version="1.0" encoding="utf-8"?>
<calcChain xmlns="http://schemas.openxmlformats.org/spreadsheetml/2006/main">
  <c r="C12" i="21" l="1"/>
  <c r="B8" i="4" l="1"/>
  <c r="I20" i="6" l="1"/>
  <c r="H6" i="6" l="1"/>
  <c r="H5" i="6"/>
  <c r="H3" i="6"/>
  <c r="C3" i="6"/>
  <c r="C5" i="6"/>
  <c r="I19" i="6" l="1"/>
  <c r="I18" i="6"/>
  <c r="I17" i="6"/>
  <c r="I16" i="6"/>
  <c r="I15" i="6"/>
  <c r="B16" i="21" l="1"/>
  <c r="B18" i="21" s="1"/>
  <c r="B20" i="21" s="1"/>
  <c r="B5" i="4" l="1"/>
  <c r="F25" i="15" l="1"/>
  <c r="F3" i="15"/>
  <c r="I13" i="6" l="1"/>
  <c r="C27" i="19" l="1"/>
  <c r="G14" i="19" l="1"/>
  <c r="C14" i="19"/>
  <c r="B9" i="4" l="1"/>
  <c r="F23" i="15" l="1"/>
  <c r="M37" i="6" l="1"/>
  <c r="M36" i="6"/>
  <c r="I12" i="6" l="1"/>
  <c r="H25" i="15" l="1"/>
  <c r="D25" i="15"/>
  <c r="G25" i="15" s="1"/>
  <c r="I25" i="15" l="1"/>
  <c r="E25" i="15"/>
  <c r="I10" i="6" l="1"/>
  <c r="I4" i="6" l="1"/>
  <c r="I5" i="6" l="1"/>
  <c r="M31" i="6"/>
  <c r="M32" i="6"/>
  <c r="G31" i="6" l="1"/>
  <c r="G32" i="6"/>
  <c r="G33" i="6"/>
  <c r="I3" i="6"/>
  <c r="G3" i="6"/>
  <c r="I11" i="6" l="1"/>
  <c r="H33" i="15" l="1"/>
  <c r="I6" i="6" l="1"/>
  <c r="H24" i="15" l="1"/>
  <c r="H23" i="15"/>
  <c r="I9" i="6" l="1"/>
  <c r="E55" i="15" l="1"/>
  <c r="H38" i="15" l="1"/>
  <c r="H37" i="15"/>
  <c r="H35" i="15"/>
  <c r="H34" i="15"/>
  <c r="H32" i="15"/>
  <c r="H31" i="15"/>
  <c r="H30" i="15"/>
  <c r="H29" i="15"/>
  <c r="H28" i="15"/>
  <c r="H27" i="15"/>
  <c r="H26" i="15"/>
  <c r="H22" i="15"/>
  <c r="H21" i="15"/>
  <c r="H20" i="15"/>
  <c r="H19" i="15"/>
  <c r="H18" i="15"/>
  <c r="H17" i="15"/>
  <c r="H16" i="15"/>
  <c r="H15" i="15"/>
  <c r="H14" i="15"/>
  <c r="H13" i="15"/>
  <c r="H12" i="15"/>
  <c r="H11" i="15"/>
  <c r="H10" i="15"/>
  <c r="H9" i="15"/>
  <c r="H8" i="15"/>
  <c r="E43" i="15" l="1"/>
  <c r="G29" i="6" l="1"/>
  <c r="E8" i="4" s="1"/>
  <c r="M29" i="6" l="1"/>
  <c r="G28" i="19" l="1"/>
  <c r="G30" i="19" s="1"/>
  <c r="M40" i="6"/>
  <c r="H3" i="15"/>
  <c r="H4" i="15"/>
  <c r="B43" i="15" l="1"/>
  <c r="H41" i="15" l="1"/>
  <c r="H40" i="15"/>
  <c r="H39" i="15"/>
  <c r="H36" i="15"/>
  <c r="H5" i="15" l="1"/>
  <c r="C12" i="4" l="1"/>
  <c r="C11" i="4"/>
  <c r="C10" i="4"/>
  <c r="D24" i="15" s="1"/>
  <c r="C9" i="4"/>
  <c r="E9" i="4" s="1"/>
  <c r="C8" i="4"/>
  <c r="C7" i="4"/>
  <c r="H19" i="6" l="1"/>
  <c r="J19" i="6" s="1"/>
  <c r="H20" i="6"/>
  <c r="J20" i="6" s="1"/>
  <c r="H18" i="6"/>
  <c r="J18" i="6" s="1"/>
  <c r="H16" i="6"/>
  <c r="J16" i="6" s="1"/>
  <c r="H17" i="6"/>
  <c r="J17" i="6" s="1"/>
  <c r="H15" i="6"/>
  <c r="J15" i="6" s="1"/>
  <c r="H13" i="6"/>
  <c r="J13" i="6" s="1"/>
  <c r="B6" i="4"/>
  <c r="E10" i="4"/>
  <c r="E12" i="4" s="1"/>
  <c r="E11" i="4" s="1"/>
  <c r="H12" i="6"/>
  <c r="J12" i="6" s="1"/>
  <c r="H10" i="6"/>
  <c r="J10" i="6" s="1"/>
  <c r="J5" i="6"/>
  <c r="H11" i="6"/>
  <c r="J11" i="6" s="1"/>
  <c r="H9" i="6"/>
  <c r="J9" i="6" s="1"/>
  <c r="J6" i="6"/>
  <c r="D3" i="15"/>
  <c r="G3" i="15" s="1"/>
  <c r="I3" i="15" s="1"/>
  <c r="D4" i="15"/>
  <c r="E24" i="15"/>
  <c r="G24" i="15"/>
  <c r="I24" i="15" s="1"/>
  <c r="D5" i="15"/>
  <c r="H42" i="15"/>
  <c r="H7" i="15"/>
  <c r="H6" i="15"/>
  <c r="H4" i="6" l="1"/>
  <c r="J3" i="6"/>
  <c r="E3" i="15"/>
  <c r="E4" i="15"/>
  <c r="G4" i="15"/>
  <c r="I4" i="15" s="1"/>
  <c r="E5" i="15"/>
  <c r="G5" i="15"/>
  <c r="I5" i="15" s="1"/>
  <c r="D30" i="15" l="1"/>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J4" i="6"/>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
shaken -2</t>
        </r>
      </text>
    </comment>
    <comment ref="E5" authorId="0">
      <text>
        <r>
          <rPr>
            <sz val="12"/>
            <color indexed="81"/>
            <rFont val="Times New Roman"/>
            <family val="1"/>
          </rPr>
          <t>Fast Movement</t>
        </r>
      </text>
    </comment>
    <comment ref="C6" authorId="0">
      <text>
        <r>
          <rPr>
            <sz val="12"/>
            <color indexed="81"/>
            <rFont val="Times New Roman"/>
            <family val="1"/>
          </rPr>
          <t>Battle Fortitude +2</t>
        </r>
      </text>
    </comment>
    <comment ref="E6" authorId="0">
      <text>
        <r>
          <rPr>
            <sz val="12"/>
            <color indexed="81"/>
            <rFont val="Times New Roman"/>
            <family val="1"/>
          </rPr>
          <t>Next level at 78,000 XPs</t>
        </r>
      </text>
    </comment>
    <comment ref="E7" authorId="0">
      <text>
        <r>
          <rPr>
            <sz val="12"/>
            <color indexed="81"/>
            <rFont val="Times New Roman"/>
            <family val="1"/>
          </rPr>
          <t>See PHB 162</t>
        </r>
      </text>
    </comment>
    <comment ref="B8" authorId="0">
      <text>
        <r>
          <rPr>
            <sz val="12"/>
            <rFont val="Times New Roman"/>
            <family val="1"/>
          </rPr>
          <t>Gloves of Dexterity +2</t>
        </r>
      </text>
    </comment>
    <comment ref="E9" authorId="0">
      <text>
        <r>
          <rPr>
            <sz val="12"/>
            <color indexed="81"/>
            <rFont val="Times New Roman"/>
            <family val="1"/>
          </rPr>
          <t>[(11 * 8 Scout) * 75%] + (11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+2
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23" authorId="0">
      <text>
        <r>
          <rPr>
            <sz val="12"/>
            <color indexed="81"/>
            <rFont val="Times New Roman"/>
            <family val="1"/>
          </rPr>
          <t>Tumble synergy +2</t>
        </r>
      </text>
    </comment>
    <comment ref="F25" authorId="0">
      <text>
        <r>
          <rPr>
            <sz val="12"/>
            <color indexed="81"/>
            <rFont val="Times New Roman"/>
            <family val="1"/>
          </rPr>
          <t>Survival synergy +2</t>
        </r>
      </text>
    </comment>
    <comment ref="J38" authorId="0">
      <text>
        <r>
          <rPr>
            <sz val="12"/>
            <color indexed="81"/>
            <rFont val="Times New Roman"/>
            <family val="1"/>
          </rPr>
          <t>Search synergy</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5" authorId="0">
      <text>
        <r>
          <rPr>
            <sz val="12"/>
            <color indexed="81"/>
            <rFont val="Times New Roman"/>
            <family val="1"/>
          </rPr>
          <t>At 10th level, a scout gains the blindsense ability out to 30 feet.  This ability functions as described on page 306 of the Monster Manual.
Complete Adventurer 13
Using nonvisual senses, such as acute smell or hearing, a creature with blindsense notices things it cannot see.  The creature usually does not need to make Spot or Listen checks to pinpoint the location of a creature within range of its blindsense ability, provided that it has line of effect to that creature.  Any opponent the creature cannot see still has total concealment against the creature with blindsense, and the creature still has the normal miss chance when attacking foes that have concealment.  Visibility still affects the movement of a creature with blindsense.  A creature with blindsense is still denied its Dexterity bonus to Armor Class against attacks from creatures it cannot see.
MM I 306</t>
        </r>
      </text>
    </comment>
    <comment ref="A6"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6"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7"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8"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sz val="12"/>
            <color indexed="81"/>
            <rFont val="Times New Roman"/>
            <family val="1"/>
          </rPr>
          <t>Beginning at 3rd level, a scout cannot be tracked in natural surroundings.  See the druid class feature, page 36 of the Player’s Handbook.
Complete Adventurer 13</t>
        </r>
      </text>
    </comment>
    <comment ref="C9"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C10"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11" authorId="0">
      <text>
        <r>
          <rPr>
            <sz val="12"/>
            <color indexed="81"/>
            <rFont val="Times New Roman"/>
            <family val="1"/>
          </rPr>
          <t>All simple weapons, handaxe, throwing axe, short sword, and shortbow.</t>
        </r>
      </text>
    </comment>
    <comment ref="C11"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2"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List>
</comments>
</file>

<file path=xl/comments4.xml><?xml version="1.0" encoding="utf-8"?>
<comments xmlns="http://schemas.openxmlformats.org/spreadsheetml/2006/main">
  <authors>
    <author>Alexis Álvarez</author>
  </authors>
  <commentList>
    <comment ref="H9" authorId="0">
      <text>
        <r>
          <rPr>
            <i/>
            <sz val="12"/>
            <color indexed="81"/>
            <rFont val="Times New Roman"/>
            <family val="1"/>
          </rPr>
          <t>includes weapon focus +1</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H15" authorId="0">
      <text>
        <r>
          <rPr>
            <i/>
            <sz val="12"/>
            <color indexed="81"/>
            <rFont val="Times New Roman"/>
            <family val="1"/>
          </rPr>
          <t>includes weapon focus +1</t>
        </r>
      </text>
    </comment>
    <comment ref="H16" authorId="0">
      <text>
        <r>
          <rPr>
            <i/>
            <sz val="12"/>
            <color indexed="81"/>
            <rFont val="Times New Roman"/>
            <family val="1"/>
          </rPr>
          <t>includes weapon focus +1</t>
        </r>
      </text>
    </comment>
    <comment ref="H17" authorId="0">
      <text>
        <r>
          <rPr>
            <i/>
            <sz val="12"/>
            <color indexed="81"/>
            <rFont val="Times New Roman"/>
            <family val="1"/>
          </rPr>
          <t>includes weapon focus +1</t>
        </r>
      </text>
    </comment>
    <comment ref="H18" authorId="0">
      <text>
        <r>
          <rPr>
            <i/>
            <sz val="12"/>
            <color indexed="81"/>
            <rFont val="Times New Roman"/>
            <family val="1"/>
          </rPr>
          <t>includes weapon focus +1</t>
        </r>
      </text>
    </comment>
    <comment ref="H19" authorId="0">
      <text>
        <r>
          <rPr>
            <i/>
            <sz val="12"/>
            <color indexed="81"/>
            <rFont val="Times New Roman"/>
            <family val="1"/>
          </rPr>
          <t>includes weapon focus +1</t>
        </r>
      </text>
    </comment>
    <comment ref="D22"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3,600 gp (8th)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color indexed="81"/>
            <rFont val="Times New Roman"/>
            <family val="1"/>
          </rPr>
          <t xml:space="preserve">Craft Wondrous Item, bull’s strength, cat’s grace.
</t>
        </r>
        <r>
          <rPr>
            <b/>
            <sz val="12"/>
            <color indexed="81"/>
            <rFont val="Times New Roman"/>
            <family val="1"/>
          </rPr>
          <t xml:space="preserve">Cost to Create:  </t>
        </r>
        <r>
          <rPr>
            <sz val="12"/>
            <color indexed="81"/>
            <rFont val="Times New Roman"/>
            <family val="1"/>
          </rPr>
          <t>1,800 gp, 144 XP, 4 days.
MIC 75</t>
        </r>
      </text>
    </commen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List>
</comments>
</file>

<file path=xl/sharedStrings.xml><?xml version="1.0" encoding="utf-8"?>
<sst xmlns="http://schemas.openxmlformats.org/spreadsheetml/2006/main" count="412" uniqueCount="232">
  <si>
    <t>Race:</t>
  </si>
  <si>
    <t>Sex:</t>
  </si>
  <si>
    <t>Strength:</t>
  </si>
  <si>
    <t>Dexterity:</t>
  </si>
  <si>
    <t>Level</t>
  </si>
  <si>
    <t>Melee Weapon</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</si>
  <si>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</si>
  <si>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</si>
  <si>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</si>
  <si>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</si>
  <si>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</si>
  <si>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</si>
  <si>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</si>
  <si>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</si>
  <si>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</si>
  <si>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</si>
  <si>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</si>
  <si>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</si>
  <si>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</si>
  <si>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</si>
  <si>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</si>
  <si>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</si>
  <si>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</si>
  <si>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</si>
  <si>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</si>
  <si>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</si>
  <si>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</si>
  <si>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</si>
  <si>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</si>
  <si>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</si>
  <si>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</si>
  <si>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</si>
  <si>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</si>
  <si>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</si>
  <si>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</si>
  <si>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</si>
  <si>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</si>
  <si>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</si>
  <si>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</si>
  <si>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</si>
  <si>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</si>
  <si>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</si>
  <si>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</si>
  <si>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</si>
  <si>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</si>
  <si>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</si>
  <si>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</si>
  <si>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</si>
  <si>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</si>
  <si>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</si>
  <si>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</si>
  <si>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</si>
  <si>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</si>
  <si>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</si>
  <si>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</si>
  <si>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</si>
  <si>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</si>
  <si>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</si>
  <si>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</si>
  <si>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</si>
  <si>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</si>
  <si>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</si>
  <si>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</si>
  <si>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</si>
  <si>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</si>
  <si>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</si>
  <si>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</si>
  <si>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</si>
  <si>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</si>
  <si>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</si>
  <si>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</si>
  <si>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</si>
  <si>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</si>
  <si>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</si>
  <si>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</si>
  <si>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</si>
  <si>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</si>
  <si>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</si>
  <si>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</si>
  <si>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</si>
  <si>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</si>
  <si>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</si>
  <si>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</si>
  <si>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</si>
  <si>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</si>
  <si>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</si>
  <si>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</si>
  <si>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</si>
  <si>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</si>
  <si>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</si>
  <si>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</si>
  <si>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</si>
  <si>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</si>
  <si>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</si>
  <si>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</si>
  <si>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Roll</t>
  </si>
  <si>
    <t>Skill/Save</t>
  </si>
  <si>
    <t>FF AC:</t>
  </si>
  <si>
    <t>Male</t>
  </si>
  <si>
    <t>Perform:  [type]</t>
  </si>
  <si>
    <t>Profession:  [type]</t>
  </si>
  <si>
    <t>Scrolls and Potions</t>
  </si>
  <si>
    <t>CLev</t>
  </si>
  <si>
    <t>Played by Wayne Willis</t>
  </si>
  <si>
    <t>Human</t>
  </si>
  <si>
    <t>Chaotic Neutral</t>
  </si>
  <si>
    <t>Trapfinding</t>
  </si>
  <si>
    <t>human</t>
  </si>
  <si>
    <t>1</t>
  </si>
  <si>
    <t>+2 to follow tracks</t>
  </si>
  <si>
    <t>1d4</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</si>
  <si>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</si>
  <si>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</si>
  <si>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</si>
  <si>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</si>
  <si>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</si>
  <si>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</si>
  <si>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</si>
  <si>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</si>
  <si>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x3</t>
  </si>
  <si>
    <t>Backpack</t>
  </si>
  <si>
    <t>Flint and Steel</t>
  </si>
  <si>
    <t>Pouch Belt</t>
  </si>
  <si>
    <t xml:space="preserve">Sack </t>
  </si>
  <si>
    <t>scout 1</t>
  </si>
  <si>
    <t>scout 2</t>
  </si>
  <si>
    <t>scout 3</t>
  </si>
  <si>
    <t>scout 4</t>
  </si>
  <si>
    <t>scout 5</t>
  </si>
  <si>
    <t>scout 6</t>
  </si>
  <si>
    <t>Uncanny Dodge</t>
  </si>
  <si>
    <t>Trackless Step</t>
  </si>
  <si>
    <t>Evasion</t>
  </si>
  <si>
    <t>Flawless Stride</t>
  </si>
  <si>
    <t>Point Blank Shot</t>
  </si>
  <si>
    <t>6th:  Quick Draw</t>
  </si>
  <si>
    <t>Scout Weapons</t>
  </si>
  <si>
    <t>Light Armor, No Shields</t>
  </si>
  <si>
    <t>1d8</t>
  </si>
  <si>
    <t>Arrows</t>
  </si>
  <si>
    <t>Human:  Precise Shot</t>
  </si>
  <si>
    <t>1st:  Weapon Proficiency ~ Longbow</t>
  </si>
  <si>
    <t>3rd:  Great Fortitude +2</t>
  </si>
  <si>
    <t>Jason</t>
  </si>
  <si>
    <t>Potion of Cure Light Wounds</t>
  </si>
  <si>
    <t>Cloak of Resistance +1</t>
  </si>
  <si>
    <t>-</t>
  </si>
  <si>
    <t>Ring of Protection +1</t>
  </si>
  <si>
    <t>Everburning Torch</t>
  </si>
  <si>
    <t>200’</t>
  </si>
  <si>
    <t>Common</t>
  </si>
  <si>
    <t>Blunt Arrows</t>
  </si>
  <si>
    <t>scout 7</t>
  </si>
  <si>
    <t>scout 8</t>
  </si>
  <si>
    <t>Knowledge:  Dungeoneering</t>
  </si>
  <si>
    <t>Camouflage</t>
  </si>
  <si>
    <t>Scout 4:  Blind Fighting</t>
  </si>
  <si>
    <t>Quiver of Elhonna</t>
  </si>
  <si>
    <t>Earplugs</t>
  </si>
  <si>
    <t>Scout 8:  Rapid Shot</t>
  </si>
  <si>
    <t>Opposed Grapple</t>
  </si>
  <si>
    <t>+1 within 30’</t>
  </si>
  <si>
    <t>Potion of Cure Moderate Wounds</t>
  </si>
  <si>
    <t>Dragonbane Arrows</t>
  </si>
  <si>
    <t>Elfbane Arrows</t>
  </si>
  <si>
    <t>scout 9</t>
  </si>
  <si>
    <t>9th:  Weapon Focus (Longbow)</t>
  </si>
  <si>
    <t>3rd Shot, Rapid Firing</t>
  </si>
  <si>
    <r>
      <t xml:space="preserve">4th Shot, </t>
    </r>
    <r>
      <rPr>
        <i/>
        <sz val="12"/>
        <rFont val="Times New Roman"/>
        <family val="1"/>
      </rPr>
      <t>haste</t>
    </r>
  </si>
  <si>
    <t>2nd Shot</t>
  </si>
  <si>
    <t>Belt of Ultimate Athleticism</t>
  </si>
  <si>
    <t>Blindsense, 30’</t>
  </si>
  <si>
    <t>scout 10</t>
  </si>
  <si>
    <t>Knowledge:  Nature</t>
  </si>
  <si>
    <t>Gold Pieces</t>
  </si>
  <si>
    <t>Wealth Cap:</t>
  </si>
  <si>
    <t>Greater Crystal of Aquatic Action</t>
  </si>
  <si>
    <t>Amulet of Natural Armor +1</t>
  </si>
  <si>
    <t>DMG 220</t>
  </si>
  <si>
    <t>Mithral Chain Shirt +3</t>
  </si>
  <si>
    <t>2</t>
  </si>
  <si>
    <t>Gloves of Dexterity</t>
  </si>
  <si>
    <t>Heward’s Greater Haverpack</t>
  </si>
  <si>
    <t>Haverpack Encumbrance:</t>
  </si>
  <si>
    <t>Potion of Haste</t>
  </si>
  <si>
    <t>-1 to AC 1 round</t>
  </si>
  <si>
    <t>Battle Fortitude +2</t>
  </si>
  <si>
    <t>Fast Movement +20’</t>
  </si>
  <si>
    <t>50’</t>
  </si>
  <si>
    <t>Skirmish +3d6; +3 AC</t>
  </si>
  <si>
    <t>scout 11</t>
  </si>
  <si>
    <t>Character:</t>
  </si>
  <si>
    <t>%</t>
  </si>
  <si>
    <t>Punctuality of IC posts (Friday 17:00 PST/GMT-8)</t>
  </si>
  <si>
    <t>Excellent</t>
  </si>
  <si>
    <t>Length of IC posts (ideal is ½ a page)</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</si>
  <si>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</si>
  <si>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</si>
  <si>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</si>
  <si>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</si>
  <si>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</si>
  <si>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</si>
  <si>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</si>
  <si>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</si>
  <si>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</si>
  <si>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</si>
  <si>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</si>
  <si>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</si>
  <si>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</si>
  <si>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Consistent use of present tense, third person</t>
  </si>
  <si>
    <t>Remaining Gold:</t>
  </si>
  <si>
    <t>Sacred Composite Longbow, Strength +1</t>
  </si>
  <si>
    <t>+1</t>
  </si>
  <si>
    <t>Morningstar +1, 2nd attack</t>
  </si>
  <si>
    <t>Bldg/Prcg</t>
  </si>
  <si>
    <t>Prcg/Slsh</t>
  </si>
  <si>
    <t>x2</t>
  </si>
  <si>
    <t>Crystal of Cold Assault, Greater</t>
  </si>
  <si>
    <t>Sacred Composite Longbow, Skirmish</t>
  </si>
  <si>
    <t>+1 +3d6</t>
  </si>
  <si>
    <t>Cold Steel Morningstar +1</t>
  </si>
  <si>
    <t>Longbow +2</t>
  </si>
  <si>
    <t>Longbow +2, Skirmish</t>
  </si>
  <si>
    <t>+2 +3d6</t>
  </si>
  <si>
    <t>100’</t>
  </si>
  <si>
    <t>Good</t>
  </si>
  <si>
    <t>Poor</t>
  </si>
  <si>
    <t>XP:</t>
  </si>
  <si>
    <t>40’</t>
  </si>
  <si>
    <t>AC:</t>
  </si>
  <si>
    <t>Specificity</t>
  </si>
  <si>
    <t>Speed: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</si>
</sst>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0">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
      <i/>
      <sz val="12"/>
      <name val="Times New Roman"/>
      <family val="1"/>
    </font>
    <font>
      <sz val="12"/>
      <color rgb="FF00B0F0"/>
      <name val="Times New Roman"/>
      <family val="1"/>
    </font>
    <font>
      <sz val="13"/>
      <color rgb="FF0000FF"/>
      <name val="Times New Roman"/>
      <family val="1"/>
    </font>
    <font>
      <i/>
      <sz val="17"/>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966FF"/>
        <bgColor indexed="64"/>
      </patternFill>
    </fill>
    <fill>
      <patternFill patternType="solid">
        <fgColor rgb="FF00FFFF"/>
        <bgColor indexed="64"/>
      </patternFill>
    </fill>
    <fill>
      <patternFill patternType="solid">
        <fgColor theme="1" tint="0.249977111117893"/>
        <bgColor indexed="64"/>
      </patternFill>
    </fill>
  </fills>
  <borders count="12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style="hair">
        <color indexed="64"/>
      </right>
      <top style="hair">
        <color indexed="64"/>
      </top>
      <bottom/>
      <diagonal/>
    </border>
    <border>
      <left style="hair">
        <color indexed="64"/>
      </left>
      <right style="double">
        <color indexed="64"/>
      </right>
      <top style="medium">
        <color indexed="64"/>
      </top>
      <bottom style="hair">
        <color indexed="64"/>
      </bottom>
      <diagonal/>
    </border>
    <border>
      <left/>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xf numFmtId="9" fontId="2" fillId="0" borderId="0" applyFont="0" applyFill="0" applyBorder="0" applyAlignment="0" applyProtection="0"/>
  </cellStyleXfs>
  <cellXfs count="432">
    <xf numFmtId="0" fontId="0" fillId="0" borderId="0" xfId="0"/>
    <xf numFmtId="0" fontId="12" fillId="3" borderId="49"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33" xfId="0" applyNumberFormat="1" applyFont="1" applyFill="1" applyBorder="1" applyAlignment="1">
      <alignment horizontal="center" vertical="center" wrapText="1"/>
    </xf>
    <xf numFmtId="0" fontId="45" fillId="12" borderId="32" xfId="0" applyNumberFormat="1" applyFont="1" applyFill="1" applyBorder="1" applyAlignment="1">
      <alignment horizontal="center" vertical="center" wrapText="1"/>
    </xf>
    <xf numFmtId="0" fontId="12" fillId="3" borderId="33" xfId="0" applyNumberFormat="1" applyFont="1" applyFill="1" applyBorder="1" applyAlignment="1">
      <alignment horizontal="center" vertical="center"/>
    </xf>
    <xf numFmtId="0" fontId="12" fillId="3" borderId="50" xfId="0" applyFont="1" applyFill="1" applyBorder="1" applyAlignment="1">
      <alignment horizontal="center" vertical="center"/>
    </xf>
    <xf numFmtId="0" fontId="4" fillId="0" borderId="0" xfId="0" applyFont="1" applyBorder="1" applyAlignment="1">
      <alignment vertical="center"/>
    </xf>
    <xf numFmtId="0" fontId="49" fillId="0" borderId="26" xfId="0" applyFont="1" applyBorder="1" applyAlignment="1">
      <alignment horizontal="centerContinuous" vertical="center" wrapText="1"/>
    </xf>
    <xf numFmtId="0" fontId="50" fillId="0" borderId="26" xfId="0" applyFont="1" applyBorder="1" applyAlignment="1">
      <alignment horizontal="centerContinuous" vertical="center" wrapText="1"/>
    </xf>
    <xf numFmtId="0" fontId="2" fillId="0" borderId="37" xfId="0" applyFont="1" applyBorder="1" applyAlignment="1">
      <alignment horizontal="center" vertical="center" shrinkToFit="1"/>
    </xf>
    <xf numFmtId="1" fontId="47" fillId="12" borderId="57" xfId="0" applyNumberFormat="1" applyFont="1" applyFill="1" applyBorder="1" applyAlignment="1">
      <alignment horizontal="center" vertical="center"/>
    </xf>
    <xf numFmtId="0" fontId="2" fillId="0" borderId="35" xfId="0" applyFont="1" applyFill="1" applyBorder="1" applyAlignment="1">
      <alignment horizontal="center" vertical="center"/>
    </xf>
    <xf numFmtId="164" fontId="2" fillId="0" borderId="35" xfId="0" applyNumberFormat="1" applyFont="1" applyFill="1" applyBorder="1" applyAlignment="1">
      <alignment horizontal="center" vertical="center"/>
    </xf>
    <xf numFmtId="164" fontId="2" fillId="0" borderId="73" xfId="0" applyNumberFormat="1" applyFont="1" applyBorder="1" applyAlignment="1">
      <alignment horizontal="center" vertical="center"/>
    </xf>
    <xf numFmtId="1" fontId="47" fillId="12" borderId="71"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1" xfId="0" applyFont="1" applyFill="1" applyBorder="1" applyAlignment="1">
      <alignment horizontal="right" vertical="center"/>
    </xf>
    <xf numFmtId="0" fontId="6" fillId="4" borderId="52" xfId="0" applyFont="1" applyFill="1" applyBorder="1" applyAlignment="1">
      <alignment horizontal="right" vertical="center"/>
    </xf>
    <xf numFmtId="49" fontId="7" fillId="0" borderId="53"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0" fontId="8" fillId="2" borderId="10" xfId="0" applyFont="1" applyFill="1" applyBorder="1" applyAlignment="1">
      <alignment horizontal="right" vertical="center"/>
    </xf>
    <xf numFmtId="0" fontId="26" fillId="0" borderId="11" xfId="0" applyNumberFormat="1" applyFont="1" applyBorder="1" applyAlignment="1">
      <alignment horizontal="center" vertical="center"/>
    </xf>
    <xf numFmtId="0" fontId="8" fillId="4" borderId="4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1" xfId="0" applyNumberFormat="1" applyFont="1" applyBorder="1" applyAlignment="1">
      <alignment horizontal="center" vertical="center"/>
    </xf>
    <xf numFmtId="0" fontId="8" fillId="4" borderId="44" xfId="0" applyFont="1" applyFill="1" applyBorder="1" applyAlignment="1">
      <alignment horizontal="right" vertical="center"/>
    </xf>
    <xf numFmtId="164" fontId="6" fillId="8" borderId="24"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44" xfId="0" applyFont="1" applyFill="1" applyBorder="1" applyAlignment="1">
      <alignment horizontal="right" vertical="center"/>
    </xf>
    <xf numFmtId="49" fontId="7" fillId="0" borderId="23" xfId="0" applyNumberFormat="1" applyFont="1" applyBorder="1" applyAlignment="1">
      <alignment horizontal="center"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11" fillId="4" borderId="45" xfId="0" applyFont="1" applyFill="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0" xfId="0" applyFont="1" applyFill="1" applyBorder="1" applyAlignment="1">
      <alignment horizontal="center" vertical="center"/>
    </xf>
    <xf numFmtId="0" fontId="7" fillId="0" borderId="20" xfId="0" applyFont="1" applyFill="1" applyBorder="1" applyAlignment="1">
      <alignment horizontal="center" vertical="center"/>
    </xf>
    <xf numFmtId="1" fontId="7" fillId="0" borderId="20" xfId="0" applyNumberFormat="1" applyFont="1" applyFill="1" applyBorder="1" applyAlignment="1">
      <alignment horizontal="center" vertical="center" wrapText="1"/>
    </xf>
    <xf numFmtId="0" fontId="40" fillId="12" borderId="21"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43" fillId="0" borderId="27" xfId="0" applyFont="1" applyFill="1" applyBorder="1" applyAlignment="1">
      <alignment vertical="center"/>
    </xf>
    <xf numFmtId="0" fontId="6" fillId="0" borderId="40" xfId="0" applyFont="1" applyFill="1" applyBorder="1" applyAlignment="1">
      <alignment horizontal="center" vertical="center"/>
    </xf>
    <xf numFmtId="0" fontId="7" fillId="0" borderId="40" xfId="0" applyFont="1" applyFill="1" applyBorder="1" applyAlignment="1">
      <alignment horizontal="center" vertical="center"/>
    </xf>
    <xf numFmtId="1" fontId="7" fillId="0" borderId="40" xfId="0" applyNumberFormat="1" applyFont="1" applyFill="1" applyBorder="1" applyAlignment="1">
      <alignment horizontal="center" vertical="center" wrapText="1"/>
    </xf>
    <xf numFmtId="0" fontId="40" fillId="12" borderId="40" xfId="0" applyNumberFormat="1" applyFont="1" applyFill="1" applyBorder="1" applyAlignment="1">
      <alignment horizontal="center" vertical="center"/>
    </xf>
    <xf numFmtId="0" fontId="7" fillId="0" borderId="28" xfId="0" quotePrefix="1" applyFont="1" applyFill="1" applyBorder="1" applyAlignment="1">
      <alignment horizontal="center" vertical="center"/>
    </xf>
    <xf numFmtId="0" fontId="11" fillId="0" borderId="1" xfId="0" applyFont="1" applyFill="1" applyBorder="1" applyAlignment="1">
      <alignment vertical="center"/>
    </xf>
    <xf numFmtId="0" fontId="7" fillId="0" borderId="20"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0" xfId="0" applyNumberFormat="1" applyFont="1" applyFill="1" applyBorder="1" applyAlignment="1">
      <alignment horizontal="center" vertical="center"/>
    </xf>
    <xf numFmtId="49" fontId="24" fillId="9" borderId="20" xfId="0" applyNumberFormat="1" applyFont="1" applyFill="1" applyBorder="1" applyAlignment="1">
      <alignment horizontal="center" vertical="center"/>
    </xf>
    <xf numFmtId="0" fontId="24" fillId="9" borderId="21" xfId="0" applyNumberFormat="1" applyFont="1" applyFill="1" applyBorder="1" applyAlignment="1">
      <alignment horizontal="center" vertical="center"/>
    </xf>
    <xf numFmtId="49" fontId="7" fillId="9" borderId="21"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0"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0" xfId="0" applyNumberFormat="1" applyFont="1" applyFill="1" applyBorder="1" applyAlignment="1">
      <alignment horizontal="center" vertical="center"/>
    </xf>
    <xf numFmtId="49" fontId="16" fillId="5" borderId="20" xfId="0" applyNumberFormat="1" applyFont="1" applyFill="1" applyBorder="1" applyAlignment="1">
      <alignment horizontal="center" vertical="center"/>
    </xf>
    <xf numFmtId="0" fontId="16" fillId="5" borderId="21" xfId="0" applyNumberFormat="1" applyFont="1" applyFill="1" applyBorder="1" applyAlignment="1">
      <alignment horizontal="center" vertical="center"/>
    </xf>
    <xf numFmtId="49" fontId="7" fillId="5" borderId="21" xfId="0" applyNumberFormat="1" applyFont="1" applyFill="1" applyBorder="1" applyAlignment="1">
      <alignment horizontal="center" vertical="center"/>
    </xf>
    <xf numFmtId="0" fontId="7" fillId="5" borderId="22" xfId="0" applyNumberFormat="1" applyFont="1" applyFill="1" applyBorder="1" applyAlignment="1">
      <alignment horizontal="center" vertical="center"/>
    </xf>
    <xf numFmtId="0" fontId="31" fillId="0" borderId="0" xfId="0" applyFont="1" applyBorder="1" applyAlignment="1">
      <alignment vertical="center"/>
    </xf>
    <xf numFmtId="0" fontId="7" fillId="0" borderId="22"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0" xfId="0" applyNumberFormat="1" applyFont="1" applyFill="1" applyBorder="1" applyAlignment="1">
      <alignment horizontal="center" vertical="center"/>
    </xf>
    <xf numFmtId="0" fontId="16" fillId="9" borderId="21"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0" xfId="0" applyNumberFormat="1" applyFont="1" applyFill="1" applyBorder="1" applyAlignment="1">
      <alignment horizontal="center" vertical="center"/>
    </xf>
    <xf numFmtId="49"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49" fontId="7" fillId="6" borderId="21" xfId="0" applyNumberFormat="1" applyFont="1" applyFill="1" applyBorder="1" applyAlignment="1">
      <alignment horizontal="center" vertical="center"/>
    </xf>
    <xf numFmtId="0" fontId="7" fillId="6" borderId="2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0" xfId="0" applyNumberFormat="1" applyFont="1" applyFill="1" applyBorder="1" applyAlignment="1">
      <alignment horizontal="center" vertical="center"/>
    </xf>
    <xf numFmtId="0" fontId="28" fillId="0" borderId="21"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0" xfId="0" applyNumberFormat="1" applyFont="1" applyFill="1" applyBorder="1" applyAlignment="1">
      <alignment horizontal="center" vertical="center"/>
    </xf>
    <xf numFmtId="0" fontId="23" fillId="7" borderId="21"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0" xfId="0" applyNumberFormat="1" applyFont="1" applyFill="1" applyBorder="1" applyAlignment="1">
      <alignment horizontal="center" vertical="center"/>
    </xf>
    <xf numFmtId="49" fontId="16" fillId="10" borderId="20" xfId="0" applyNumberFormat="1" applyFont="1" applyFill="1" applyBorder="1" applyAlignment="1">
      <alignment horizontal="center" vertical="center"/>
    </xf>
    <xf numFmtId="0" fontId="16" fillId="10" borderId="21" xfId="0" applyNumberFormat="1" applyFont="1" applyFill="1" applyBorder="1" applyAlignment="1">
      <alignment horizontal="center" vertical="center"/>
    </xf>
    <xf numFmtId="49" fontId="7" fillId="10" borderId="21" xfId="0" applyNumberFormat="1" applyFont="1" applyFill="1" applyBorder="1" applyAlignment="1">
      <alignment horizontal="center" vertical="center"/>
    </xf>
    <xf numFmtId="0" fontId="7" fillId="10" borderId="22"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0" xfId="0" applyNumberFormat="1" applyFont="1" applyFill="1" applyBorder="1" applyAlignment="1">
      <alignment horizontal="center" vertical="center"/>
    </xf>
    <xf numFmtId="0" fontId="24" fillId="5" borderId="21"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0" xfId="0" applyNumberFormat="1" applyFont="1" applyFill="1" applyBorder="1" applyAlignment="1">
      <alignment horizontal="center" vertical="center"/>
    </xf>
    <xf numFmtId="0" fontId="28" fillId="10" borderId="21"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0" fontId="7" fillId="10" borderId="22"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0" xfId="0" applyNumberFormat="1" applyFont="1" applyFill="1" applyBorder="1" applyAlignment="1">
      <alignment horizontal="center" vertical="center"/>
    </xf>
    <xf numFmtId="0" fontId="23" fillId="5" borderId="21" xfId="0" applyNumberFormat="1" applyFont="1" applyFill="1" applyBorder="1" applyAlignment="1">
      <alignment horizontal="center" vertical="center"/>
    </xf>
    <xf numFmtId="0" fontId="40" fillId="12" borderId="39"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8" fillId="0" borderId="26" xfId="0" applyFont="1" applyBorder="1" applyAlignment="1">
      <alignment horizontal="centerContinuous" vertical="center"/>
    </xf>
    <xf numFmtId="0" fontId="7" fillId="0" borderId="0" xfId="0" applyFont="1" applyBorder="1" applyAlignment="1">
      <alignment vertical="center" wrapText="1"/>
    </xf>
    <xf numFmtId="0" fontId="51" fillId="0" borderId="31" xfId="0" applyFont="1" applyFill="1" applyBorder="1" applyAlignment="1">
      <alignment horizontal="centerContinuous" vertical="center" shrinkToFit="1"/>
    </xf>
    <xf numFmtId="0" fontId="51" fillId="0" borderId="31" xfId="0" applyFont="1" applyFill="1" applyBorder="1" applyAlignment="1">
      <alignment horizontal="centerContinuous" vertical="center"/>
    </xf>
    <xf numFmtId="0" fontId="51" fillId="0" borderId="31"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1" xfId="0" applyFont="1" applyFill="1" applyBorder="1" applyAlignment="1">
      <alignment horizontal="centerContinuous" vertical="center" shrinkToFit="1"/>
    </xf>
    <xf numFmtId="0" fontId="7" fillId="0" borderId="42" xfId="0" applyFont="1" applyFill="1" applyBorder="1" applyAlignment="1">
      <alignment horizontal="centerContinuous" vertical="center"/>
    </xf>
    <xf numFmtId="0" fontId="52" fillId="0" borderId="31"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8"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2" xfId="0" applyFont="1" applyFill="1" applyBorder="1" applyAlignment="1">
      <alignment horizontal="center" vertical="center"/>
    </xf>
    <xf numFmtId="0" fontId="21" fillId="11" borderId="54"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4" xfId="0" applyFont="1" applyFill="1" applyBorder="1" applyAlignment="1">
      <alignment horizontal="centerContinuous" vertical="center"/>
    </xf>
    <xf numFmtId="0" fontId="21" fillId="11" borderId="43" xfId="0" applyFont="1" applyFill="1" applyBorder="1" applyAlignment="1">
      <alignment horizontal="centerContinuous" vertical="center"/>
    </xf>
    <xf numFmtId="164" fontId="2" fillId="0" borderId="55" xfId="0" applyNumberFormat="1" applyFont="1" applyFill="1" applyBorder="1" applyAlignment="1">
      <alignment horizontal="centerContinuous" vertical="center"/>
    </xf>
    <xf numFmtId="0" fontId="5" fillId="0" borderId="56" xfId="0" quotePrefix="1" applyFont="1" applyBorder="1" applyAlignment="1">
      <alignment horizontal="centerContinuous" vertical="center"/>
    </xf>
    <xf numFmtId="0" fontId="2" fillId="0" borderId="59"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8"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6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0" fontId="2" fillId="0" borderId="0" xfId="0" applyFont="1" applyBorder="1" applyAlignment="1">
      <alignment horizontal="center" vertical="center"/>
    </xf>
    <xf numFmtId="0" fontId="2" fillId="0" borderId="67" xfId="0" applyFont="1" applyFill="1" applyBorder="1" applyAlignment="1">
      <alignment horizontal="centerContinuous" vertical="center"/>
    </xf>
    <xf numFmtId="0" fontId="2" fillId="0" borderId="58" xfId="0" applyFont="1" applyFill="1" applyBorder="1" applyAlignment="1">
      <alignment horizontal="centerContinuous" vertical="center"/>
    </xf>
    <xf numFmtId="49" fontId="2" fillId="0" borderId="58" xfId="0" applyNumberFormat="1" applyFont="1" applyFill="1" applyBorder="1" applyAlignment="1">
      <alignment horizontal="centerContinuous" vertical="center"/>
    </xf>
    <xf numFmtId="0" fontId="5" fillId="0" borderId="59" xfId="0" applyFont="1" applyFill="1" applyBorder="1" applyAlignment="1">
      <alignment horizontal="centerContinuous" vertical="center"/>
    </xf>
    <xf numFmtId="0" fontId="21" fillId="11" borderId="72" xfId="0" applyFont="1" applyFill="1" applyBorder="1" applyAlignment="1">
      <alignment horizontal="center" vertical="center"/>
    </xf>
    <xf numFmtId="0" fontId="2" fillId="0" borderId="68" xfId="0" applyFont="1" applyFill="1" applyBorder="1" applyAlignment="1">
      <alignment horizontal="centerContinuous" vertical="center" shrinkToFit="1"/>
    </xf>
    <xf numFmtId="0" fontId="21"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0" fontId="2" fillId="0" borderId="81" xfId="0" applyFont="1" applyFill="1" applyBorder="1" applyAlignment="1">
      <alignment horizontal="centerContinuous" vertical="center" shrinkToFit="1"/>
    </xf>
    <xf numFmtId="0" fontId="21" fillId="0" borderId="55" xfId="0" applyFont="1" applyFill="1" applyBorder="1" applyAlignment="1">
      <alignment horizontal="centerContinuous" vertical="center"/>
    </xf>
    <xf numFmtId="0" fontId="2"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0" fontId="2"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64" fontId="2" fillId="0" borderId="65" xfId="0" applyNumberFormat="1" applyFont="1" applyBorder="1" applyAlignment="1">
      <alignment horizontal="center" vertical="center" shrinkToFit="1"/>
    </xf>
    <xf numFmtId="0" fontId="5" fillId="0" borderId="65" xfId="0" applyFont="1" applyBorder="1" applyAlignment="1">
      <alignment horizontal="left" vertical="center"/>
    </xf>
    <xf numFmtId="0" fontId="5" fillId="0" borderId="66" xfId="0" applyFont="1" applyBorder="1" applyAlignment="1">
      <alignment horizontal="left" vertical="center" shrinkToFit="1"/>
    </xf>
    <xf numFmtId="0" fontId="2" fillId="0" borderId="67" xfId="0" applyFont="1" applyBorder="1" applyAlignment="1">
      <alignment horizontal="center" vertical="center" shrinkToFit="1"/>
    </xf>
    <xf numFmtId="164" fontId="2" fillId="0" borderId="37" xfId="0" applyNumberFormat="1" applyFont="1" applyFill="1" applyBorder="1" applyAlignment="1">
      <alignment horizontal="center" vertical="center" shrinkToFit="1"/>
    </xf>
    <xf numFmtId="0" fontId="2" fillId="0" borderId="74" xfId="0" applyFont="1" applyFill="1" applyBorder="1" applyAlignment="1">
      <alignment horizontal="left" vertical="center"/>
    </xf>
    <xf numFmtId="0" fontId="2" fillId="0" borderId="38"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0" xfId="0" applyFont="1" applyFill="1" applyBorder="1" applyAlignment="1">
      <alignment horizontal="center" vertical="center" shrinkToFit="1"/>
    </xf>
    <xf numFmtId="0" fontId="2" fillId="0" borderId="35" xfId="0" applyFont="1" applyBorder="1" applyAlignment="1">
      <alignment horizontal="center" vertical="center" shrinkToFit="1"/>
    </xf>
    <xf numFmtId="164" fontId="2" fillId="0" borderId="35" xfId="0" applyNumberFormat="1"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6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164" fontId="2" fillId="0" borderId="83" xfId="0" applyNumberFormat="1"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83" xfId="0" applyFont="1" applyFill="1" applyBorder="1" applyAlignment="1">
      <alignment horizontal="center" vertical="center"/>
    </xf>
    <xf numFmtId="49" fontId="2" fillId="0" borderId="37" xfId="0" applyNumberFormat="1" applyFont="1" applyFill="1" applyBorder="1" applyAlignment="1">
      <alignment horizontal="center" vertical="center"/>
    </xf>
    <xf numFmtId="0" fontId="5" fillId="0" borderId="84"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74" xfId="0" applyNumberFormat="1" applyFont="1" applyFill="1" applyBorder="1" applyAlignment="1">
      <alignment horizontal="centerContinuous" vertical="center"/>
    </xf>
    <xf numFmtId="49" fontId="2" fillId="0" borderId="73" xfId="0" applyNumberFormat="1" applyFont="1" applyFill="1" applyBorder="1" applyAlignment="1">
      <alignment horizontal="centerContinuous" vertical="center"/>
    </xf>
    <xf numFmtId="0" fontId="2" fillId="0" borderId="84" xfId="0" applyFont="1" applyFill="1" applyBorder="1" applyAlignment="1">
      <alignment horizontal="center" vertical="center"/>
    </xf>
    <xf numFmtId="0" fontId="2" fillId="0" borderId="73" xfId="0" applyFont="1" applyFill="1" applyBorder="1" applyAlignment="1">
      <alignment horizontal="center" vertical="center"/>
    </xf>
    <xf numFmtId="0" fontId="5" fillId="0" borderId="85"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1" fillId="14" borderId="26" xfId="0" applyFont="1" applyFill="1" applyBorder="1" applyAlignment="1">
      <alignment horizontal="center" vertical="center"/>
    </xf>
    <xf numFmtId="0" fontId="53" fillId="0" borderId="37" xfId="0" applyFont="1" applyBorder="1" applyAlignment="1">
      <alignment horizontal="left" vertical="center"/>
    </xf>
    <xf numFmtId="1" fontId="2" fillId="0" borderId="76"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6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quotePrefix="1" applyFont="1" applyFill="1" applyBorder="1" applyAlignment="1">
      <alignment horizontal="center" vertical="center"/>
    </xf>
    <xf numFmtId="9" fontId="2" fillId="0" borderId="37" xfId="0" applyNumberFormat="1" applyFont="1" applyFill="1" applyBorder="1" applyAlignment="1">
      <alignment horizontal="center" vertical="center"/>
    </xf>
    <xf numFmtId="164" fontId="2" fillId="0" borderId="74" xfId="0" applyNumberFormat="1" applyFont="1" applyFill="1" applyBorder="1" applyAlignment="1">
      <alignment horizontal="centerContinuous" vertical="center"/>
    </xf>
    <xf numFmtId="164" fontId="2" fillId="0" borderId="58" xfId="0" applyNumberFormat="1" applyFont="1" applyFill="1" applyBorder="1" applyAlignment="1">
      <alignment horizontal="centerContinuous" vertical="center"/>
    </xf>
    <xf numFmtId="49" fontId="16" fillId="0" borderId="29" xfId="0" applyNumberFormat="1" applyFont="1" applyBorder="1" applyAlignment="1">
      <alignment horizontal="center" shrinkToFit="1"/>
    </xf>
    <xf numFmtId="0" fontId="2" fillId="0" borderId="67" xfId="0" applyFont="1" applyFill="1" applyBorder="1" applyAlignment="1">
      <alignment horizontal="centerContinuous" vertical="center" shrinkToFit="1"/>
    </xf>
    <xf numFmtId="49" fontId="2" fillId="0" borderId="74" xfId="0" applyNumberFormat="1" applyFont="1" applyFill="1" applyBorder="1" applyAlignment="1">
      <alignment horizontal="center" vertical="center"/>
    </xf>
    <xf numFmtId="0" fontId="54" fillId="2" borderId="86" xfId="0" applyFont="1" applyFill="1" applyBorder="1" applyAlignment="1">
      <alignment horizontal="right" vertical="center"/>
    </xf>
    <xf numFmtId="0" fontId="36" fillId="2" borderId="87" xfId="0" applyFont="1" applyFill="1" applyBorder="1" applyAlignment="1">
      <alignment horizontal="left" vertical="center"/>
    </xf>
    <xf numFmtId="0" fontId="20" fillId="2" borderId="87" xfId="0" applyFont="1" applyFill="1" applyBorder="1" applyAlignment="1">
      <alignment horizontal="left" vertical="center"/>
    </xf>
    <xf numFmtId="0" fontId="4" fillId="2" borderId="87" xfId="0" applyFont="1" applyFill="1" applyBorder="1" applyAlignment="1">
      <alignment horizontal="centerContinuous" vertical="center"/>
    </xf>
    <xf numFmtId="0" fontId="5" fillId="2" borderId="87" xfId="0" applyFont="1" applyFill="1" applyBorder="1" applyAlignment="1">
      <alignment horizontal="centerContinuous" vertical="center"/>
    </xf>
    <xf numFmtId="0" fontId="35" fillId="2" borderId="88"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0" xfId="0" applyNumberFormat="1" applyFont="1" applyFill="1" applyBorder="1" applyAlignment="1">
      <alignment horizontal="center" vertical="center"/>
    </xf>
    <xf numFmtId="0" fontId="27" fillId="0" borderId="21"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0" xfId="0" applyNumberFormat="1" applyFont="1" applyFill="1" applyBorder="1" applyAlignment="1">
      <alignment horizontal="center" vertical="center"/>
    </xf>
    <xf numFmtId="0" fontId="28" fillId="9" borderId="21" xfId="0" applyNumberFormat="1" applyFont="1" applyFill="1" applyBorder="1" applyAlignment="1">
      <alignment horizontal="center" vertical="center"/>
    </xf>
    <xf numFmtId="0" fontId="7" fillId="9" borderId="22" xfId="0" quotePrefix="1" applyNumberFormat="1" applyFont="1" applyFill="1" applyBorder="1" applyAlignment="1">
      <alignment horizontal="center" vertical="center"/>
    </xf>
    <xf numFmtId="0" fontId="51" fillId="0" borderId="89" xfId="0" applyFont="1" applyFill="1" applyBorder="1" applyAlignment="1">
      <alignment horizontal="center" vertical="center" shrinkToFit="1"/>
    </xf>
    <xf numFmtId="0" fontId="51" fillId="0" borderId="31" xfId="0" applyFont="1" applyFill="1" applyBorder="1" applyAlignment="1">
      <alignment horizontal="center" vertical="center" shrinkToFit="1"/>
    </xf>
    <xf numFmtId="0" fontId="7" fillId="0" borderId="31" xfId="0" quotePrefix="1" applyFont="1" applyFill="1" applyBorder="1" applyAlignment="1">
      <alignment horizontal="center" vertical="center" shrinkToFit="1"/>
    </xf>
    <xf numFmtId="0" fontId="21" fillId="0" borderId="85" xfId="0" applyFont="1" applyFill="1" applyBorder="1" applyAlignment="1">
      <alignment horizontal="centerContinuous" vertical="center"/>
    </xf>
    <xf numFmtId="0" fontId="21" fillId="0" borderId="76" xfId="0" applyFont="1" applyFill="1" applyBorder="1" applyAlignment="1">
      <alignment horizontal="centerContinuous" vertical="center"/>
    </xf>
    <xf numFmtId="0" fontId="2" fillId="0" borderId="75" xfId="0" applyFont="1" applyFill="1" applyBorder="1" applyAlignment="1">
      <alignment horizontal="centerContinuous" vertical="center"/>
    </xf>
    <xf numFmtId="0" fontId="5" fillId="0" borderId="90" xfId="0" applyFont="1" applyBorder="1" applyAlignment="1">
      <alignment horizontal="left" vertical="center"/>
    </xf>
    <xf numFmtId="0" fontId="2" fillId="0" borderId="92" xfId="0" applyFont="1" applyFill="1" applyBorder="1" applyAlignment="1">
      <alignment horizontal="center" vertical="center"/>
    </xf>
    <xf numFmtId="164" fontId="2" fillId="0" borderId="94" xfId="0" applyNumberFormat="1" applyFont="1" applyFill="1" applyBorder="1" applyAlignment="1">
      <alignment horizontal="centerContinuous" vertical="center"/>
    </xf>
    <xf numFmtId="0" fontId="5" fillId="0" borderId="95" xfId="0" quotePrefix="1" applyFont="1" applyBorder="1" applyAlignment="1">
      <alignment horizontal="centerContinuous" vertical="center"/>
    </xf>
    <xf numFmtId="1" fontId="2" fillId="0" borderId="75" xfId="0" applyNumberFormat="1" applyFont="1" applyFill="1" applyBorder="1" applyAlignment="1">
      <alignment horizontal="center" vertical="center"/>
    </xf>
    <xf numFmtId="0" fontId="2" fillId="0" borderId="37" xfId="0" applyFont="1" applyFill="1" applyBorder="1" applyAlignment="1">
      <alignment horizontal="centerContinuous" vertical="center"/>
    </xf>
    <xf numFmtId="0" fontId="8" fillId="9" borderId="1" xfId="0" applyFont="1" applyFill="1" applyBorder="1" applyAlignment="1">
      <alignment vertical="center"/>
    </xf>
    <xf numFmtId="49" fontId="17" fillId="9" borderId="20" xfId="0" applyNumberFormat="1" applyFont="1" applyFill="1" applyBorder="1" applyAlignment="1">
      <alignment horizontal="center" vertical="center"/>
    </xf>
    <xf numFmtId="0" fontId="17" fillId="9" borderId="21" xfId="0" applyNumberFormat="1" applyFont="1" applyFill="1" applyBorder="1" applyAlignment="1">
      <alignment horizontal="center" vertical="center"/>
    </xf>
    <xf numFmtId="0" fontId="7" fillId="9" borderId="21"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39" xfId="0" applyNumberFormat="1" applyFont="1" applyFill="1" applyBorder="1" applyAlignment="1">
      <alignment horizontal="center" vertical="center"/>
    </xf>
    <xf numFmtId="49" fontId="24" fillId="9" borderId="39" xfId="0" applyNumberFormat="1" applyFont="1" applyFill="1" applyBorder="1" applyAlignment="1">
      <alignment horizontal="center" vertical="center"/>
    </xf>
    <xf numFmtId="0" fontId="24" fillId="9" borderId="41" xfId="0" applyNumberFormat="1" applyFont="1" applyFill="1" applyBorder="1" applyAlignment="1">
      <alignment horizontal="center" vertical="center"/>
    </xf>
    <xf numFmtId="49" fontId="7" fillId="9" borderId="41" xfId="0" applyNumberFormat="1" applyFont="1" applyFill="1" applyBorder="1" applyAlignment="1">
      <alignment horizontal="center" vertical="center"/>
    </xf>
    <xf numFmtId="0" fontId="7" fillId="9" borderId="30" xfId="0" applyNumberFormat="1" applyFont="1" applyFill="1" applyBorder="1" applyAlignment="1">
      <alignment horizontal="center" vertical="center"/>
    </xf>
    <xf numFmtId="0" fontId="52" fillId="0" borderId="42" xfId="0" quotePrefix="1" applyFont="1" applyFill="1" applyBorder="1" applyAlignment="1">
      <alignment horizontal="center" vertical="center" shrinkToFit="1"/>
    </xf>
    <xf numFmtId="0" fontId="2" fillId="0" borderId="37" xfId="0" applyFont="1" applyFill="1" applyBorder="1" applyAlignment="1">
      <alignment horizontal="center" vertical="center" shrinkToFit="1"/>
    </xf>
    <xf numFmtId="164" fontId="2" fillId="0" borderId="74" xfId="0" applyNumberFormat="1" applyFont="1" applyBorder="1" applyAlignment="1">
      <alignment horizontal="center" vertical="center"/>
    </xf>
    <xf numFmtId="0" fontId="2" fillId="0" borderId="38" xfId="0" applyFont="1" applyFill="1" applyBorder="1" applyAlignment="1">
      <alignment horizontal="center" vertical="center"/>
    </xf>
    <xf numFmtId="0" fontId="2" fillId="0" borderId="81" xfId="0" applyFont="1" applyFill="1" applyBorder="1" applyAlignment="1">
      <alignment horizontal="centerContinuous" vertical="center"/>
    </xf>
    <xf numFmtId="0" fontId="2" fillId="0" borderId="55" xfId="0" applyFont="1" applyFill="1" applyBorder="1" applyAlignment="1">
      <alignment horizontal="centerContinuous" vertical="center"/>
    </xf>
    <xf numFmtId="0" fontId="5" fillId="0" borderId="76" xfId="0" applyFont="1" applyFill="1" applyBorder="1" applyAlignment="1">
      <alignment horizontal="centerContinuous" vertical="center"/>
    </xf>
    <xf numFmtId="0" fontId="5" fillId="0" borderId="73" xfId="0" applyFont="1" applyFill="1" applyBorder="1" applyAlignment="1">
      <alignment horizontal="centerContinuous" vertical="center"/>
    </xf>
    <xf numFmtId="49" fontId="2" fillId="0" borderId="35" xfId="0" applyNumberFormat="1" applyFont="1" applyFill="1" applyBorder="1" applyAlignment="1">
      <alignment horizontal="center" vertical="center"/>
    </xf>
    <xf numFmtId="49" fontId="2" fillId="0" borderId="55" xfId="0" applyNumberFormat="1" applyFont="1" applyFill="1" applyBorder="1" applyAlignment="1">
      <alignment horizontal="centerContinuous" vertical="center"/>
    </xf>
    <xf numFmtId="0" fontId="5" fillId="0" borderId="56" xfId="0" applyFont="1" applyFill="1" applyBorder="1" applyAlignment="1">
      <alignment horizontal="centerContinuous" vertical="center"/>
    </xf>
    <xf numFmtId="0" fontId="51" fillId="0" borderId="42" xfId="0" applyFont="1" applyFill="1" applyBorder="1" applyAlignment="1">
      <alignment horizontal="centerContinuous" vertical="center"/>
    </xf>
    <xf numFmtId="0" fontId="2" fillId="0" borderId="64" xfId="0" applyFont="1" applyFill="1" applyBorder="1" applyAlignment="1">
      <alignment horizontal="center" vertical="center"/>
    </xf>
    <xf numFmtId="164" fontId="2" fillId="0" borderId="93" xfId="0" applyNumberFormat="1" applyFont="1" applyFill="1" applyBorder="1" applyAlignment="1">
      <alignment horizontal="center" vertical="center"/>
    </xf>
    <xf numFmtId="1" fontId="2" fillId="0" borderId="96" xfId="0" applyNumberFormat="1" applyFont="1" applyFill="1" applyBorder="1" applyAlignment="1">
      <alignment horizontal="center" vertical="center"/>
    </xf>
    <xf numFmtId="0" fontId="2" fillId="0" borderId="97" xfId="0" quotePrefix="1" applyFont="1" applyFill="1" applyBorder="1" applyAlignment="1">
      <alignment horizontal="center" vertical="center"/>
    </xf>
    <xf numFmtId="49" fontId="2" fillId="10" borderId="92" xfId="2" applyNumberFormat="1" applyFont="1" applyFill="1" applyBorder="1" applyAlignment="1">
      <alignment horizontal="center" vertical="center"/>
    </xf>
    <xf numFmtId="49" fontId="2" fillId="10" borderId="92" xfId="0" applyNumberFormat="1" applyFont="1" applyFill="1" applyBorder="1" applyAlignment="1">
      <alignment horizontal="center" vertical="center"/>
    </xf>
    <xf numFmtId="164" fontId="2" fillId="10" borderId="92" xfId="0" applyNumberFormat="1" applyFont="1" applyFill="1" applyBorder="1" applyAlignment="1">
      <alignment horizontal="center" vertical="center"/>
    </xf>
    <xf numFmtId="0" fontId="7" fillId="5" borderId="22" xfId="0" quotePrefix="1" applyNumberFormat="1" applyFont="1" applyFill="1" applyBorder="1" applyAlignment="1">
      <alignment horizontal="center" vertical="center"/>
    </xf>
    <xf numFmtId="0" fontId="2" fillId="0" borderId="0" xfId="0" quotePrefix="1" applyFont="1" applyBorder="1" applyAlignment="1">
      <alignment vertical="center"/>
    </xf>
    <xf numFmtId="0" fontId="2" fillId="0" borderId="65" xfId="0" applyFont="1" applyFill="1" applyBorder="1" applyAlignment="1">
      <alignment horizontal="center" vertical="center"/>
    </xf>
    <xf numFmtId="49" fontId="2" fillId="0" borderId="65" xfId="2" applyNumberFormat="1" applyFont="1" applyBorder="1" applyAlignment="1">
      <alignment horizontal="center" vertical="center"/>
    </xf>
    <xf numFmtId="49" fontId="2" fillId="0" borderId="65" xfId="2" applyNumberFormat="1" applyFont="1" applyFill="1" applyBorder="1" applyAlignment="1">
      <alignment horizontal="center" vertical="center"/>
    </xf>
    <xf numFmtId="0" fontId="2" fillId="0" borderId="65" xfId="0" applyFont="1" applyFill="1" applyBorder="1" applyAlignment="1">
      <alignment horizontal="center" vertical="center" shrinkToFit="1"/>
    </xf>
    <xf numFmtId="164" fontId="2" fillId="0" borderId="65" xfId="0" applyNumberFormat="1" applyFont="1" applyFill="1" applyBorder="1" applyAlignment="1">
      <alignment horizontal="center" vertical="center"/>
    </xf>
    <xf numFmtId="0" fontId="2" fillId="0" borderId="66" xfId="0"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49" fontId="2" fillId="0" borderId="99" xfId="2" applyNumberFormat="1" applyFont="1" applyBorder="1" applyAlignment="1">
      <alignment horizontal="center" vertical="center"/>
    </xf>
    <xf numFmtId="49" fontId="2" fillId="0" borderId="99" xfId="2" applyNumberFormat="1" applyFont="1" applyFill="1" applyBorder="1" applyAlignment="1">
      <alignment horizontal="center" vertical="center"/>
    </xf>
    <xf numFmtId="0" fontId="2" fillId="0" borderId="99" xfId="0" applyFont="1" applyFill="1" applyBorder="1" applyAlignment="1">
      <alignment horizontal="center" vertical="center" shrinkToFit="1"/>
    </xf>
    <xf numFmtId="164" fontId="2" fillId="0" borderId="99" xfId="0" applyNumberFormat="1" applyFont="1" applyFill="1" applyBorder="1" applyAlignment="1">
      <alignment horizontal="center" vertical="center"/>
    </xf>
    <xf numFmtId="164" fontId="2" fillId="0" borderId="100" xfId="0" applyNumberFormat="1" applyFont="1" applyBorder="1" applyAlignment="1">
      <alignment horizontal="center" vertical="center"/>
    </xf>
    <xf numFmtId="1" fontId="47" fillId="12" borderId="101" xfId="0" applyNumberFormat="1" applyFont="1" applyFill="1" applyBorder="1" applyAlignment="1">
      <alignment horizontal="center" vertical="center"/>
    </xf>
    <xf numFmtId="1" fontId="2" fillId="0" borderId="102" xfId="0" applyNumberFormat="1" applyFont="1" applyFill="1" applyBorder="1" applyAlignment="1">
      <alignment horizontal="center" vertical="center"/>
    </xf>
    <xf numFmtId="0" fontId="2" fillId="0" borderId="103" xfId="0" applyFont="1" applyFill="1" applyBorder="1" applyAlignment="1">
      <alignment horizontal="center" vertical="center"/>
    </xf>
    <xf numFmtId="0" fontId="2" fillId="0" borderId="104" xfId="0" applyFont="1" applyFill="1" applyBorder="1" applyAlignment="1">
      <alignment horizontal="center" vertical="center"/>
    </xf>
    <xf numFmtId="0" fontId="2" fillId="10" borderId="105" xfId="0" applyFont="1" applyFill="1" applyBorder="1" applyAlignment="1">
      <alignment horizontal="center" vertical="center"/>
    </xf>
    <xf numFmtId="0" fontId="57" fillId="10" borderId="105" xfId="0" quotePrefix="1" applyFont="1" applyFill="1" applyBorder="1" applyAlignment="1">
      <alignment horizontal="center" vertical="center" wrapText="1"/>
    </xf>
    <xf numFmtId="49" fontId="2" fillId="10" borderId="105" xfId="2" applyNumberFormat="1" applyFont="1" applyFill="1" applyBorder="1" applyAlignment="1">
      <alignment horizontal="center" vertical="center"/>
    </xf>
    <xf numFmtId="0" fontId="2" fillId="10" borderId="105" xfId="0" applyFont="1" applyFill="1" applyBorder="1" applyAlignment="1">
      <alignment horizontal="center" vertical="center" shrinkToFit="1"/>
    </xf>
    <xf numFmtId="164" fontId="2" fillId="10" borderId="105" xfId="0" applyNumberFormat="1" applyFont="1" applyFill="1" applyBorder="1" applyAlignment="1">
      <alignment horizontal="center" vertical="center"/>
    </xf>
    <xf numFmtId="164" fontId="2" fillId="0" borderId="106" xfId="0" applyNumberFormat="1" applyFont="1" applyBorder="1" applyAlignment="1">
      <alignment horizontal="center" vertical="center"/>
    </xf>
    <xf numFmtId="1" fontId="47" fillId="12" borderId="107" xfId="0" applyNumberFormat="1" applyFont="1" applyFill="1" applyBorder="1" applyAlignment="1">
      <alignment horizontal="center" vertical="center"/>
    </xf>
    <xf numFmtId="1" fontId="2" fillId="0" borderId="108" xfId="0" applyNumberFormat="1" applyFont="1" applyFill="1" applyBorder="1" applyAlignment="1">
      <alignment horizontal="center" vertical="center"/>
    </xf>
    <xf numFmtId="0" fontId="2" fillId="0" borderId="109" xfId="0" applyFont="1" applyFill="1" applyBorder="1" applyAlignment="1">
      <alignment horizontal="center" vertical="center"/>
    </xf>
    <xf numFmtId="0" fontId="2" fillId="0" borderId="91" xfId="0" applyFont="1" applyFill="1" applyBorder="1" applyAlignment="1">
      <alignment horizontal="center" vertical="center"/>
    </xf>
    <xf numFmtId="1" fontId="47" fillId="12" borderId="20" xfId="0" applyNumberFormat="1" applyFont="1" applyFill="1" applyBorder="1" applyAlignment="1">
      <alignment horizontal="center" vertical="center"/>
    </xf>
    <xf numFmtId="0" fontId="2" fillId="0" borderId="99" xfId="0" quotePrefix="1" applyFont="1" applyFill="1" applyBorder="1" applyAlignment="1">
      <alignment horizontal="center" vertical="center" wrapText="1"/>
    </xf>
    <xf numFmtId="0" fontId="2" fillId="0" borderId="99" xfId="0" applyNumberFormat="1" applyFont="1" applyFill="1" applyBorder="1" applyAlignment="1">
      <alignment horizontal="center" vertical="center"/>
    </xf>
    <xf numFmtId="49" fontId="2" fillId="0" borderId="99" xfId="0" applyNumberFormat="1" applyFont="1" applyFill="1" applyBorder="1" applyAlignment="1">
      <alignment horizontal="center" vertical="center"/>
    </xf>
    <xf numFmtId="1" fontId="2" fillId="0" borderId="99" xfId="0" applyNumberFormat="1" applyFont="1" applyFill="1" applyBorder="1" applyAlignment="1">
      <alignment horizontal="center" vertical="center"/>
    </xf>
    <xf numFmtId="0" fontId="2" fillId="0" borderId="103" xfId="0" quotePrefix="1" applyFont="1" applyFill="1" applyBorder="1" applyAlignment="1">
      <alignment horizontal="center" vertical="center"/>
    </xf>
    <xf numFmtId="0" fontId="2" fillId="0" borderId="92" xfId="0" quotePrefix="1" applyFont="1" applyFill="1" applyBorder="1" applyAlignment="1">
      <alignment horizontal="center" vertical="center" wrapText="1"/>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7" fillId="0" borderId="77" xfId="0" quotePrefix="1" applyFont="1" applyBorder="1" applyAlignment="1">
      <alignment horizontal="center" vertical="center"/>
    </xf>
    <xf numFmtId="49" fontId="26" fillId="0" borderId="77" xfId="0" applyNumberFormat="1" applyFont="1" applyBorder="1" applyAlignment="1">
      <alignment horizontal="center" vertical="center"/>
    </xf>
    <xf numFmtId="0" fontId="7" fillId="0" borderId="7" xfId="0" applyFont="1" applyBorder="1" applyAlignment="1">
      <alignment horizontal="left" vertical="center"/>
    </xf>
    <xf numFmtId="0" fontId="2" fillId="0" borderId="60" xfId="0" applyFont="1" applyBorder="1" applyAlignment="1">
      <alignment horizontal="center" vertical="center" shrinkToFit="1"/>
    </xf>
    <xf numFmtId="9" fontId="2" fillId="0" borderId="35" xfId="0" applyNumberFormat="1" applyFont="1" applyFill="1" applyBorder="1" applyAlignment="1">
      <alignment horizontal="center" vertical="center"/>
    </xf>
    <xf numFmtId="164" fontId="2" fillId="0" borderId="73" xfId="0" applyNumberFormat="1" applyFont="1" applyFill="1" applyBorder="1" applyAlignment="1">
      <alignment horizontal="centerContinuous" vertical="center"/>
    </xf>
    <xf numFmtId="0" fontId="7" fillId="0" borderId="11" xfId="0" applyFont="1" applyFill="1" applyBorder="1" applyAlignment="1">
      <alignment horizontal="center" vertical="center"/>
    </xf>
    <xf numFmtId="1" fontId="6" fillId="0" borderId="23" xfId="0" applyNumberFormat="1" applyFont="1" applyBorder="1" applyAlignment="1">
      <alignment horizontal="center" vertical="center"/>
    </xf>
    <xf numFmtId="0" fontId="2" fillId="0" borderId="90" xfId="0" applyFont="1" applyBorder="1" applyAlignment="1">
      <alignment horizontal="left" vertical="center"/>
    </xf>
    <xf numFmtId="0" fontId="2" fillId="0" borderId="66"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left" vertical="center"/>
    </xf>
    <xf numFmtId="1" fontId="2" fillId="0" borderId="31"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5" fillId="0" borderId="0" xfId="0" applyNumberFormat="1" applyFont="1" applyBorder="1" applyAlignment="1">
      <alignment vertical="center"/>
    </xf>
    <xf numFmtId="1" fontId="21" fillId="14" borderId="26"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76" xfId="0" applyFont="1" applyBorder="1" applyAlignment="1">
      <alignment horizontal="center" vertical="center" shrinkToFit="1"/>
    </xf>
    <xf numFmtId="0" fontId="2" fillId="0" borderId="82" xfId="0" applyFont="1" applyFill="1" applyBorder="1" applyAlignment="1">
      <alignment horizontal="center" vertical="center" shrinkToFit="1"/>
    </xf>
    <xf numFmtId="9" fontId="2" fillId="0" borderId="99" xfId="0" applyNumberFormat="1" applyFont="1" applyFill="1" applyBorder="1" applyAlignment="1">
      <alignment horizontal="center" vertical="center"/>
    </xf>
    <xf numFmtId="1" fontId="2" fillId="0" borderId="113" xfId="0" applyNumberFormat="1" applyFont="1" applyFill="1" applyBorder="1" applyAlignment="1">
      <alignment horizontal="center" vertical="center"/>
    </xf>
    <xf numFmtId="1" fontId="2" fillId="10" borderId="80" xfId="0" applyNumberFormat="1" applyFont="1" applyFill="1" applyBorder="1" applyAlignment="1">
      <alignment horizontal="center" vertical="center"/>
    </xf>
    <xf numFmtId="1" fontId="2" fillId="0" borderId="80" xfId="0" applyNumberFormat="1" applyFont="1" applyBorder="1" applyAlignment="1">
      <alignment horizontal="center" vertical="center"/>
    </xf>
    <xf numFmtId="1" fontId="2" fillId="0" borderId="42"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58" fillId="0" borderId="20" xfId="0" applyFont="1" applyFill="1" applyBorder="1" applyAlignment="1">
      <alignment horizontal="center" vertical="center" wrapText="1"/>
    </xf>
    <xf numFmtId="0" fontId="24" fillId="0" borderId="21" xfId="0" applyNumberFormat="1" applyFont="1" applyFill="1" applyBorder="1" applyAlignment="1">
      <alignment horizontal="center" vertical="center"/>
    </xf>
    <xf numFmtId="0" fontId="40" fillId="0" borderId="40" xfId="0" applyFont="1" applyFill="1" applyBorder="1" applyAlignment="1">
      <alignment horizontal="center" vertical="center" wrapText="1"/>
    </xf>
    <xf numFmtId="0" fontId="23" fillId="6" borderId="21" xfId="0" applyNumberFormat="1" applyFont="1" applyFill="1" applyBorder="1" applyAlignment="1">
      <alignment horizontal="center" vertical="center"/>
    </xf>
    <xf numFmtId="0" fontId="7" fillId="15" borderId="20" xfId="0" applyFont="1" applyFill="1" applyBorder="1" applyAlignment="1">
      <alignment horizontal="center" vertical="center" wrapText="1"/>
    </xf>
    <xf numFmtId="0" fontId="7" fillId="15" borderId="40" xfId="0" applyFont="1" applyFill="1" applyBorder="1" applyAlignment="1">
      <alignment horizontal="center" vertical="center" wrapText="1"/>
    </xf>
    <xf numFmtId="0" fontId="2" fillId="0" borderId="114" xfId="0" applyFont="1" applyBorder="1" applyAlignment="1">
      <alignment horizontal="center" vertical="center" shrinkToFit="1"/>
    </xf>
    <xf numFmtId="164" fontId="2" fillId="0" borderId="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0" fontId="4" fillId="0" borderId="0" xfId="0" applyFont="1" applyBorder="1" applyAlignment="1">
      <alignment horizontal="right"/>
    </xf>
    <xf numFmtId="164" fontId="2" fillId="0" borderId="0" xfId="0" applyNumberFormat="1" applyFont="1" applyBorder="1" applyAlignment="1">
      <alignment horizontal="center"/>
    </xf>
    <xf numFmtId="0" fontId="59" fillId="0" borderId="0" xfId="0" applyFont="1" applyBorder="1" applyAlignment="1"/>
    <xf numFmtId="0" fontId="3" fillId="0" borderId="0" xfId="0" applyFont="1" applyBorder="1" applyAlignment="1">
      <alignment horizontal="centerContinuous" shrinkToFit="1"/>
    </xf>
    <xf numFmtId="0" fontId="21" fillId="3" borderId="32" xfId="0" applyFont="1" applyFill="1" applyBorder="1" applyAlignment="1">
      <alignment horizontal="center"/>
    </xf>
    <xf numFmtId="0" fontId="21" fillId="3" borderId="32" xfId="0" applyFont="1" applyFill="1" applyBorder="1" applyAlignment="1">
      <alignment horizontal="right"/>
    </xf>
    <xf numFmtId="0" fontId="21" fillId="3" borderId="34" xfId="0" applyFont="1" applyFill="1" applyBorder="1" applyAlignment="1"/>
    <xf numFmtId="0" fontId="2" fillId="0" borderId="68" xfId="0" applyFont="1" applyBorder="1" applyAlignment="1">
      <alignment horizontal="center" shrinkToFit="1"/>
    </xf>
    <xf numFmtId="0" fontId="2" fillId="0" borderId="84" xfId="0" applyFont="1" applyBorder="1" applyAlignment="1">
      <alignment horizontal="left"/>
    </xf>
    <xf numFmtId="0" fontId="2" fillId="0" borderId="115" xfId="0" applyFont="1" applyBorder="1" applyAlignment="1">
      <alignment horizontal="left" shrinkToFit="1"/>
    </xf>
    <xf numFmtId="0" fontId="2" fillId="0" borderId="81" xfId="0" applyFont="1" applyBorder="1" applyAlignment="1">
      <alignment horizontal="center" shrinkToFit="1"/>
    </xf>
    <xf numFmtId="0" fontId="2" fillId="0" borderId="73" xfId="0" applyFont="1" applyBorder="1" applyAlignment="1">
      <alignment horizontal="left"/>
    </xf>
    <xf numFmtId="0" fontId="2" fillId="0" borderId="36" xfId="0" applyFont="1" applyBorder="1" applyAlignment="1">
      <alignment horizontal="left" shrinkToFit="1"/>
    </xf>
    <xf numFmtId="0" fontId="2" fillId="0" borderId="67" xfId="0" applyFont="1" applyBorder="1" applyAlignment="1">
      <alignment horizontal="center" shrinkToFit="1"/>
    </xf>
    <xf numFmtId="0" fontId="2" fillId="0" borderId="74" xfId="0" applyFont="1" applyBorder="1" applyAlignment="1">
      <alignment horizontal="left"/>
    </xf>
    <xf numFmtId="0" fontId="2" fillId="0" borderId="38" xfId="0" applyFont="1" applyBorder="1" applyAlignment="1">
      <alignment horizontal="left" shrinkToFit="1"/>
    </xf>
    <xf numFmtId="1" fontId="2" fillId="0" borderId="0" xfId="0" applyNumberFormat="1" applyFont="1" applyBorder="1" applyAlignment="1">
      <alignment vertical="center"/>
    </xf>
    <xf numFmtId="0" fontId="2" fillId="0" borderId="35" xfId="0" applyFont="1" applyBorder="1" applyAlignment="1">
      <alignment horizontal="left" vertical="center"/>
    </xf>
    <xf numFmtId="0" fontId="2" fillId="0" borderId="36" xfId="0" applyFont="1" applyBorder="1" applyAlignment="1">
      <alignment horizontal="left" vertical="center" shrinkToFit="1"/>
    </xf>
    <xf numFmtId="0" fontId="2" fillId="0" borderId="99" xfId="0" applyFont="1" applyBorder="1" applyAlignment="1">
      <alignment horizontal="center" vertical="center" shrinkToFit="1"/>
    </xf>
    <xf numFmtId="0" fontId="2" fillId="0" borderId="0" xfId="0" applyFont="1" applyBorder="1" applyAlignment="1">
      <alignment horizontal="center" shrinkToFit="1"/>
    </xf>
    <xf numFmtId="0" fontId="2" fillId="0" borderId="0" xfId="0" applyFont="1" applyBorder="1" applyAlignment="1">
      <alignment horizontal="left"/>
    </xf>
    <xf numFmtId="0" fontId="2" fillId="0" borderId="0" xfId="0" applyFont="1" applyBorder="1" applyAlignment="1">
      <alignment horizontal="left" shrinkToFit="1"/>
    </xf>
    <xf numFmtId="49" fontId="2" fillId="16" borderId="37" xfId="0" applyNumberFormat="1" applyFont="1" applyFill="1" applyBorder="1" applyAlignment="1">
      <alignment horizontal="center" vertical="center"/>
    </xf>
    <xf numFmtId="49" fontId="2" fillId="16" borderId="74" xfId="0" applyNumberFormat="1" applyFont="1" applyFill="1" applyBorder="1" applyAlignment="1">
      <alignment horizontal="centerContinuous" vertical="center"/>
    </xf>
    <xf numFmtId="0" fontId="2" fillId="16" borderId="59" xfId="0" applyFont="1" applyFill="1" applyBorder="1" applyAlignment="1">
      <alignment horizontal="centerContinuous" vertical="center"/>
    </xf>
    <xf numFmtId="49" fontId="2" fillId="0" borderId="92" xfId="2" applyNumberFormat="1" applyFont="1" applyFill="1" applyBorder="1" applyAlignment="1">
      <alignment horizontal="center" vertical="center"/>
    </xf>
    <xf numFmtId="49" fontId="2" fillId="0" borderId="92" xfId="0" applyNumberFormat="1" applyFont="1" applyFill="1" applyBorder="1" applyAlignment="1">
      <alignment horizontal="center" vertical="center"/>
    </xf>
    <xf numFmtId="164" fontId="2" fillId="0" borderId="92" xfId="0" applyNumberFormat="1" applyFont="1" applyFill="1" applyBorder="1" applyAlignment="1">
      <alignment horizontal="center" vertical="center"/>
    </xf>
    <xf numFmtId="0" fontId="2" fillId="0" borderId="112" xfId="0" quotePrefix="1" applyFont="1" applyFill="1" applyBorder="1" applyAlignment="1">
      <alignment horizontal="center" vertical="center"/>
    </xf>
    <xf numFmtId="1" fontId="7" fillId="0" borderId="77" xfId="0" applyNumberFormat="1" applyFont="1" applyBorder="1" applyAlignment="1">
      <alignment horizontal="centerContinuous" vertical="center"/>
    </xf>
    <xf numFmtId="1" fontId="2" fillId="0" borderId="78" xfId="0" applyNumberFormat="1" applyFont="1" applyBorder="1" applyAlignment="1">
      <alignment horizontal="centerContinuous" vertical="center"/>
    </xf>
    <xf numFmtId="165" fontId="2" fillId="0" borderId="0" xfId="0" applyNumberFormat="1" applyFont="1" applyBorder="1" applyAlignment="1">
      <alignment vertical="center"/>
    </xf>
    <xf numFmtId="0" fontId="7" fillId="6" borderId="22" xfId="0" quotePrefix="1" applyNumberFormat="1" applyFont="1" applyFill="1" applyBorder="1" applyAlignment="1">
      <alignment horizontal="center" vertical="center"/>
    </xf>
    <xf numFmtId="0" fontId="7" fillId="0" borderId="62" xfId="0" applyNumberFormat="1" applyFont="1" applyFill="1" applyBorder="1" applyAlignment="1">
      <alignment horizontal="centerContinuous" vertical="center"/>
    </xf>
    <xf numFmtId="0" fontId="2" fillId="0" borderId="63" xfId="0" applyFont="1" applyFill="1" applyBorder="1" applyAlignment="1">
      <alignment horizontal="centerContinuous" vertical="center"/>
    </xf>
    <xf numFmtId="0" fontId="9" fillId="17" borderId="3" xfId="0" quotePrefix="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0" xfId="5" applyNumberFormat="1" applyFont="1" applyAlignment="1">
      <alignment horizontal="center" vertical="center"/>
    </xf>
    <xf numFmtId="1" fontId="2" fillId="0" borderId="116" xfId="5" applyNumberFormat="1" applyFon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2" fillId="0" borderId="118" xfId="0" quotePrefix="1" applyFont="1" applyFill="1" applyBorder="1" applyAlignment="1">
      <alignment horizontal="center" vertical="center" wrapText="1"/>
    </xf>
    <xf numFmtId="0" fontId="2" fillId="0" borderId="118" xfId="0" applyNumberFormat="1" applyFont="1" applyFill="1" applyBorder="1" applyAlignment="1">
      <alignment horizontal="center" vertical="center"/>
    </xf>
    <xf numFmtId="49" fontId="2" fillId="0" borderId="118" xfId="2" applyNumberFormat="1" applyFont="1" applyFill="1" applyBorder="1" applyAlignment="1">
      <alignment horizontal="center" vertical="center"/>
    </xf>
    <xf numFmtId="49" fontId="2" fillId="0" borderId="118" xfId="0" applyNumberFormat="1" applyFont="1" applyFill="1" applyBorder="1" applyAlignment="1">
      <alignment horizontal="center" vertical="center"/>
    </xf>
    <xf numFmtId="164" fontId="2" fillId="0" borderId="119" xfId="0" applyNumberFormat="1" applyFont="1" applyFill="1" applyBorder="1" applyAlignment="1">
      <alignment horizontal="center" vertical="center"/>
    </xf>
    <xf numFmtId="1" fontId="47" fillId="12" borderId="40" xfId="0" applyNumberFormat="1" applyFont="1" applyFill="1" applyBorder="1" applyAlignment="1">
      <alignment horizontal="center" vertical="center"/>
    </xf>
    <xf numFmtId="1" fontId="2" fillId="0" borderId="120" xfId="0" applyNumberFormat="1" applyFont="1" applyFill="1" applyBorder="1" applyAlignment="1">
      <alignment horizontal="center" vertical="center"/>
    </xf>
    <xf numFmtId="0" fontId="2" fillId="0" borderId="121" xfId="0" quotePrefix="1" applyFont="1" applyFill="1" applyBorder="1" applyAlignment="1">
      <alignment horizontal="center" vertical="center"/>
    </xf>
    <xf numFmtId="1" fontId="2" fillId="10" borderId="122" xfId="0" applyNumberFormat="1" applyFont="1" applyFill="1" applyBorder="1" applyAlignment="1">
      <alignment horizontal="center" vertical="center"/>
    </xf>
    <xf numFmtId="164" fontId="2" fillId="10" borderId="118"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3" fontId="7" fillId="0" borderId="0" xfId="0" applyNumberFormat="1" applyFont="1" applyBorder="1" applyAlignment="1">
      <alignment horizontal="center" vertical="center"/>
    </xf>
    <xf numFmtId="0" fontId="6" fillId="4" borderId="25" xfId="0" applyFont="1" applyFill="1" applyBorder="1" applyAlignment="1">
      <alignment horizontal="right" vertical="center"/>
    </xf>
    <xf numFmtId="3" fontId="7" fillId="0" borderId="9" xfId="0" applyNumberFormat="1" applyFont="1" applyFill="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18" borderId="118" xfId="0" quotePrefix="1" applyNumberFormat="1" applyFont="1" applyFill="1" applyBorder="1" applyAlignment="1">
      <alignment horizontal="center" vertical="center"/>
    </xf>
    <xf numFmtId="1" fontId="2" fillId="0" borderId="111"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9" xfId="0" applyNumberFormat="1" applyFont="1" applyFill="1" applyBorder="1" applyAlignment="1">
      <alignment horizontal="center" vertical="center"/>
    </xf>
    <xf numFmtId="49" fontId="7" fillId="19" borderId="23" xfId="0" applyNumberFormat="1" applyFont="1" applyFill="1" applyBorder="1" applyAlignment="1">
      <alignment horizontal="center" vertical="center"/>
    </xf>
    <xf numFmtId="0" fontId="2" fillId="0" borderId="0" xfId="5" applyFont="1" applyAlignment="1">
      <alignment horizontal="right"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 name="Percent 2 2" xfId="10"/>
  </cellStyles>
  <dxfs count="2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FF"/>
      <color rgb="FF9966FF"/>
      <color rgb="FF00FF00"/>
      <color rgb="FFCCFFCC"/>
      <color rgb="FF009900"/>
      <color rgb="FFCCFF99"/>
      <color rgb="FF0000FF"/>
      <color rgb="FFFF00FF"/>
      <color rgb="FFFF6600"/>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15240</xdr:rowOff>
    </xdr:from>
    <xdr:to>
      <xdr:col>6</xdr:col>
      <xdr:colOff>1310640</xdr:colOff>
      <xdr:row>16</xdr:row>
      <xdr:rowOff>72390</xdr:rowOff>
    </xdr:to>
    <xdr:sp macro="" textlink="">
      <xdr:nvSpPr>
        <xdr:cNvPr id="3" name="Text Box 60"/>
        <xdr:cNvSpPr txBox="1">
          <a:spLocks noChangeArrowheads="1"/>
        </xdr:cNvSpPr>
      </xdr:nvSpPr>
      <xdr:spPr bwMode="auto">
        <a:xfrm>
          <a:off x="0" y="2781300"/>
          <a:ext cx="6751320" cy="8572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0" i="1" u="none" strike="noStrike" baseline="0">
              <a:solidFill>
                <a:sysClr val="windowText" lastClr="000000"/>
              </a:solidFill>
              <a:latin typeface="Times New Roman"/>
              <a:cs typeface="Times New Roman"/>
            </a:rPr>
            <a:t>cat’s grace </a:t>
          </a:r>
          <a:r>
            <a:rPr lang="en-US" sz="1200" b="0" i="0" u="none" strike="noStrike" baseline="0">
              <a:solidFill>
                <a:sysClr val="windowText" lastClr="000000"/>
              </a:solidFill>
              <a:latin typeface="Times New Roman"/>
              <a:cs typeface="Times New Roman"/>
            </a:rPr>
            <a:t>spell effects last for 24 hours</a:t>
          </a:r>
        </a:p>
      </xdr:txBody>
    </xdr:sp>
    <xdr:clientData/>
  </xdr:twoCellAnchor>
  <xdr:twoCellAnchor editAs="oneCell">
    <xdr:from>
      <xdr:col>5</xdr:col>
      <xdr:colOff>38100</xdr:colOff>
      <xdr:row>1</xdr:row>
      <xdr:rowOff>133350</xdr:rowOff>
    </xdr:from>
    <xdr:to>
      <xdr:col>6</xdr:col>
      <xdr:colOff>1297940</xdr:colOff>
      <xdr:row>11</xdr:row>
      <xdr:rowOff>45720</xdr:rowOff>
    </xdr:to>
    <xdr:pic>
      <xdr:nvPicPr>
        <xdr:cNvPr id="4" name="Picture 3" descr="C:\A\Jue\DoW\Images\NPC\Primes\Humans\Rogues &amp; Commoners\yamethan.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2900" y="506730"/>
          <a:ext cx="2585720" cy="2084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588645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Planescape%20Nexu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election activeCell="E9" sqref="E9"/>
    </sheetView>
  </sheetViews>
  <sheetFormatPr defaultColWidth="13" defaultRowHeight="15.6"/>
  <cols>
    <col min="1" max="1" width="14.3984375" style="45" bestFit="1" customWidth="1"/>
    <col min="2" max="2" width="10.59765625" style="46" customWidth="1"/>
    <col min="3" max="3" width="5.19921875" style="46" customWidth="1"/>
    <col min="4" max="4" width="14" style="45" bestFit="1" customWidth="1"/>
    <col min="5" max="5" width="9.796875" style="46" bestFit="1" customWidth="1"/>
    <col min="6" max="6" width="17.3984375" style="45" customWidth="1"/>
    <col min="7" max="7" width="17.3984375" style="46" customWidth="1"/>
    <col min="8" max="16384" width="13" style="17"/>
  </cols>
  <sheetData>
    <row r="1" spans="1:7" ht="29.4" thickTop="1" thickBot="1">
      <c r="A1" s="226" t="s">
        <v>143</v>
      </c>
      <c r="B1" s="227"/>
      <c r="C1" s="228"/>
      <c r="D1" s="229"/>
      <c r="E1" s="230"/>
      <c r="F1" s="229"/>
      <c r="G1" s="231" t="s">
        <v>103</v>
      </c>
    </row>
    <row r="2" spans="1:7" ht="17.399999999999999" thickTop="1">
      <c r="A2" s="18" t="s">
        <v>0</v>
      </c>
      <c r="B2" s="19" t="s">
        <v>104</v>
      </c>
      <c r="C2" s="19"/>
      <c r="D2" s="20" t="s">
        <v>1</v>
      </c>
      <c r="E2" s="21" t="s">
        <v>98</v>
      </c>
      <c r="F2" s="22"/>
      <c r="G2" s="23"/>
    </row>
    <row r="3" spans="1:7" ht="16.8">
      <c r="A3" s="18" t="s">
        <v>63</v>
      </c>
      <c r="B3" s="19" t="s">
        <v>116</v>
      </c>
      <c r="C3" s="19"/>
      <c r="D3" s="20" t="s">
        <v>64</v>
      </c>
      <c r="E3" s="21">
        <v>11</v>
      </c>
      <c r="F3" s="20"/>
      <c r="G3" s="23"/>
    </row>
    <row r="4" spans="1:7" ht="17.399999999999999" thickBot="1">
      <c r="A4" s="18" t="s">
        <v>65</v>
      </c>
      <c r="B4" s="19" t="s">
        <v>105</v>
      </c>
      <c r="C4" s="19"/>
      <c r="D4" s="20"/>
      <c r="E4" s="421"/>
      <c r="F4" s="20"/>
      <c r="G4" s="23"/>
    </row>
    <row r="5" spans="1:7" ht="17.399999999999999" thickTop="1">
      <c r="A5" s="24" t="s">
        <v>88</v>
      </c>
      <c r="B5" s="391">
        <f>8</f>
        <v>8</v>
      </c>
      <c r="C5" s="392"/>
      <c r="D5" s="25" t="s">
        <v>231</v>
      </c>
      <c r="E5" s="26" t="s">
        <v>228</v>
      </c>
      <c r="F5" s="27"/>
      <c r="G5" s="23"/>
    </row>
    <row r="6" spans="1:7" ht="17.399999999999999" thickBot="1">
      <c r="A6" s="28" t="s">
        <v>111</v>
      </c>
      <c r="B6" s="387">
        <f>C8+2</f>
        <v>7</v>
      </c>
      <c r="C6" s="388"/>
      <c r="D6" s="422" t="s">
        <v>227</v>
      </c>
      <c r="E6" s="423">
        <v>66000</v>
      </c>
      <c r="F6" s="27"/>
      <c r="G6" s="23"/>
    </row>
    <row r="7" spans="1:7" ht="17.399999999999999" thickTop="1">
      <c r="A7" s="29" t="s">
        <v>2</v>
      </c>
      <c r="B7" s="325">
        <v>12</v>
      </c>
      <c r="C7" s="30" t="str">
        <f t="shared" ref="C7:C12" si="0">IF(B7&gt;9.9,CONCATENATE("+",ROUNDDOWN((B7-10)/2,0)),ROUNDUP((B7-10)/2,0))</f>
        <v>+1</v>
      </c>
      <c r="D7" s="31" t="s">
        <v>73</v>
      </c>
      <c r="E7" s="223" t="s">
        <v>112</v>
      </c>
      <c r="F7" s="27"/>
      <c r="G7" s="23"/>
    </row>
    <row r="8" spans="1:7" ht="16.8">
      <c r="A8" s="32" t="s">
        <v>3</v>
      </c>
      <c r="B8" s="393">
        <f>18+2</f>
        <v>20</v>
      </c>
      <c r="C8" s="38" t="str">
        <f t="shared" si="0"/>
        <v>+5</v>
      </c>
      <c r="D8" s="34" t="s">
        <v>74</v>
      </c>
      <c r="E8" s="35">
        <f>SUM(Martial!G6:G29)+SUM(Equipment!C3:C15)+Equipment!C27</f>
        <v>37</v>
      </c>
      <c r="F8" s="27"/>
      <c r="G8" s="23"/>
    </row>
    <row r="9" spans="1:7" ht="16.8">
      <c r="A9" s="36" t="s">
        <v>12</v>
      </c>
      <c r="B9" s="37">
        <f>10</f>
        <v>10</v>
      </c>
      <c r="C9" s="38" t="str">
        <f t="shared" si="0"/>
        <v>+0</v>
      </c>
      <c r="D9" s="34" t="s">
        <v>14</v>
      </c>
      <c r="E9" s="326">
        <f>ROUNDUP(((E3*8)*0.75)+(E3*C9),0)</f>
        <v>66</v>
      </c>
      <c r="F9" s="27"/>
      <c r="G9" s="23"/>
    </row>
    <row r="10" spans="1:7" ht="16.8">
      <c r="A10" s="39" t="s">
        <v>13</v>
      </c>
      <c r="B10" s="37">
        <v>10</v>
      </c>
      <c r="C10" s="33" t="str">
        <f t="shared" si="0"/>
        <v>+0</v>
      </c>
      <c r="D10" s="40" t="s">
        <v>90</v>
      </c>
      <c r="E10" s="41">
        <f>10+C8</f>
        <v>15</v>
      </c>
      <c r="F10" s="18"/>
      <c r="G10" s="23"/>
    </row>
    <row r="11" spans="1:7" ht="16.8">
      <c r="A11" s="42" t="s">
        <v>15</v>
      </c>
      <c r="B11" s="37">
        <v>15</v>
      </c>
      <c r="C11" s="33" t="str">
        <f t="shared" si="0"/>
        <v>+2</v>
      </c>
      <c r="D11" s="40" t="s">
        <v>97</v>
      </c>
      <c r="E11" s="430">
        <f>E12-C8</f>
        <v>20</v>
      </c>
      <c r="F11" s="27"/>
      <c r="G11" s="23"/>
    </row>
    <row r="12" spans="1:7" ht="17.399999999999999" thickBot="1">
      <c r="A12" s="43" t="s">
        <v>11</v>
      </c>
      <c r="B12" s="319">
        <v>8</v>
      </c>
      <c r="C12" s="320">
        <f t="shared" si="0"/>
        <v>-1</v>
      </c>
      <c r="D12" s="44" t="s">
        <v>229</v>
      </c>
      <c r="E12" s="429">
        <f>E10+SUM(Martial!B23:B26)</f>
        <v>25</v>
      </c>
      <c r="F12" s="428"/>
      <c r="G12" s="321"/>
    </row>
    <row r="13" spans="1:7" ht="16.2" thickTop="1"/>
  </sheetData>
  <phoneticPr fontId="0" type="noConversion"/>
  <conditionalFormatting sqref="E8">
    <cfRule type="cellIs" dxfId="26" priority="4" stopIfTrue="1" operator="greaterThan">
      <formula>116</formula>
    </cfRule>
    <cfRule type="cellIs" dxfId="25"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showGridLines="0" zoomScaleNormal="100" workbookViewId="0">
      <pane ySplit="2" topLeftCell="A3" activePane="bottomLeft" state="frozen"/>
      <selection pane="bottomLeft" activeCell="A3" sqref="A3"/>
    </sheetView>
  </sheetViews>
  <sheetFormatPr defaultColWidth="13" defaultRowHeight="15.6"/>
  <cols>
    <col min="1" max="1" width="27.8984375" style="45" bestFit="1" customWidth="1"/>
    <col min="2" max="2" width="5.8984375" style="45" bestFit="1" customWidth="1"/>
    <col min="3" max="3" width="7.59765625" style="46" hidden="1" customWidth="1"/>
    <col min="4" max="4" width="5.8984375" style="46" hidden="1" customWidth="1"/>
    <col min="5" max="5" width="9.19921875" style="46" bestFit="1" customWidth="1"/>
    <col min="6" max="6" width="6.69921875" style="46" bestFit="1" customWidth="1"/>
    <col min="7" max="7" width="6" style="126" bestFit="1" customWidth="1"/>
    <col min="8" max="8" width="5.19921875" style="126" bestFit="1" customWidth="1"/>
    <col min="9" max="9" width="6.8984375" style="126" bestFit="1" customWidth="1"/>
    <col min="10" max="10" width="20.69921875" style="45" bestFit="1" customWidth="1"/>
    <col min="11" max="11" width="13" style="210"/>
    <col min="12" max="16384" width="13" style="17"/>
  </cols>
  <sheetData>
    <row r="1" spans="1:11" ht="23.4" thickBot="1">
      <c r="A1" s="47" t="s">
        <v>10</v>
      </c>
      <c r="B1" s="48"/>
      <c r="C1" s="48"/>
      <c r="D1" s="48"/>
      <c r="E1" s="48"/>
      <c r="F1" s="48"/>
      <c r="G1" s="49"/>
      <c r="H1" s="49"/>
      <c r="I1" s="49"/>
      <c r="J1" s="48"/>
    </row>
    <row r="2" spans="1:11" s="8" customFormat="1" ht="34.200000000000003" thickBot="1">
      <c r="A2" s="1" t="s">
        <v>96</v>
      </c>
      <c r="B2" s="2" t="s">
        <v>29</v>
      </c>
      <c r="C2" s="2" t="s">
        <v>36</v>
      </c>
      <c r="D2" s="2" t="s">
        <v>28</v>
      </c>
      <c r="E2" s="3" t="s">
        <v>61</v>
      </c>
      <c r="F2" s="3" t="s">
        <v>37</v>
      </c>
      <c r="G2" s="4" t="s">
        <v>66</v>
      </c>
      <c r="H2" s="5" t="s">
        <v>95</v>
      </c>
      <c r="I2" s="6" t="s">
        <v>81</v>
      </c>
      <c r="J2" s="7" t="s">
        <v>79</v>
      </c>
      <c r="K2" s="210"/>
    </row>
    <row r="3" spans="1:11" s="8" customFormat="1" ht="15.75" customHeight="1">
      <c r="A3" s="50" t="s">
        <v>68</v>
      </c>
      <c r="B3" s="51">
        <v>3</v>
      </c>
      <c r="C3" s="52" t="s">
        <v>31</v>
      </c>
      <c r="D3" s="52" t="str">
        <f>IF(C3="Str",'Personal File'!$C$7,IF(C3="Dex",'Personal File'!$C$8,IF(C3="Con",'Personal File'!$C$9,IF(C3="Int",'Personal File'!$C$10,IF(C3="Wis",'Personal File'!$C$11,IF(C3="Cha",'Personal File'!$C$12))))))</f>
        <v>+0</v>
      </c>
      <c r="E3" s="348" t="str">
        <f t="shared" ref="E3:E5" si="0">CONCATENATE(C3," (",D3,")")</f>
        <v>Con (+0)</v>
      </c>
      <c r="F3" s="352">
        <f>1+2</f>
        <v>3</v>
      </c>
      <c r="G3" s="53">
        <f t="shared" ref="G3:G42" si="1">B3+D3+F3</f>
        <v>6</v>
      </c>
      <c r="H3" s="54">
        <f t="shared" ref="H3:H5" ca="1" si="2">RANDBETWEEN(1,20)</f>
        <v>3</v>
      </c>
      <c r="I3" s="53">
        <f t="shared" ref="I3:I42" ca="1" si="3">SUM(G3:H3)</f>
        <v>9</v>
      </c>
      <c r="J3" s="55"/>
      <c r="K3" s="210"/>
    </row>
    <row r="4" spans="1:11" s="8" customFormat="1" ht="15.75" customHeight="1">
      <c r="A4" s="56" t="s">
        <v>69</v>
      </c>
      <c r="B4" s="51">
        <v>7</v>
      </c>
      <c r="C4" s="52" t="s">
        <v>34</v>
      </c>
      <c r="D4" s="52" t="str">
        <f>IF(C4="Str",'Personal File'!$C$7,IF(C4="Dex",'Personal File'!$C$8,IF(C4="Con",'Personal File'!$C$9,IF(C4="Int",'Personal File'!$C$10,IF(C4="Wis",'Personal File'!$C$11,IF(C4="Cha",'Personal File'!$C$12))))))</f>
        <v>+5</v>
      </c>
      <c r="E4" s="349" t="str">
        <f t="shared" si="0"/>
        <v>Dex (+5)</v>
      </c>
      <c r="F4" s="352">
        <v>1</v>
      </c>
      <c r="G4" s="53">
        <f t="shared" si="1"/>
        <v>13</v>
      </c>
      <c r="H4" s="54">
        <f t="shared" ca="1" si="2"/>
        <v>18</v>
      </c>
      <c r="I4" s="53">
        <f t="shared" ca="1" si="3"/>
        <v>31</v>
      </c>
      <c r="J4" s="55"/>
      <c r="K4" s="281"/>
    </row>
    <row r="5" spans="1:11" s="8" customFormat="1" ht="15.75" customHeight="1">
      <c r="A5" s="57" t="s">
        <v>70</v>
      </c>
      <c r="B5" s="58">
        <v>3</v>
      </c>
      <c r="C5" s="59" t="s">
        <v>33</v>
      </c>
      <c r="D5" s="59" t="str">
        <f>IF(C5="Str",'Personal File'!$C$7,IF(C5="Dex",'Personal File'!$C$8,IF(C5="Con",'Personal File'!$C$9,IF(C5="Int",'Personal File'!$C$10,IF(C5="Wis",'Personal File'!$C$11,IF(C5="Cha",'Personal File'!$C$12))))))</f>
        <v>+2</v>
      </c>
      <c r="E5" s="350" t="str">
        <f t="shared" si="0"/>
        <v>Wis (+2)</v>
      </c>
      <c r="F5" s="353">
        <v>1</v>
      </c>
      <c r="G5" s="60">
        <f t="shared" si="1"/>
        <v>6</v>
      </c>
      <c r="H5" s="61">
        <f t="shared" ca="1" si="2"/>
        <v>10</v>
      </c>
      <c r="I5" s="60">
        <f t="shared" ca="1" si="3"/>
        <v>16</v>
      </c>
      <c r="J5" s="62"/>
      <c r="K5" s="210"/>
    </row>
    <row r="6" spans="1:11" s="70" customFormat="1" ht="16.8">
      <c r="A6" s="63" t="s">
        <v>38</v>
      </c>
      <c r="B6" s="64">
        <v>0</v>
      </c>
      <c r="C6" s="65" t="s">
        <v>32</v>
      </c>
      <c r="D6" s="66" t="str">
        <f>IF(C6="Str",'Personal File'!$C$7,IF(C6="Dex",'Personal File'!$C$8,IF(C6="Con",'Personal File'!$C$9,IF(C6="Int",'Personal File'!$C$10,IF(C6="Wis",'Personal File'!$C$11,IF(C6="Cha",'Personal File'!$C$12))))))</f>
        <v>+0</v>
      </c>
      <c r="E6" s="66" t="str">
        <f t="shared" ref="E6:E42" si="4">CONCATENATE(C6," (",D6,")")</f>
        <v>Int (+0)</v>
      </c>
      <c r="F6" s="67" t="s">
        <v>62</v>
      </c>
      <c r="G6" s="68">
        <f t="shared" si="1"/>
        <v>0</v>
      </c>
      <c r="H6" s="54">
        <f ca="1">RANDBETWEEN(1,20)</f>
        <v>12</v>
      </c>
      <c r="I6" s="68">
        <f t="shared" ca="1" si="3"/>
        <v>12</v>
      </c>
      <c r="J6" s="90"/>
    </row>
    <row r="7" spans="1:11" s="77" customFormat="1" ht="16.8">
      <c r="A7" s="71" t="s">
        <v>39</v>
      </c>
      <c r="B7" s="72">
        <v>7</v>
      </c>
      <c r="C7" s="73" t="s">
        <v>34</v>
      </c>
      <c r="D7" s="74" t="str">
        <f>IF(C7="Str",'Personal File'!$C$7,IF(C7="Dex",'Personal File'!$C$8,IF(C7="Con",'Personal File'!$C$9,IF(C7="Int",'Personal File'!$C$10,IF(C7="Wis",'Personal File'!$C$11,IF(C7="Cha",'Personal File'!$C$12))))))</f>
        <v>+5</v>
      </c>
      <c r="E7" s="74" t="str">
        <f t="shared" si="4"/>
        <v>Dex (+5)</v>
      </c>
      <c r="F7" s="75" t="s">
        <v>180</v>
      </c>
      <c r="G7" s="75">
        <f t="shared" si="1"/>
        <v>14</v>
      </c>
      <c r="H7" s="54">
        <f ca="1">RANDBETWEEN(1,20)</f>
        <v>17</v>
      </c>
      <c r="I7" s="75">
        <f t="shared" ca="1" si="3"/>
        <v>31</v>
      </c>
      <c r="J7" s="238"/>
    </row>
    <row r="8" spans="1:11" s="81" customFormat="1" ht="16.8">
      <c r="A8" s="78" t="s">
        <v>40</v>
      </c>
      <c r="B8" s="64">
        <v>0</v>
      </c>
      <c r="C8" s="79" t="s">
        <v>30</v>
      </c>
      <c r="D8" s="80">
        <f>IF(C8="Str",'Personal File'!$C$7,IF(C8="Dex",'Personal File'!$C$8,IF(C8="Con",'Personal File'!$C$9,IF(C8="Int",'Personal File'!$C$10,IF(C8="Wis",'Personal File'!$C$11,IF(C8="Cha",'Personal File'!$C$12))))))</f>
        <v>-1</v>
      </c>
      <c r="E8" s="80" t="str">
        <f t="shared" si="4"/>
        <v>Cha (-1)</v>
      </c>
      <c r="F8" s="68" t="s">
        <v>62</v>
      </c>
      <c r="G8" s="68">
        <f t="shared" si="1"/>
        <v>-1</v>
      </c>
      <c r="H8" s="54">
        <f t="shared" ref="H8:H42" ca="1" si="5">RANDBETWEEN(1,20)</f>
        <v>17</v>
      </c>
      <c r="I8" s="68">
        <f t="shared" ca="1" si="3"/>
        <v>16</v>
      </c>
      <c r="J8" s="90"/>
    </row>
    <row r="9" spans="1:11" s="82" customFormat="1" ht="16.8">
      <c r="A9" s="251" t="s">
        <v>41</v>
      </c>
      <c r="B9" s="72">
        <v>4</v>
      </c>
      <c r="C9" s="252" t="s">
        <v>35</v>
      </c>
      <c r="D9" s="253" t="str">
        <f>IF(C9="Str",'Personal File'!$C$7,IF(C9="Dex",'Personal File'!$C$8,IF(C9="Con",'Personal File'!$C$9,IF(C9="Int",'Personal File'!$C$10,IF(C9="Wis",'Personal File'!$C$11,IF(C9="Cha",'Personal File'!$C$12))))))</f>
        <v>+1</v>
      </c>
      <c r="E9" s="253" t="str">
        <f t="shared" si="4"/>
        <v>Str (+1)</v>
      </c>
      <c r="F9" s="75" t="s">
        <v>62</v>
      </c>
      <c r="G9" s="75">
        <f t="shared" si="1"/>
        <v>5</v>
      </c>
      <c r="H9" s="54">
        <f t="shared" ca="1" si="5"/>
        <v>13</v>
      </c>
      <c r="I9" s="75">
        <f t="shared" ca="1" si="3"/>
        <v>18</v>
      </c>
      <c r="J9" s="238"/>
    </row>
    <row r="10" spans="1:11" s="82" customFormat="1" ht="16.8">
      <c r="A10" s="232" t="s">
        <v>16</v>
      </c>
      <c r="B10" s="64">
        <v>0</v>
      </c>
      <c r="C10" s="233" t="s">
        <v>31</v>
      </c>
      <c r="D10" s="234" t="str">
        <f>IF(C10="Str",'Personal File'!$C$7,IF(C10="Dex",'Personal File'!$C$8,IF(C10="Con",'Personal File'!$C$9,IF(C10="Int",'Personal File'!$C$10,IF(C10="Wis",'Personal File'!$C$11,IF(C10="Cha",'Personal File'!$C$12))))))</f>
        <v>+0</v>
      </c>
      <c r="E10" s="234" t="str">
        <f t="shared" si="4"/>
        <v>Con (+0)</v>
      </c>
      <c r="F10" s="68" t="s">
        <v>62</v>
      </c>
      <c r="G10" s="68">
        <f t="shared" si="1"/>
        <v>0</v>
      </c>
      <c r="H10" s="54">
        <f t="shared" ca="1" si="5"/>
        <v>19</v>
      </c>
      <c r="I10" s="68">
        <f t="shared" ca="1" si="3"/>
        <v>19</v>
      </c>
      <c r="J10" s="90"/>
    </row>
    <row r="11" spans="1:11" s="70" customFormat="1" ht="16.8">
      <c r="A11" s="63" t="s">
        <v>87</v>
      </c>
      <c r="B11" s="64">
        <v>0</v>
      </c>
      <c r="C11" s="65" t="s">
        <v>32</v>
      </c>
      <c r="D11" s="66" t="str">
        <f>IF(C11="Str",'Personal File'!$C$7,IF(C11="Dex",'Personal File'!$C$8,IF(C11="Con",'Personal File'!$C$9,IF(C11="Int",'Personal File'!$C$10,IF(C11="Wis",'Personal File'!$C$11,IF(C11="Cha",'Personal File'!$C$12))))))</f>
        <v>+0</v>
      </c>
      <c r="E11" s="66" t="str">
        <f t="shared" si="4"/>
        <v>Int (+0)</v>
      </c>
      <c r="F11" s="68" t="s">
        <v>62</v>
      </c>
      <c r="G11" s="68">
        <f t="shared" si="1"/>
        <v>0</v>
      </c>
      <c r="H11" s="54">
        <f t="shared" ca="1" si="5"/>
        <v>6</v>
      </c>
      <c r="I11" s="68">
        <f t="shared" ca="1" si="3"/>
        <v>6</v>
      </c>
      <c r="J11" s="90"/>
    </row>
    <row r="12" spans="1:11" s="89" customFormat="1" ht="16.8">
      <c r="A12" s="83" t="s">
        <v>42</v>
      </c>
      <c r="B12" s="84">
        <v>0</v>
      </c>
      <c r="C12" s="85" t="s">
        <v>32</v>
      </c>
      <c r="D12" s="86" t="str">
        <f>IF(C12="Str",'Personal File'!$C$7,IF(C12="Dex",'Personal File'!$C$8,IF(C12="Con",'Personal File'!$C$9,IF(C12="Int",'Personal File'!$C$10,IF(C12="Wis",'Personal File'!$C$11,IF(C12="Cha",'Personal File'!$C$12))))))</f>
        <v>+0</v>
      </c>
      <c r="E12" s="86" t="str">
        <f t="shared" si="4"/>
        <v>Int (+0)</v>
      </c>
      <c r="F12" s="87" t="s">
        <v>62</v>
      </c>
      <c r="G12" s="87">
        <f t="shared" si="1"/>
        <v>0</v>
      </c>
      <c r="H12" s="54">
        <f t="shared" ca="1" si="5"/>
        <v>16</v>
      </c>
      <c r="I12" s="87">
        <f t="shared" ca="1" si="3"/>
        <v>16</v>
      </c>
      <c r="J12" s="280"/>
    </row>
    <row r="13" spans="1:11" s="77" customFormat="1" ht="16.8">
      <c r="A13" s="78" t="s">
        <v>43</v>
      </c>
      <c r="B13" s="64">
        <v>0</v>
      </c>
      <c r="C13" s="79" t="s">
        <v>30</v>
      </c>
      <c r="D13" s="80">
        <f>IF(C13="Str",'Personal File'!$C$7,IF(C13="Dex",'Personal File'!$C$8,IF(C13="Con",'Personal File'!$C$9,IF(C13="Int",'Personal File'!$C$10,IF(C13="Wis",'Personal File'!$C$11,IF(C13="Cha",'Personal File'!$C$12))))))</f>
        <v>-1</v>
      </c>
      <c r="E13" s="80" t="str">
        <f t="shared" si="4"/>
        <v>Cha (-1)</v>
      </c>
      <c r="F13" s="68" t="s">
        <v>62</v>
      </c>
      <c r="G13" s="68">
        <f t="shared" si="1"/>
        <v>-1</v>
      </c>
      <c r="H13" s="54">
        <f t="shared" ca="1" si="5"/>
        <v>9</v>
      </c>
      <c r="I13" s="68">
        <f t="shared" ca="1" si="3"/>
        <v>8</v>
      </c>
      <c r="J13" s="90"/>
    </row>
    <row r="14" spans="1:11" s="77" customFormat="1" ht="16.8">
      <c r="A14" s="63" t="s">
        <v>44</v>
      </c>
      <c r="B14" s="64">
        <v>0</v>
      </c>
      <c r="C14" s="65" t="s">
        <v>32</v>
      </c>
      <c r="D14" s="66" t="str">
        <f>IF(C14="Str",'Personal File'!$C$7,IF(C14="Dex",'Personal File'!$C$8,IF(C14="Con",'Personal File'!$C$9,IF(C14="Int",'Personal File'!$C$10,IF(C14="Wis",'Personal File'!$C$11,IF(C14="Cha",'Personal File'!$C$12))))))</f>
        <v>+0</v>
      </c>
      <c r="E14" s="66" t="str">
        <f t="shared" si="4"/>
        <v>Int (+0)</v>
      </c>
      <c r="F14" s="68" t="s">
        <v>62</v>
      </c>
      <c r="G14" s="68">
        <f t="shared" si="1"/>
        <v>0</v>
      </c>
      <c r="H14" s="54">
        <f t="shared" ca="1" si="5"/>
        <v>5</v>
      </c>
      <c r="I14" s="68">
        <f t="shared" ca="1" si="3"/>
        <v>5</v>
      </c>
      <c r="J14" s="90"/>
    </row>
    <row r="15" spans="1:11" s="77" customFormat="1" ht="16.8">
      <c r="A15" s="78" t="s">
        <v>45</v>
      </c>
      <c r="B15" s="64">
        <v>0</v>
      </c>
      <c r="C15" s="79" t="s">
        <v>30</v>
      </c>
      <c r="D15" s="80">
        <f>IF(C15="Str",'Personal File'!$C$7,IF(C15="Dex",'Personal File'!$C$8,IF(C15="Con",'Personal File'!$C$9,IF(C15="Int",'Personal File'!$C$10,IF(C15="Wis",'Personal File'!$C$11,IF(C15="Cha",'Personal File'!$C$12))))))</f>
        <v>-1</v>
      </c>
      <c r="E15" s="80" t="str">
        <f t="shared" si="4"/>
        <v>Cha (-1)</v>
      </c>
      <c r="F15" s="68" t="s">
        <v>62</v>
      </c>
      <c r="G15" s="68">
        <f t="shared" si="1"/>
        <v>-1</v>
      </c>
      <c r="H15" s="54">
        <f t="shared" ca="1" si="5"/>
        <v>7</v>
      </c>
      <c r="I15" s="68">
        <f t="shared" ca="1" si="3"/>
        <v>6</v>
      </c>
      <c r="J15" s="90"/>
    </row>
    <row r="16" spans="1:11" s="77" customFormat="1" ht="16.8">
      <c r="A16" s="71" t="s">
        <v>46</v>
      </c>
      <c r="B16" s="72">
        <v>12</v>
      </c>
      <c r="C16" s="73" t="s">
        <v>34</v>
      </c>
      <c r="D16" s="74" t="str">
        <f>IF(C16="Str",'Personal File'!$C$7,IF(C16="Dex",'Personal File'!$C$8,IF(C16="Con",'Personal File'!$C$9,IF(C16="Int",'Personal File'!$C$10,IF(C16="Wis",'Personal File'!$C$11,IF(C16="Cha",'Personal File'!$C$12))))))</f>
        <v>+5</v>
      </c>
      <c r="E16" s="74" t="str">
        <f t="shared" si="4"/>
        <v>Dex (+5)</v>
      </c>
      <c r="F16" s="75" t="s">
        <v>62</v>
      </c>
      <c r="G16" s="75">
        <f t="shared" si="1"/>
        <v>17</v>
      </c>
      <c r="H16" s="54">
        <f t="shared" ca="1" si="5"/>
        <v>8</v>
      </c>
      <c r="I16" s="75">
        <f t="shared" ca="1" si="3"/>
        <v>25</v>
      </c>
      <c r="J16" s="238"/>
    </row>
    <row r="17" spans="1:10" s="77" customFormat="1" ht="16.8">
      <c r="A17" s="94" t="s">
        <v>47</v>
      </c>
      <c r="B17" s="95">
        <v>0</v>
      </c>
      <c r="C17" s="96" t="s">
        <v>32</v>
      </c>
      <c r="D17" s="97" t="str">
        <f>IF(C17="Str",'Personal File'!$C$7,IF(C17="Dex",'Personal File'!$C$8,IF(C17="Con",'Personal File'!$C$9,IF(C17="Int",'Personal File'!$C$10,IF(C17="Wis",'Personal File'!$C$11,IF(C17="Cha",'Personal File'!$C$12))))))</f>
        <v>+0</v>
      </c>
      <c r="E17" s="97" t="str">
        <f t="shared" si="4"/>
        <v>Int (+0)</v>
      </c>
      <c r="F17" s="98" t="s">
        <v>62</v>
      </c>
      <c r="G17" s="98">
        <f t="shared" si="1"/>
        <v>0</v>
      </c>
      <c r="H17" s="54">
        <f t="shared" ca="1" si="5"/>
        <v>6</v>
      </c>
      <c r="I17" s="98">
        <f t="shared" ca="1" si="3"/>
        <v>6</v>
      </c>
      <c r="J17" s="390"/>
    </row>
    <row r="18" spans="1:10" s="77" customFormat="1" ht="16.8">
      <c r="A18" s="78" t="s">
        <v>48</v>
      </c>
      <c r="B18" s="64">
        <v>0</v>
      </c>
      <c r="C18" s="79" t="s">
        <v>30</v>
      </c>
      <c r="D18" s="80">
        <f>IF(C18="Str",'Personal File'!$C$7,IF(C18="Dex",'Personal File'!$C$8,IF(C18="Con",'Personal File'!$C$9,IF(C18="Int",'Personal File'!$C$10,IF(C18="Wis",'Personal File'!$C$11,IF(C18="Cha",'Personal File'!$C$12))))))</f>
        <v>-1</v>
      </c>
      <c r="E18" s="80" t="str">
        <f t="shared" si="4"/>
        <v>Cha (-1)</v>
      </c>
      <c r="F18" s="68" t="s">
        <v>62</v>
      </c>
      <c r="G18" s="68">
        <f t="shared" si="1"/>
        <v>-1</v>
      </c>
      <c r="H18" s="54">
        <f t="shared" ca="1" si="5"/>
        <v>3</v>
      </c>
      <c r="I18" s="68">
        <f t="shared" ca="1" si="3"/>
        <v>2</v>
      </c>
      <c r="J18" s="90"/>
    </row>
    <row r="19" spans="1:10" s="77" customFormat="1" ht="16.8">
      <c r="A19" s="78" t="s">
        <v>18</v>
      </c>
      <c r="B19" s="64">
        <v>0</v>
      </c>
      <c r="C19" s="79" t="s">
        <v>30</v>
      </c>
      <c r="D19" s="80">
        <f>IF(C19="Str",'Personal File'!$C$7,IF(C19="Dex",'Personal File'!$C$8,IF(C19="Con",'Personal File'!$C$9,IF(C19="Int",'Personal File'!$C$10,IF(C19="Wis",'Personal File'!$C$11,IF(C19="Cha",'Personal File'!$C$12))))))</f>
        <v>-1</v>
      </c>
      <c r="E19" s="80" t="str">
        <f t="shared" si="4"/>
        <v>Cha (-1)</v>
      </c>
      <c r="F19" s="68" t="s">
        <v>62</v>
      </c>
      <c r="G19" s="68">
        <f t="shared" si="1"/>
        <v>-1</v>
      </c>
      <c r="H19" s="54">
        <f t="shared" ca="1" si="5"/>
        <v>15</v>
      </c>
      <c r="I19" s="68">
        <f t="shared" ca="1" si="3"/>
        <v>14</v>
      </c>
      <c r="J19" s="90"/>
    </row>
    <row r="20" spans="1:10" s="77" customFormat="1" ht="16.8">
      <c r="A20" s="100" t="s">
        <v>49</v>
      </c>
      <c r="B20" s="64">
        <v>0</v>
      </c>
      <c r="C20" s="101" t="s">
        <v>33</v>
      </c>
      <c r="D20" s="102" t="str">
        <f>IF(C20="Str",'Personal File'!$C$7,IF(C20="Dex",'Personal File'!$C$8,IF(C20="Con",'Personal File'!$C$9,IF(C20="Int",'Personal File'!$C$10,IF(C20="Wis",'Personal File'!$C$11,IF(C20="Cha",'Personal File'!$C$12))))))</f>
        <v>+2</v>
      </c>
      <c r="E20" s="102" t="str">
        <f t="shared" si="4"/>
        <v>Wis (+2)</v>
      </c>
      <c r="F20" s="68" t="s">
        <v>62</v>
      </c>
      <c r="G20" s="68">
        <f t="shared" si="1"/>
        <v>2</v>
      </c>
      <c r="H20" s="54">
        <f t="shared" ca="1" si="5"/>
        <v>18</v>
      </c>
      <c r="I20" s="68">
        <f t="shared" ca="1" si="3"/>
        <v>20</v>
      </c>
      <c r="J20" s="69"/>
    </row>
    <row r="21" spans="1:10" s="77" customFormat="1" ht="16.8">
      <c r="A21" s="71" t="s">
        <v>50</v>
      </c>
      <c r="B21" s="72">
        <v>11</v>
      </c>
      <c r="C21" s="73" t="s">
        <v>34</v>
      </c>
      <c r="D21" s="74" t="str">
        <f>IF(C21="Str",'Personal File'!$C$7,IF(C21="Dex",'Personal File'!$C$8,IF(C21="Con",'Personal File'!$C$9,IF(C21="Int",'Personal File'!$C$10,IF(C21="Wis",'Personal File'!$C$11,IF(C21="Cha",'Personal File'!$C$12))))))</f>
        <v>+5</v>
      </c>
      <c r="E21" s="74" t="str">
        <f t="shared" si="4"/>
        <v>Dex (+5)</v>
      </c>
      <c r="F21" s="75" t="s">
        <v>62</v>
      </c>
      <c r="G21" s="75">
        <f t="shared" si="1"/>
        <v>16</v>
      </c>
      <c r="H21" s="54">
        <f t="shared" ca="1" si="5"/>
        <v>17</v>
      </c>
      <c r="I21" s="75">
        <f t="shared" ca="1" si="3"/>
        <v>33</v>
      </c>
      <c r="J21" s="76"/>
    </row>
    <row r="22" spans="1:10" s="77" customFormat="1" ht="16.8">
      <c r="A22" s="103" t="s">
        <v>51</v>
      </c>
      <c r="B22" s="95">
        <v>0</v>
      </c>
      <c r="C22" s="104" t="s">
        <v>30</v>
      </c>
      <c r="D22" s="105">
        <f>IF(C22="Str",'Personal File'!$C$7,IF(C22="Dex",'Personal File'!$C$8,IF(C22="Con",'Personal File'!$C$9,IF(C22="Int",'Personal File'!$C$10,IF(C22="Wis",'Personal File'!$C$11,IF(C22="Cha",'Personal File'!$C$12))))))</f>
        <v>-1</v>
      </c>
      <c r="E22" s="351" t="str">
        <f t="shared" si="4"/>
        <v>Cha (-1)</v>
      </c>
      <c r="F22" s="98" t="s">
        <v>62</v>
      </c>
      <c r="G22" s="98">
        <f t="shared" si="1"/>
        <v>-1</v>
      </c>
      <c r="H22" s="54">
        <f t="shared" ca="1" si="5"/>
        <v>14</v>
      </c>
      <c r="I22" s="98">
        <f t="shared" ca="1" si="3"/>
        <v>13</v>
      </c>
      <c r="J22" s="99"/>
    </row>
    <row r="23" spans="1:10" s="77" customFormat="1" ht="16.8">
      <c r="A23" s="251" t="s">
        <v>52</v>
      </c>
      <c r="B23" s="72">
        <v>6</v>
      </c>
      <c r="C23" s="252" t="s">
        <v>35</v>
      </c>
      <c r="D23" s="253" t="str">
        <f>IF(C23="Str",'Personal File'!$C$7,IF(C23="Dex",'Personal File'!$C$8,IF(C23="Con",'Personal File'!$C$9,IF(C23="Int",'Personal File'!$C$10,IF(C23="Wis",'Personal File'!$C$11,IF(C23="Cha",'Personal File'!$C$12))))))</f>
        <v>+1</v>
      </c>
      <c r="E23" s="253" t="str">
        <f t="shared" si="4"/>
        <v>Str (+1)</v>
      </c>
      <c r="F23" s="254">
        <f>2</f>
        <v>2</v>
      </c>
      <c r="G23" s="75">
        <f t="shared" si="1"/>
        <v>9</v>
      </c>
      <c r="H23" s="54">
        <f t="shared" ca="1" si="5"/>
        <v>5</v>
      </c>
      <c r="I23" s="75">
        <f t="shared" ca="1" si="3"/>
        <v>14</v>
      </c>
      <c r="J23" s="76"/>
    </row>
    <row r="24" spans="1:10" s="77" customFormat="1" ht="16.8">
      <c r="A24" s="91" t="s">
        <v>154</v>
      </c>
      <c r="B24" s="72">
        <v>5</v>
      </c>
      <c r="C24" s="92" t="s">
        <v>32</v>
      </c>
      <c r="D24" s="93" t="str">
        <f>IF(C24="Str",'Personal File'!$C$7,IF(C24="Dex",'Personal File'!$C$8,IF(C24="Con",'Personal File'!$C$9,IF(C24="Int",'Personal File'!$C$10,IF(C24="Wis",'Personal File'!$C$11,IF(C24="Cha",'Personal File'!$C$12))))))</f>
        <v>+0</v>
      </c>
      <c r="E24" s="93" t="str">
        <f>CONCATENATE(C24," (",D24,")")</f>
        <v>Int (+0)</v>
      </c>
      <c r="F24" s="75" t="s">
        <v>62</v>
      </c>
      <c r="G24" s="75">
        <f t="shared" si="1"/>
        <v>5</v>
      </c>
      <c r="H24" s="54">
        <f t="shared" ca="1" si="5"/>
        <v>20</v>
      </c>
      <c r="I24" s="75">
        <f t="shared" ca="1" si="3"/>
        <v>25</v>
      </c>
      <c r="J24" s="76"/>
    </row>
    <row r="25" spans="1:10" s="77" customFormat="1" ht="16.8">
      <c r="A25" s="91" t="s">
        <v>173</v>
      </c>
      <c r="B25" s="72">
        <v>3</v>
      </c>
      <c r="C25" s="92" t="s">
        <v>32</v>
      </c>
      <c r="D25" s="93" t="str">
        <f>IF(C25="Str",'Personal File'!$C$7,IF(C25="Dex",'Personal File'!$C$8,IF(C25="Con",'Personal File'!$C$9,IF(C25="Int",'Personal File'!$C$10,IF(C25="Wis",'Personal File'!$C$11,IF(C25="Cha",'Personal File'!$C$12))))))</f>
        <v>+0</v>
      </c>
      <c r="E25" s="93" t="str">
        <f>CONCATENATE(C25," (",D25,")")</f>
        <v>Int (+0)</v>
      </c>
      <c r="F25" s="254">
        <f>2</f>
        <v>2</v>
      </c>
      <c r="G25" s="75">
        <f t="shared" ref="G25" si="6">B25+D25+F25</f>
        <v>5</v>
      </c>
      <c r="H25" s="54">
        <f t="shared" ca="1" si="5"/>
        <v>3</v>
      </c>
      <c r="I25" s="75">
        <f t="shared" ref="I25" ca="1" si="7">SUM(G25:H25)</f>
        <v>8</v>
      </c>
      <c r="J25" s="76"/>
    </row>
    <row r="26" spans="1:10" s="77" customFormat="1" ht="16.8">
      <c r="A26" s="235" t="s">
        <v>53</v>
      </c>
      <c r="B26" s="72">
        <v>11</v>
      </c>
      <c r="C26" s="236" t="s">
        <v>33</v>
      </c>
      <c r="D26" s="237" t="str">
        <f>IF(C26="Str",'Personal File'!$C$7,IF(C26="Dex",'Personal File'!$C$8,IF(C26="Con",'Personal File'!$C$9,IF(C26="Int",'Personal File'!$C$10,IF(C26="Wis",'Personal File'!$C$11,IF(C26="Cha",'Personal File'!$C$12))))))</f>
        <v>+2</v>
      </c>
      <c r="E26" s="237" t="str">
        <f t="shared" si="4"/>
        <v>Wis (+2)</v>
      </c>
      <c r="F26" s="75" t="s">
        <v>62</v>
      </c>
      <c r="G26" s="75">
        <f t="shared" si="1"/>
        <v>13</v>
      </c>
      <c r="H26" s="54">
        <f t="shared" ca="1" si="5"/>
        <v>5</v>
      </c>
      <c r="I26" s="75">
        <f t="shared" ca="1" si="3"/>
        <v>18</v>
      </c>
      <c r="J26" s="76"/>
    </row>
    <row r="27" spans="1:10" s="77" customFormat="1" ht="16.8">
      <c r="A27" s="71" t="s">
        <v>19</v>
      </c>
      <c r="B27" s="72">
        <v>12</v>
      </c>
      <c r="C27" s="73" t="s">
        <v>34</v>
      </c>
      <c r="D27" s="74" t="str">
        <f>IF(C27="Str",'Personal File'!$C$7,IF(C27="Dex",'Personal File'!$C$8,IF(C27="Con",'Personal File'!$C$9,IF(C27="Int",'Personal File'!$C$10,IF(C27="Wis",'Personal File'!$C$11,IF(C27="Cha",'Personal File'!$C$12))))))</f>
        <v>+5</v>
      </c>
      <c r="E27" s="74" t="str">
        <f t="shared" si="4"/>
        <v>Dex (+5)</v>
      </c>
      <c r="F27" s="75" t="s">
        <v>62</v>
      </c>
      <c r="G27" s="75">
        <f t="shared" si="1"/>
        <v>17</v>
      </c>
      <c r="H27" s="54">
        <f t="shared" ca="1" si="5"/>
        <v>5</v>
      </c>
      <c r="I27" s="75">
        <f t="shared" ca="1" si="3"/>
        <v>22</v>
      </c>
      <c r="J27" s="76"/>
    </row>
    <row r="28" spans="1:10" s="77" customFormat="1" ht="16.8">
      <c r="A28" s="112" t="s">
        <v>54</v>
      </c>
      <c r="B28" s="84">
        <v>0</v>
      </c>
      <c r="C28" s="113" t="s">
        <v>34</v>
      </c>
      <c r="D28" s="114" t="str">
        <f>IF(C28="Str",'Personal File'!$C$7,IF(C28="Dex",'Personal File'!$C$8,IF(C28="Con",'Personal File'!$C$9,IF(C28="Int",'Personal File'!$C$10,IF(C28="Wis",'Personal File'!$C$11,IF(C28="Cha",'Personal File'!$C$12))))))</f>
        <v>+5</v>
      </c>
      <c r="E28" s="114" t="str">
        <f t="shared" si="4"/>
        <v>Dex (+5)</v>
      </c>
      <c r="F28" s="87" t="s">
        <v>62</v>
      </c>
      <c r="G28" s="87">
        <f t="shared" si="1"/>
        <v>5</v>
      </c>
      <c r="H28" s="54">
        <f t="shared" ca="1" si="5"/>
        <v>5</v>
      </c>
      <c r="I28" s="87">
        <f t="shared" ca="1" si="3"/>
        <v>10</v>
      </c>
      <c r="J28" s="88"/>
    </row>
    <row r="29" spans="1:10" ht="16.8">
      <c r="A29" s="78" t="s">
        <v>99</v>
      </c>
      <c r="B29" s="64">
        <v>0</v>
      </c>
      <c r="C29" s="79" t="s">
        <v>30</v>
      </c>
      <c r="D29" s="80">
        <f>IF(C29="Str",'Personal File'!$C$7,IF(C29="Dex",'Personal File'!$C$8,IF(C29="Con",'Personal File'!$C$9,IF(C29="Int",'Personal File'!$C$10,IF(C29="Wis",'Personal File'!$C$11,IF(C29="Cha",'Personal File'!$C$12))))))</f>
        <v>-1</v>
      </c>
      <c r="E29" s="80" t="str">
        <f t="shared" si="4"/>
        <v>Cha (-1)</v>
      </c>
      <c r="F29" s="68" t="s">
        <v>62</v>
      </c>
      <c r="G29" s="68">
        <f t="shared" si="1"/>
        <v>-1</v>
      </c>
      <c r="H29" s="54">
        <f t="shared" ca="1" si="5"/>
        <v>9</v>
      </c>
      <c r="I29" s="68">
        <f t="shared" ca="1" si="3"/>
        <v>8</v>
      </c>
      <c r="J29" s="69"/>
    </row>
    <row r="30" spans="1:10" ht="16.8">
      <c r="A30" s="115" t="s">
        <v>100</v>
      </c>
      <c r="B30" s="107">
        <v>0</v>
      </c>
      <c r="C30" s="116" t="s">
        <v>33</v>
      </c>
      <c r="D30" s="117" t="str">
        <f>IF(C30="Str",'Personal File'!$C$7,IF(C30="Dex",'Personal File'!$C$8,IF(C30="Con",'Personal File'!$C$9,IF(C30="Int",'Personal File'!$C$10,IF(C30="Wis",'Personal File'!$C$11,IF(C30="Cha",'Personal File'!$C$12))))))</f>
        <v>+2</v>
      </c>
      <c r="E30" s="117" t="str">
        <f t="shared" ref="E30" si="8">CONCATENATE(C30," (",D30,")")</f>
        <v>Wis (+2)</v>
      </c>
      <c r="F30" s="110" t="s">
        <v>62</v>
      </c>
      <c r="G30" s="118">
        <f t="shared" si="1"/>
        <v>2</v>
      </c>
      <c r="H30" s="54">
        <f t="shared" ca="1" si="5"/>
        <v>5</v>
      </c>
      <c r="I30" s="118">
        <f t="shared" ca="1" si="3"/>
        <v>7</v>
      </c>
      <c r="J30" s="111"/>
    </row>
    <row r="31" spans="1:10" ht="16.8">
      <c r="A31" s="71" t="s">
        <v>20</v>
      </c>
      <c r="B31" s="72">
        <v>2</v>
      </c>
      <c r="C31" s="73" t="s">
        <v>34</v>
      </c>
      <c r="D31" s="74" t="str">
        <f>IF(C31="Str",'Personal File'!$C$7,IF(C31="Dex",'Personal File'!$C$8,IF(C31="Con",'Personal File'!$C$9,IF(C31="Int",'Personal File'!$C$10,IF(C31="Wis",'Personal File'!$C$11,IF(C31="Cha",'Personal File'!$C$12))))))</f>
        <v>+5</v>
      </c>
      <c r="E31" s="74" t="str">
        <f t="shared" si="4"/>
        <v>Dex (+5)</v>
      </c>
      <c r="F31" s="75" t="s">
        <v>62</v>
      </c>
      <c r="G31" s="75">
        <f t="shared" si="1"/>
        <v>7</v>
      </c>
      <c r="H31" s="54">
        <f t="shared" ca="1" si="5"/>
        <v>5</v>
      </c>
      <c r="I31" s="75">
        <f t="shared" ca="1" si="3"/>
        <v>12</v>
      </c>
      <c r="J31" s="76"/>
    </row>
    <row r="32" spans="1:10" ht="16.8">
      <c r="A32" s="91" t="s">
        <v>21</v>
      </c>
      <c r="B32" s="72">
        <v>8</v>
      </c>
      <c r="C32" s="92" t="s">
        <v>32</v>
      </c>
      <c r="D32" s="93" t="str">
        <f>IF(C32="Str",'Personal File'!$C$7,IF(C32="Dex",'Personal File'!$C$8,IF(C32="Con",'Personal File'!$C$9,IF(C32="Int",'Personal File'!$C$10,IF(C32="Wis",'Personal File'!$C$11,IF(C32="Cha",'Personal File'!$C$12))))))</f>
        <v>+0</v>
      </c>
      <c r="E32" s="93" t="str">
        <f t="shared" si="4"/>
        <v>Int (+0)</v>
      </c>
      <c r="F32" s="75" t="s">
        <v>62</v>
      </c>
      <c r="G32" s="75">
        <f t="shared" si="1"/>
        <v>8</v>
      </c>
      <c r="H32" s="54">
        <f t="shared" ca="1" si="5"/>
        <v>4</v>
      </c>
      <c r="I32" s="75">
        <f t="shared" ca="1" si="3"/>
        <v>12</v>
      </c>
      <c r="J32" s="76"/>
    </row>
    <row r="33" spans="1:10" ht="16.8">
      <c r="A33" s="235" t="s">
        <v>55</v>
      </c>
      <c r="B33" s="72">
        <v>3</v>
      </c>
      <c r="C33" s="236" t="s">
        <v>33</v>
      </c>
      <c r="D33" s="237" t="str">
        <f>IF(C33="Str",'Personal File'!$C$7,IF(C33="Dex",'Personal File'!$C$8,IF(C33="Con",'Personal File'!$C$9,IF(C33="Int",'Personal File'!$C$10,IF(C33="Wis",'Personal File'!$C$11,IF(C33="Cha",'Personal File'!$C$12))))))</f>
        <v>+2</v>
      </c>
      <c r="E33" s="237" t="str">
        <f t="shared" si="4"/>
        <v>Wis (+2)</v>
      </c>
      <c r="F33" s="75" t="s">
        <v>62</v>
      </c>
      <c r="G33" s="75">
        <f t="shared" si="1"/>
        <v>5</v>
      </c>
      <c r="H33" s="54">
        <f t="shared" ca="1" si="5"/>
        <v>7</v>
      </c>
      <c r="I33" s="75">
        <f t="shared" ca="1" si="3"/>
        <v>12</v>
      </c>
      <c r="J33" s="76"/>
    </row>
    <row r="34" spans="1:10" ht="16.8">
      <c r="A34" s="112" t="s">
        <v>85</v>
      </c>
      <c r="B34" s="84">
        <v>0</v>
      </c>
      <c r="C34" s="113" t="s">
        <v>34</v>
      </c>
      <c r="D34" s="114" t="str">
        <f>IF(C34="Str",'Personal File'!$C$7,IF(C34="Dex",'Personal File'!$C$8,IF(C34="Con",'Personal File'!$C$9,IF(C34="Int",'Personal File'!$C$10,IF(C34="Wis",'Personal File'!$C$11,IF(C34="Cha",'Personal File'!$C$12))))))</f>
        <v>+5</v>
      </c>
      <c r="E34" s="114" t="str">
        <f t="shared" si="4"/>
        <v>Dex (+5)</v>
      </c>
      <c r="F34" s="110" t="s">
        <v>62</v>
      </c>
      <c r="G34" s="87">
        <f t="shared" si="1"/>
        <v>5</v>
      </c>
      <c r="H34" s="54">
        <f t="shared" ca="1" si="5"/>
        <v>5</v>
      </c>
      <c r="I34" s="87">
        <f t="shared" ca="1" si="3"/>
        <v>10</v>
      </c>
      <c r="J34" s="88"/>
    </row>
    <row r="35" spans="1:10" ht="16.8">
      <c r="A35" s="106" t="s">
        <v>84</v>
      </c>
      <c r="B35" s="107">
        <v>0</v>
      </c>
      <c r="C35" s="108" t="s">
        <v>32</v>
      </c>
      <c r="D35" s="109" t="str">
        <f>IF(C35="Str",'Personal File'!$C$7,IF(C35="Dex",'Personal File'!$C$8,IF(C35="Con",'Personal File'!$C$9,IF(C35="Int",'Personal File'!$C$10,IF(C35="Wis",'Personal File'!$C$11,IF(C35="Cha",'Personal File'!$C$12))))))</f>
        <v>+0</v>
      </c>
      <c r="E35" s="109" t="str">
        <f t="shared" si="4"/>
        <v>Int (+0)</v>
      </c>
      <c r="F35" s="110" t="s">
        <v>62</v>
      </c>
      <c r="G35" s="87">
        <f t="shared" si="1"/>
        <v>0</v>
      </c>
      <c r="H35" s="54">
        <f t="shared" ca="1" si="5"/>
        <v>14</v>
      </c>
      <c r="I35" s="87">
        <f t="shared" ca="1" si="3"/>
        <v>14</v>
      </c>
      <c r="J35" s="119"/>
    </row>
    <row r="36" spans="1:10" ht="16.8">
      <c r="A36" s="106" t="s">
        <v>56</v>
      </c>
      <c r="B36" s="107">
        <v>0</v>
      </c>
      <c r="C36" s="108" t="s">
        <v>32</v>
      </c>
      <c r="D36" s="109" t="str">
        <f>IF(C36="Str",'Personal File'!$C$7,IF(C36="Dex",'Personal File'!$C$8,IF(C36="Con",'Personal File'!$C$9,IF(C36="Int",'Personal File'!$C$10,IF(C36="Wis",'Personal File'!$C$11,IF(C36="Cha",'Personal File'!$C$12))))))</f>
        <v>+0</v>
      </c>
      <c r="E36" s="109" t="str">
        <f t="shared" si="4"/>
        <v>Int (+0)</v>
      </c>
      <c r="F36" s="110" t="s">
        <v>62</v>
      </c>
      <c r="G36" s="110">
        <f t="shared" si="1"/>
        <v>0</v>
      </c>
      <c r="H36" s="54">
        <f t="shared" ca="1" si="5"/>
        <v>1</v>
      </c>
      <c r="I36" s="110">
        <f t="shared" ca="1" si="3"/>
        <v>1</v>
      </c>
      <c r="J36" s="119"/>
    </row>
    <row r="37" spans="1:10" ht="16.8">
      <c r="A37" s="235" t="s">
        <v>57</v>
      </c>
      <c r="B37" s="72">
        <v>12</v>
      </c>
      <c r="C37" s="236" t="s">
        <v>33</v>
      </c>
      <c r="D37" s="237" t="str">
        <f>IF(C37="Str",'Personal File'!$C$7,IF(C37="Dex",'Personal File'!$C$8,IF(C37="Con",'Personal File'!$C$9,IF(C37="Int",'Personal File'!$C$10,IF(C37="Wis",'Personal File'!$C$11,IF(C37="Cha",'Personal File'!$C$12))))))</f>
        <v>+2</v>
      </c>
      <c r="E37" s="237" t="str">
        <f t="shared" si="4"/>
        <v>Wis (+2)</v>
      </c>
      <c r="F37" s="75" t="s">
        <v>62</v>
      </c>
      <c r="G37" s="75">
        <f t="shared" si="1"/>
        <v>14</v>
      </c>
      <c r="H37" s="54">
        <f t="shared" ca="1" si="5"/>
        <v>16</v>
      </c>
      <c r="I37" s="75">
        <f t="shared" ca="1" si="3"/>
        <v>30</v>
      </c>
      <c r="J37" s="76"/>
    </row>
    <row r="38" spans="1:10" ht="16.8">
      <c r="A38" s="235" t="s">
        <v>86</v>
      </c>
      <c r="B38" s="72">
        <v>13</v>
      </c>
      <c r="C38" s="236" t="s">
        <v>33</v>
      </c>
      <c r="D38" s="237" t="str">
        <f>IF(C38="Str",'Personal File'!$C$7,IF(C38="Dex",'Personal File'!$C$8,IF(C38="Con",'Personal File'!$C$9,IF(C38="Int",'Personal File'!$C$10,IF(C38="Wis",'Personal File'!$C$11,IF(C38="Cha",'Personal File'!$C$12))))))</f>
        <v>+2</v>
      </c>
      <c r="E38" s="237" t="str">
        <f t="shared" si="4"/>
        <v>Wis (+2)</v>
      </c>
      <c r="F38" s="75" t="s">
        <v>62</v>
      </c>
      <c r="G38" s="75">
        <f t="shared" si="1"/>
        <v>15</v>
      </c>
      <c r="H38" s="54">
        <f t="shared" ca="1" si="5"/>
        <v>4</v>
      </c>
      <c r="I38" s="75">
        <f t="shared" ca="1" si="3"/>
        <v>19</v>
      </c>
      <c r="J38" s="238" t="s">
        <v>109</v>
      </c>
    </row>
    <row r="39" spans="1:10" ht="16.8">
      <c r="A39" s="251" t="s">
        <v>22</v>
      </c>
      <c r="B39" s="72">
        <v>4</v>
      </c>
      <c r="C39" s="252" t="s">
        <v>35</v>
      </c>
      <c r="D39" s="253" t="str">
        <f>IF(C39="Str",'Personal File'!$C$7,IF(C39="Dex",'Personal File'!$C$8,IF(C39="Con",'Personal File'!$C$9,IF(C39="Int",'Personal File'!$C$10,IF(C39="Wis",'Personal File'!$C$11,IF(C39="Cha",'Personal File'!$C$12))))))</f>
        <v>+1</v>
      </c>
      <c r="E39" s="253" t="str">
        <f t="shared" si="4"/>
        <v>Str (+1)</v>
      </c>
      <c r="F39" s="75" t="s">
        <v>62</v>
      </c>
      <c r="G39" s="75">
        <f t="shared" si="1"/>
        <v>5</v>
      </c>
      <c r="H39" s="54">
        <f t="shared" ca="1" si="5"/>
        <v>8</v>
      </c>
      <c r="I39" s="75">
        <f t="shared" ca="1" si="3"/>
        <v>13</v>
      </c>
      <c r="J39" s="238"/>
    </row>
    <row r="40" spans="1:10" ht="16.8">
      <c r="A40" s="71" t="s">
        <v>58</v>
      </c>
      <c r="B40" s="72">
        <v>11</v>
      </c>
      <c r="C40" s="73" t="s">
        <v>34</v>
      </c>
      <c r="D40" s="74" t="str">
        <f>IF(C40="Str",'Personal File'!$C$7,IF(C40="Dex",'Personal File'!$C$8,IF(C40="Con",'Personal File'!$C$9,IF(C40="Int",'Personal File'!$C$10,IF(C40="Wis",'Personal File'!$C$11,IF(C40="Cha",'Personal File'!$C$12))))))</f>
        <v>+5</v>
      </c>
      <c r="E40" s="74" t="str">
        <f t="shared" si="4"/>
        <v>Dex (+5)</v>
      </c>
      <c r="F40" s="75" t="s">
        <v>62</v>
      </c>
      <c r="G40" s="75">
        <f t="shared" si="1"/>
        <v>16</v>
      </c>
      <c r="H40" s="54">
        <f t="shared" ca="1" si="5"/>
        <v>13</v>
      </c>
      <c r="I40" s="75">
        <f t="shared" ca="1" si="3"/>
        <v>29</v>
      </c>
      <c r="J40" s="76"/>
    </row>
    <row r="41" spans="1:10" ht="16.8">
      <c r="A41" s="120" t="s">
        <v>59</v>
      </c>
      <c r="B41" s="84">
        <v>0</v>
      </c>
      <c r="C41" s="121" t="s">
        <v>30</v>
      </c>
      <c r="D41" s="122">
        <f>IF(C41="Str",'Personal File'!$C$7,IF(C41="Dex",'Personal File'!$C$8,IF(C41="Con",'Personal File'!$C$9,IF(C41="Int",'Personal File'!$C$10,IF(C41="Wis",'Personal File'!$C$11,IF(C41="Cha",'Personal File'!$C$12))))))</f>
        <v>-1</v>
      </c>
      <c r="E41" s="122" t="str">
        <f t="shared" si="4"/>
        <v>Cha (-1)</v>
      </c>
      <c r="F41" s="87" t="s">
        <v>62</v>
      </c>
      <c r="G41" s="87">
        <f t="shared" si="1"/>
        <v>-1</v>
      </c>
      <c r="H41" s="54">
        <f t="shared" ca="1" si="5"/>
        <v>11</v>
      </c>
      <c r="I41" s="87">
        <f t="shared" ca="1" si="3"/>
        <v>10</v>
      </c>
      <c r="J41" s="88"/>
    </row>
    <row r="42" spans="1:10" ht="17.399999999999999" thickBot="1">
      <c r="A42" s="255" t="s">
        <v>60</v>
      </c>
      <c r="B42" s="256">
        <v>2</v>
      </c>
      <c r="C42" s="257" t="s">
        <v>34</v>
      </c>
      <c r="D42" s="258" t="str">
        <f>IF(C42="Str",'Personal File'!$C$7,IF(C42="Dex",'Personal File'!$C$8,IF(C42="Con",'Personal File'!$C$9,IF(C42="Int",'Personal File'!$C$10,IF(C42="Wis",'Personal File'!$C$11,IF(C42="Cha",'Personal File'!$C$12))))))</f>
        <v>+5</v>
      </c>
      <c r="E42" s="258" t="str">
        <f t="shared" si="4"/>
        <v>Dex (+5)</v>
      </c>
      <c r="F42" s="259" t="s">
        <v>62</v>
      </c>
      <c r="G42" s="259">
        <f t="shared" si="1"/>
        <v>7</v>
      </c>
      <c r="H42" s="123">
        <f t="shared" ca="1" si="5"/>
        <v>4</v>
      </c>
      <c r="I42" s="259">
        <f t="shared" ca="1" si="3"/>
        <v>11</v>
      </c>
      <c r="J42" s="260"/>
    </row>
    <row r="43" spans="1:10" ht="16.2" thickTop="1">
      <c r="A43" s="124"/>
      <c r="B43" s="124">
        <f>SUM(B6:B42)</f>
        <v>126</v>
      </c>
      <c r="E43" s="124">
        <f>SUM(E44:E55)</f>
        <v>126</v>
      </c>
      <c r="F43" s="125" t="s">
        <v>66</v>
      </c>
    </row>
    <row r="44" spans="1:10">
      <c r="B44" s="124"/>
      <c r="E44" s="124">
        <v>32</v>
      </c>
      <c r="F44" s="127" t="s">
        <v>124</v>
      </c>
    </row>
    <row r="45" spans="1:10">
      <c r="E45" s="124">
        <v>8</v>
      </c>
      <c r="F45" s="127" t="s">
        <v>125</v>
      </c>
    </row>
    <row r="46" spans="1:10">
      <c r="E46" s="124">
        <v>8</v>
      </c>
      <c r="F46" s="127" t="s">
        <v>126</v>
      </c>
    </row>
    <row r="47" spans="1:10">
      <c r="E47" s="124">
        <v>8</v>
      </c>
      <c r="F47" s="127" t="s">
        <v>127</v>
      </c>
    </row>
    <row r="48" spans="1:10">
      <c r="E48" s="124">
        <v>8</v>
      </c>
      <c r="F48" s="127" t="s">
        <v>128</v>
      </c>
    </row>
    <row r="49" spans="5:6">
      <c r="E49" s="124">
        <v>8</v>
      </c>
      <c r="F49" s="127" t="s">
        <v>129</v>
      </c>
    </row>
    <row r="50" spans="5:6">
      <c r="E50" s="124">
        <v>8</v>
      </c>
      <c r="F50" s="127" t="s">
        <v>152</v>
      </c>
    </row>
    <row r="51" spans="5:6">
      <c r="E51" s="124">
        <v>8</v>
      </c>
      <c r="F51" s="127" t="s">
        <v>153</v>
      </c>
    </row>
    <row r="52" spans="5:6">
      <c r="E52" s="124">
        <v>8</v>
      </c>
      <c r="F52" s="127" t="s">
        <v>165</v>
      </c>
    </row>
    <row r="53" spans="5:6">
      <c r="E53" s="124">
        <v>8</v>
      </c>
      <c r="F53" s="127" t="s">
        <v>172</v>
      </c>
    </row>
    <row r="54" spans="5:6">
      <c r="E54" s="124">
        <v>8</v>
      </c>
      <c r="F54" s="127" t="s">
        <v>190</v>
      </c>
    </row>
    <row r="55" spans="5:6">
      <c r="E55" s="124">
        <f>3+'Personal File'!E3</f>
        <v>14</v>
      </c>
      <c r="F55" s="127" t="s">
        <v>107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8984375" defaultRowHeight="16.8"/>
  <cols>
    <col min="1" max="1" width="34.09765625" style="133" bestFit="1" customWidth="1"/>
    <col min="2" max="2" width="2.69921875" style="137" customWidth="1"/>
    <col min="3" max="3" width="21" style="129" bestFit="1" customWidth="1"/>
    <col min="4" max="16384" width="10.8984375" style="129"/>
  </cols>
  <sheetData>
    <row r="1" spans="1:3" ht="24" thickTop="1" thickBot="1">
      <c r="A1" s="128" t="s">
        <v>93</v>
      </c>
      <c r="B1" s="129"/>
      <c r="C1" s="128" t="s">
        <v>89</v>
      </c>
    </row>
    <row r="2" spans="1:3">
      <c r="A2" s="131" t="s">
        <v>140</v>
      </c>
      <c r="B2" s="129"/>
      <c r="C2" s="130" t="s">
        <v>189</v>
      </c>
    </row>
    <row r="3" spans="1:3">
      <c r="A3" s="131" t="s">
        <v>141</v>
      </c>
      <c r="B3" s="129"/>
      <c r="C3" s="136" t="s">
        <v>106</v>
      </c>
    </row>
    <row r="4" spans="1:3">
      <c r="A4" s="132" t="s">
        <v>142</v>
      </c>
      <c r="B4" s="129"/>
      <c r="C4" s="130" t="s">
        <v>186</v>
      </c>
    </row>
    <row r="5" spans="1:3">
      <c r="A5" s="132" t="s">
        <v>156</v>
      </c>
      <c r="B5" s="129"/>
      <c r="C5" s="130" t="s">
        <v>171</v>
      </c>
    </row>
    <row r="6" spans="1:3">
      <c r="A6" s="132" t="s">
        <v>135</v>
      </c>
      <c r="B6" s="129"/>
      <c r="C6" s="130" t="s">
        <v>130</v>
      </c>
    </row>
    <row r="7" spans="1:3">
      <c r="A7" s="132" t="s">
        <v>159</v>
      </c>
      <c r="B7" s="129"/>
      <c r="C7" s="134" t="s">
        <v>187</v>
      </c>
    </row>
    <row r="8" spans="1:3" ht="17.399999999999999" thickBot="1">
      <c r="A8" s="272" t="s">
        <v>166</v>
      </c>
      <c r="B8" s="129"/>
      <c r="C8" s="136" t="s">
        <v>131</v>
      </c>
    </row>
    <row r="9" spans="1:3" ht="18" thickTop="1" thickBot="1">
      <c r="B9" s="129"/>
      <c r="C9" s="136" t="s">
        <v>155</v>
      </c>
    </row>
    <row r="10" spans="1:3" ht="24" thickTop="1" thickBot="1">
      <c r="A10" s="9" t="s">
        <v>91</v>
      </c>
      <c r="B10" s="129"/>
      <c r="C10" s="239" t="s">
        <v>134</v>
      </c>
    </row>
    <row r="11" spans="1:3">
      <c r="A11" s="241" t="s">
        <v>136</v>
      </c>
      <c r="B11" s="129"/>
      <c r="C11" s="240" t="s">
        <v>132</v>
      </c>
    </row>
    <row r="12" spans="1:3" ht="17.399999999999999" thickBot="1">
      <c r="A12" s="135" t="s">
        <v>137</v>
      </c>
      <c r="B12" s="129"/>
      <c r="C12" s="261" t="s">
        <v>133</v>
      </c>
    </row>
    <row r="13" spans="1:3" ht="18" thickTop="1" thickBot="1"/>
    <row r="14" spans="1:3" ht="24" thickTop="1" thickBot="1">
      <c r="C14" s="10" t="s">
        <v>75</v>
      </c>
    </row>
    <row r="15" spans="1:3" ht="17.399999999999999" thickBot="1">
      <c r="C15" s="138" t="s">
        <v>150</v>
      </c>
    </row>
    <row r="16"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showGridLines="0" workbookViewId="0"/>
  </sheetViews>
  <sheetFormatPr defaultColWidth="13" defaultRowHeight="15.6"/>
  <cols>
    <col min="1" max="1" width="33.8984375" style="148" bestFit="1" customWidth="1"/>
    <col min="2" max="3" width="8.59765625" style="148" customWidth="1"/>
    <col min="4" max="4" width="6.19921875" style="148" bestFit="1" customWidth="1"/>
    <col min="5" max="5" width="8.09765625" style="148" bestFit="1" customWidth="1"/>
    <col min="6" max="6" width="8.8984375" style="148" bestFit="1" customWidth="1"/>
    <col min="7" max="7" width="4.5" style="148" bestFit="1" customWidth="1"/>
    <col min="8" max="8" width="6.09765625" style="148" bestFit="1" customWidth="1"/>
    <col min="9" max="9" width="5.5" style="148" bestFit="1" customWidth="1"/>
    <col min="10" max="10" width="6.19921875" style="148" bestFit="1" customWidth="1"/>
    <col min="11" max="11" width="17.796875" style="148" bestFit="1" customWidth="1"/>
    <col min="12" max="12" width="2.3984375" style="17" customWidth="1"/>
    <col min="13" max="13" width="5.8984375" style="17" bestFit="1" customWidth="1"/>
    <col min="14" max="14" width="7.69921875" style="148" bestFit="1" customWidth="1"/>
    <col min="15" max="16384" width="13" style="17"/>
  </cols>
  <sheetData>
    <row r="1" spans="1:14" ht="23.4" thickBot="1">
      <c r="A1" s="139" t="s">
        <v>23</v>
      </c>
      <c r="B1" s="139"/>
      <c r="C1" s="139"/>
      <c r="D1" s="139"/>
      <c r="E1" s="139"/>
      <c r="F1" s="139"/>
      <c r="G1" s="139"/>
      <c r="H1" s="139"/>
      <c r="I1" s="139"/>
      <c r="J1" s="139"/>
      <c r="K1" s="139"/>
    </row>
    <row r="2" spans="1:14" ht="16.8" thickTop="1" thickBot="1">
      <c r="A2" s="140" t="s">
        <v>5</v>
      </c>
      <c r="B2" s="141" t="s">
        <v>8</v>
      </c>
      <c r="C2" s="141" t="s">
        <v>25</v>
      </c>
      <c r="D2" s="141" t="s">
        <v>26</v>
      </c>
      <c r="E2" s="142" t="s">
        <v>67</v>
      </c>
      <c r="F2" s="141" t="s">
        <v>24</v>
      </c>
      <c r="G2" s="141" t="s">
        <v>27</v>
      </c>
      <c r="H2" s="143" t="s">
        <v>92</v>
      </c>
      <c r="I2" s="144" t="s">
        <v>95</v>
      </c>
      <c r="J2" s="145" t="s">
        <v>81</v>
      </c>
      <c r="K2" s="146" t="s">
        <v>79</v>
      </c>
      <c r="M2" s="147" t="s">
        <v>113</v>
      </c>
    </row>
    <row r="3" spans="1:14">
      <c r="A3" s="289" t="s">
        <v>220</v>
      </c>
      <c r="B3" s="290" t="s">
        <v>138</v>
      </c>
      <c r="C3" s="311" t="str">
        <f>CONCATENATE("+1 ",'Personal File'!$C$7)</f>
        <v>+1 +1</v>
      </c>
      <c r="D3" s="291" t="s">
        <v>108</v>
      </c>
      <c r="E3" s="292" t="s">
        <v>216</v>
      </c>
      <c r="F3" s="293" t="s">
        <v>214</v>
      </c>
      <c r="G3" s="294">
        <f>2*3</f>
        <v>6</v>
      </c>
      <c r="H3" s="295" t="str">
        <f>CONCATENATE("+",RIGHT('Personal File'!$B$5,1)+RIGHT('Personal File'!$C$7)+D3)</f>
        <v>+10</v>
      </c>
      <c r="I3" s="296">
        <f ca="1">RANDBETWEEN(1,20)</f>
        <v>13</v>
      </c>
      <c r="J3" s="297">
        <f ca="1">(I3+H3)</f>
        <v>23</v>
      </c>
      <c r="K3" s="298"/>
      <c r="M3" s="333">
        <v>2308</v>
      </c>
      <c r="N3" s="164"/>
    </row>
    <row r="4" spans="1:14">
      <c r="A4" s="299" t="s">
        <v>213</v>
      </c>
      <c r="B4" s="300"/>
      <c r="C4" s="301"/>
      <c r="D4" s="302"/>
      <c r="E4" s="302"/>
      <c r="F4" s="303"/>
      <c r="G4" s="304"/>
      <c r="H4" s="305" t="str">
        <f>CONCATENATE("+",H3-5)</f>
        <v>+5</v>
      </c>
      <c r="I4" s="306">
        <f t="shared" ref="I4" ca="1" si="0">RANDBETWEEN(1,20)</f>
        <v>13</v>
      </c>
      <c r="J4" s="307">
        <f t="shared" ref="J4" ca="1" si="1">(I4+H4)</f>
        <v>18</v>
      </c>
      <c r="K4" s="308"/>
      <c r="M4" s="343"/>
      <c r="N4" s="164"/>
    </row>
    <row r="5" spans="1:14">
      <c r="A5" s="273" t="s">
        <v>117</v>
      </c>
      <c r="B5" s="282" t="s">
        <v>110</v>
      </c>
      <c r="C5" s="283" t="str">
        <f>CONCATENATE("+1 ",'Personal File'!$C$7)</f>
        <v>+1 +1</v>
      </c>
      <c r="D5" s="283" t="s">
        <v>62</v>
      </c>
      <c r="E5" s="284" t="s">
        <v>118</v>
      </c>
      <c r="F5" s="285" t="s">
        <v>215</v>
      </c>
      <c r="G5" s="286">
        <v>1</v>
      </c>
      <c r="H5" s="15" t="str">
        <f>CONCATENATE("+",RIGHT('Personal File'!$B$5,1)+RIGHT('Personal File'!$C$7)+D5)</f>
        <v>+9</v>
      </c>
      <c r="I5" s="16">
        <f ca="1">RANDBETWEEN(1,20)</f>
        <v>4</v>
      </c>
      <c r="J5" s="215">
        <f ca="1">(I5+H5)</f>
        <v>13</v>
      </c>
      <c r="K5" s="287"/>
      <c r="M5" s="334">
        <v>2</v>
      </c>
      <c r="N5" s="164"/>
    </row>
    <row r="6" spans="1:14" ht="16.2" thickBot="1">
      <c r="A6" s="217" t="s">
        <v>160</v>
      </c>
      <c r="B6" s="218" t="s">
        <v>146</v>
      </c>
      <c r="C6" s="262" t="s">
        <v>146</v>
      </c>
      <c r="D6" s="262">
        <v>0</v>
      </c>
      <c r="E6" s="262" t="s">
        <v>146</v>
      </c>
      <c r="F6" s="262" t="s">
        <v>146</v>
      </c>
      <c r="G6" s="199"/>
      <c r="H6" s="263" t="str">
        <f>CONCATENATE("+",RIGHT('Personal File'!$B$5,1)+RIGHT('Personal File'!$C$7)+D6)</f>
        <v>+9</v>
      </c>
      <c r="I6" s="12">
        <f ca="1">RANDBETWEEN(1,20)</f>
        <v>20</v>
      </c>
      <c r="J6" s="249">
        <f ca="1">(I6+H6)</f>
        <v>29</v>
      </c>
      <c r="K6" s="264"/>
      <c r="M6" s="335">
        <v>0</v>
      </c>
      <c r="N6" s="164"/>
    </row>
    <row r="7" spans="1:14" ht="16.8" thickTop="1" thickBot="1">
      <c r="M7" s="148"/>
    </row>
    <row r="8" spans="1:14" ht="16.8" thickTop="1" thickBot="1">
      <c r="A8" s="140" t="s">
        <v>7</v>
      </c>
      <c r="B8" s="141" t="s">
        <v>8</v>
      </c>
      <c r="C8" s="141" t="s">
        <v>25</v>
      </c>
      <c r="D8" s="141" t="s">
        <v>26</v>
      </c>
      <c r="E8" s="142" t="s">
        <v>67</v>
      </c>
      <c r="F8" s="141" t="s">
        <v>9</v>
      </c>
      <c r="G8" s="141" t="s">
        <v>27</v>
      </c>
      <c r="H8" s="143" t="s">
        <v>92</v>
      </c>
      <c r="I8" s="144" t="s">
        <v>95</v>
      </c>
      <c r="J8" s="143" t="s">
        <v>81</v>
      </c>
      <c r="K8" s="146" t="s">
        <v>79</v>
      </c>
      <c r="M8" s="147" t="s">
        <v>113</v>
      </c>
    </row>
    <row r="9" spans="1:14">
      <c r="A9" s="289" t="s">
        <v>211</v>
      </c>
      <c r="B9" s="290" t="s">
        <v>138</v>
      </c>
      <c r="C9" s="311" t="s">
        <v>212</v>
      </c>
      <c r="D9" s="312">
        <v>1</v>
      </c>
      <c r="E9" s="292" t="s">
        <v>119</v>
      </c>
      <c r="F9" s="313" t="s">
        <v>149</v>
      </c>
      <c r="G9" s="294">
        <v>3</v>
      </c>
      <c r="H9" s="294" t="str">
        <f>CONCATENATE("+",RIGHT('Personal File'!$B$5,1)+RIGHT('Personal File'!$C$8)+D9+1-2)</f>
        <v>+13</v>
      </c>
      <c r="I9" s="296">
        <f t="shared" ref="I9:I11" ca="1" si="2">RANDBETWEEN(1,20)</f>
        <v>12</v>
      </c>
      <c r="J9" s="314">
        <f t="shared" ref="J9:J11" ca="1" si="3">(I9+H9)</f>
        <v>25</v>
      </c>
      <c r="K9" s="315" t="s">
        <v>161</v>
      </c>
      <c r="L9" s="216"/>
      <c r="M9" s="334">
        <v>14500</v>
      </c>
      <c r="N9" s="164"/>
    </row>
    <row r="10" spans="1:14">
      <c r="A10" s="309" t="s">
        <v>169</v>
      </c>
      <c r="B10" s="246" t="s">
        <v>138</v>
      </c>
      <c r="C10" s="316" t="s">
        <v>212</v>
      </c>
      <c r="D10" s="288">
        <v>1</v>
      </c>
      <c r="E10" s="277"/>
      <c r="F10" s="278"/>
      <c r="G10" s="279"/>
      <c r="H10" s="274" t="str">
        <f>CONCATENATE("+",RIGHT('Personal File'!$B$5,1)+RIGHT('Personal File'!$C$8)+D10+1-2-5)</f>
        <v>+8</v>
      </c>
      <c r="I10" s="310">
        <f t="shared" ca="1" si="2"/>
        <v>17</v>
      </c>
      <c r="J10" s="275">
        <f t="shared" ref="J10" ca="1" si="4">(I10+H10)</f>
        <v>25</v>
      </c>
      <c r="K10" s="276" t="s">
        <v>161</v>
      </c>
      <c r="L10" s="216"/>
      <c r="M10" s="343"/>
      <c r="N10" s="164"/>
    </row>
    <row r="11" spans="1:14">
      <c r="A11" s="309" t="s">
        <v>167</v>
      </c>
      <c r="B11" s="246" t="s">
        <v>138</v>
      </c>
      <c r="C11" s="316" t="s">
        <v>212</v>
      </c>
      <c r="D11" s="288">
        <v>1</v>
      </c>
      <c r="E11" s="277"/>
      <c r="F11" s="278"/>
      <c r="G11" s="279"/>
      <c r="H11" s="274" t="str">
        <f>CONCATENATE("+",RIGHT('Personal File'!$B$5,1)+RIGHT('Personal File'!$C$8)+D11+1-2)</f>
        <v>+13</v>
      </c>
      <c r="I11" s="310">
        <f t="shared" ca="1" si="2"/>
        <v>5</v>
      </c>
      <c r="J11" s="275">
        <f t="shared" ca="1" si="3"/>
        <v>18</v>
      </c>
      <c r="K11" s="276" t="s">
        <v>161</v>
      </c>
      <c r="L11" s="216"/>
      <c r="M11" s="343"/>
      <c r="N11" s="164"/>
    </row>
    <row r="12" spans="1:14">
      <c r="A12" s="309" t="s">
        <v>168</v>
      </c>
      <c r="B12" s="246" t="s">
        <v>138</v>
      </c>
      <c r="C12" s="316" t="s">
        <v>212</v>
      </c>
      <c r="D12" s="288">
        <v>1</v>
      </c>
      <c r="E12" s="277"/>
      <c r="F12" s="278"/>
      <c r="G12" s="279"/>
      <c r="H12" s="274" t="str">
        <f>CONCATENATE("+",RIGHT('Personal File'!$B$5,1)+RIGHT('Personal File'!$C$8)+D12+1-2)</f>
        <v>+13</v>
      </c>
      <c r="I12" s="310">
        <f t="shared" ref="I12:I19" ca="1" si="5">RANDBETWEEN(1,20)</f>
        <v>11</v>
      </c>
      <c r="J12" s="275">
        <f t="shared" ref="J12" ca="1" si="6">(I12+H12)</f>
        <v>24</v>
      </c>
      <c r="K12" s="276" t="s">
        <v>161</v>
      </c>
      <c r="L12" s="216"/>
      <c r="M12" s="343"/>
      <c r="N12" s="164"/>
    </row>
    <row r="13" spans="1:14">
      <c r="A13" s="309" t="s">
        <v>218</v>
      </c>
      <c r="B13" s="246" t="s">
        <v>138</v>
      </c>
      <c r="C13" s="316" t="s">
        <v>219</v>
      </c>
      <c r="D13" s="288">
        <v>1</v>
      </c>
      <c r="E13" s="277" t="s">
        <v>119</v>
      </c>
      <c r="F13" s="278" t="s">
        <v>149</v>
      </c>
      <c r="G13" s="279"/>
      <c r="H13" s="274" t="str">
        <f>CONCATENATE("+",RIGHT('Personal File'!$B$5,1)+RIGHT('Personal File'!$C$8)+D13+1)</f>
        <v>+15</v>
      </c>
      <c r="I13" s="310">
        <f t="shared" ca="1" si="5"/>
        <v>9</v>
      </c>
      <c r="J13" s="275">
        <f t="shared" ref="J13:J18" ca="1" si="7">(I13+H13)</f>
        <v>24</v>
      </c>
      <c r="K13" s="276" t="s">
        <v>161</v>
      </c>
      <c r="L13" s="216"/>
      <c r="M13" s="343"/>
      <c r="N13" s="164"/>
    </row>
    <row r="14" spans="1:14">
      <c r="A14" s="424" t="s">
        <v>217</v>
      </c>
      <c r="B14" s="425" t="s">
        <v>146</v>
      </c>
      <c r="C14" s="426" t="s">
        <v>94</v>
      </c>
      <c r="D14" s="411" t="s">
        <v>146</v>
      </c>
      <c r="E14" s="412" t="s">
        <v>146</v>
      </c>
      <c r="F14" s="413" t="s">
        <v>146</v>
      </c>
      <c r="G14" s="419"/>
      <c r="H14" s="414" t="s">
        <v>146</v>
      </c>
      <c r="I14" s="415" t="s">
        <v>146</v>
      </c>
      <c r="J14" s="416" t="s">
        <v>146</v>
      </c>
      <c r="K14" s="417" t="s">
        <v>185</v>
      </c>
      <c r="L14" s="216"/>
      <c r="M14" s="418"/>
      <c r="N14" s="164"/>
    </row>
    <row r="15" spans="1:14">
      <c r="A15" s="309" t="s">
        <v>221</v>
      </c>
      <c r="B15" s="246" t="s">
        <v>138</v>
      </c>
      <c r="C15" s="316">
        <v>2</v>
      </c>
      <c r="D15" s="288">
        <v>2</v>
      </c>
      <c r="E15" s="383" t="s">
        <v>119</v>
      </c>
      <c r="F15" s="384" t="s">
        <v>224</v>
      </c>
      <c r="G15" s="385">
        <v>3</v>
      </c>
      <c r="H15" s="385" t="str">
        <f>CONCATENATE("+",RIGHT('Personal File'!$B$5,1)+RIGHT('Personal File'!$C$8)+D15+1-2)</f>
        <v>+14</v>
      </c>
      <c r="I15" s="310">
        <f t="shared" ca="1" si="5"/>
        <v>8</v>
      </c>
      <c r="J15" s="420">
        <f t="shared" ca="1" si="7"/>
        <v>22</v>
      </c>
      <c r="K15" s="276" t="s">
        <v>161</v>
      </c>
      <c r="L15" s="216"/>
      <c r="M15" s="334">
        <v>8300</v>
      </c>
      <c r="N15" s="164"/>
    </row>
    <row r="16" spans="1:14">
      <c r="A16" s="309" t="s">
        <v>169</v>
      </c>
      <c r="B16" s="246" t="s">
        <v>138</v>
      </c>
      <c r="C16" s="316">
        <v>2</v>
      </c>
      <c r="D16" s="288">
        <v>2</v>
      </c>
      <c r="E16" s="277"/>
      <c r="F16" s="278"/>
      <c r="G16" s="279"/>
      <c r="H16" s="274" t="str">
        <f>CONCATENATE("+",RIGHT('Personal File'!$B$5,1)+RIGHT('Personal File'!$C$8)+D16+1-2-5)</f>
        <v>+9</v>
      </c>
      <c r="I16" s="310">
        <f t="shared" ca="1" si="5"/>
        <v>7</v>
      </c>
      <c r="J16" s="275">
        <f t="shared" ca="1" si="7"/>
        <v>16</v>
      </c>
      <c r="K16" s="276" t="s">
        <v>161</v>
      </c>
      <c r="L16" s="216"/>
      <c r="M16" s="343"/>
      <c r="N16" s="164"/>
    </row>
    <row r="17" spans="1:14">
      <c r="A17" s="309" t="s">
        <v>167</v>
      </c>
      <c r="B17" s="246" t="s">
        <v>138</v>
      </c>
      <c r="C17" s="316">
        <v>2</v>
      </c>
      <c r="D17" s="288">
        <v>2</v>
      </c>
      <c r="E17" s="277"/>
      <c r="F17" s="278"/>
      <c r="G17" s="279"/>
      <c r="H17" s="274" t="str">
        <f>CONCATENATE("+",RIGHT('Personal File'!$B$5,1)+RIGHT('Personal File'!$C$8)+D17+1-2)</f>
        <v>+14</v>
      </c>
      <c r="I17" s="310">
        <f t="shared" ca="1" si="5"/>
        <v>15</v>
      </c>
      <c r="J17" s="275">
        <f t="shared" ca="1" si="7"/>
        <v>29</v>
      </c>
      <c r="K17" s="276" t="s">
        <v>161</v>
      </c>
      <c r="L17" s="216"/>
      <c r="M17" s="343"/>
      <c r="N17" s="164"/>
    </row>
    <row r="18" spans="1:14">
      <c r="A18" s="309" t="s">
        <v>168</v>
      </c>
      <c r="B18" s="246" t="s">
        <v>138</v>
      </c>
      <c r="C18" s="316">
        <v>2</v>
      </c>
      <c r="D18" s="288">
        <v>2</v>
      </c>
      <c r="E18" s="277"/>
      <c r="F18" s="278"/>
      <c r="G18" s="279"/>
      <c r="H18" s="274" t="str">
        <f>CONCATENATE("+",RIGHT('Personal File'!$B$5,1)+RIGHT('Personal File'!$C$8)+D18+1-2)</f>
        <v>+14</v>
      </c>
      <c r="I18" s="310">
        <f t="shared" ca="1" si="5"/>
        <v>12</v>
      </c>
      <c r="J18" s="275">
        <f t="shared" ca="1" si="7"/>
        <v>26</v>
      </c>
      <c r="K18" s="276" t="s">
        <v>161</v>
      </c>
      <c r="L18" s="216"/>
      <c r="M18" s="343"/>
      <c r="N18" s="164"/>
    </row>
    <row r="19" spans="1:14">
      <c r="A19" s="408" t="s">
        <v>222</v>
      </c>
      <c r="B19" s="409" t="s">
        <v>138</v>
      </c>
      <c r="C19" s="410" t="s">
        <v>223</v>
      </c>
      <c r="D19" s="411">
        <v>2</v>
      </c>
      <c r="E19" s="412" t="s">
        <v>119</v>
      </c>
      <c r="F19" s="413" t="s">
        <v>224</v>
      </c>
      <c r="G19" s="419"/>
      <c r="H19" s="414" t="str">
        <f>CONCATENATE("+",RIGHT('Personal File'!$B$5,1)+RIGHT('Personal File'!$C$8)+D19+1)</f>
        <v>+16</v>
      </c>
      <c r="I19" s="415">
        <f t="shared" ca="1" si="5"/>
        <v>6</v>
      </c>
      <c r="J19" s="416">
        <f t="shared" ref="J19:J20" ca="1" si="8">(I19+H19)</f>
        <v>22</v>
      </c>
      <c r="K19" s="417" t="s">
        <v>161</v>
      </c>
      <c r="L19" s="216"/>
      <c r="M19" s="343"/>
      <c r="N19" s="164"/>
    </row>
    <row r="20" spans="1:14" ht="16.2" thickBot="1">
      <c r="A20" s="317"/>
      <c r="B20" s="318"/>
      <c r="C20" s="318"/>
      <c r="D20" s="318"/>
      <c r="E20" s="318"/>
      <c r="F20" s="318"/>
      <c r="G20" s="318"/>
      <c r="H20" s="318" t="str">
        <f>CONCATENATE("+",RIGHT('Personal File'!$B$5,1)+RIGHT('Personal File'!$C$8)+D20+1)</f>
        <v>+14</v>
      </c>
      <c r="I20" s="12">
        <f ca="1">RANDBETWEEN(1,20)</f>
        <v>1</v>
      </c>
      <c r="J20" s="427">
        <f t="shared" ca="1" si="8"/>
        <v>15</v>
      </c>
      <c r="K20" s="386" t="s">
        <v>161</v>
      </c>
      <c r="M20" s="345">
        <v>6000</v>
      </c>
      <c r="N20" s="164"/>
    </row>
    <row r="21" spans="1:14" ht="16.8" thickTop="1" thickBot="1">
      <c r="D21" s="149"/>
      <c r="E21" s="149"/>
      <c r="G21" s="150"/>
      <c r="H21" s="150"/>
      <c r="I21" s="150"/>
      <c r="J21" s="150"/>
      <c r="M21" s="150"/>
    </row>
    <row r="22" spans="1:14" ht="16.8" thickTop="1" thickBot="1">
      <c r="A22" s="140" t="s">
        <v>71</v>
      </c>
      <c r="B22" s="141" t="s">
        <v>17</v>
      </c>
      <c r="C22" s="141" t="s">
        <v>34</v>
      </c>
      <c r="D22" s="141" t="s">
        <v>81</v>
      </c>
      <c r="E22" s="141" t="s">
        <v>82</v>
      </c>
      <c r="F22" s="141" t="s">
        <v>83</v>
      </c>
      <c r="G22" s="141" t="s">
        <v>27</v>
      </c>
      <c r="H22" s="151" t="s">
        <v>79</v>
      </c>
      <c r="I22" s="152"/>
      <c r="J22" s="152"/>
      <c r="K22" s="153"/>
      <c r="M22" s="147" t="s">
        <v>113</v>
      </c>
    </row>
    <row r="23" spans="1:14">
      <c r="A23" s="340" t="s">
        <v>179</v>
      </c>
      <c r="B23" s="290">
        <v>7</v>
      </c>
      <c r="C23" s="290">
        <v>6</v>
      </c>
      <c r="D23" s="290">
        <v>0</v>
      </c>
      <c r="E23" s="341">
        <v>0.1</v>
      </c>
      <c r="F23" s="290" t="s">
        <v>188</v>
      </c>
      <c r="G23" s="294">
        <v>10</v>
      </c>
      <c r="H23" s="154" t="s">
        <v>178</v>
      </c>
      <c r="I23" s="154"/>
      <c r="J23" s="154"/>
      <c r="K23" s="155"/>
      <c r="M23" s="342">
        <v>10100</v>
      </c>
      <c r="N23" s="164"/>
    </row>
    <row r="24" spans="1:14">
      <c r="A24" s="322" t="s">
        <v>147</v>
      </c>
      <c r="B24" s="13">
        <v>1</v>
      </c>
      <c r="C24" s="13" t="s">
        <v>146</v>
      </c>
      <c r="D24" s="13" t="s">
        <v>146</v>
      </c>
      <c r="E24" s="323" t="s">
        <v>146</v>
      </c>
      <c r="F24" s="13" t="s">
        <v>146</v>
      </c>
      <c r="G24" s="14">
        <v>0</v>
      </c>
      <c r="H24" s="324"/>
      <c r="I24" s="247"/>
      <c r="J24" s="247"/>
      <c r="K24" s="248"/>
      <c r="M24" s="344">
        <v>1000</v>
      </c>
      <c r="N24" s="164"/>
    </row>
    <row r="25" spans="1:14">
      <c r="A25" s="322" t="s">
        <v>147</v>
      </c>
      <c r="B25" s="13">
        <v>1</v>
      </c>
      <c r="C25" s="13" t="s">
        <v>146</v>
      </c>
      <c r="D25" s="13" t="s">
        <v>146</v>
      </c>
      <c r="E25" s="323" t="s">
        <v>146</v>
      </c>
      <c r="F25" s="13" t="s">
        <v>146</v>
      </c>
      <c r="G25" s="14">
        <v>0</v>
      </c>
      <c r="H25" s="324"/>
      <c r="I25" s="247"/>
      <c r="J25" s="247"/>
      <c r="K25" s="248"/>
      <c r="M25" s="344">
        <v>1000</v>
      </c>
      <c r="N25" s="164"/>
    </row>
    <row r="26" spans="1:14" ht="16.2" thickBot="1">
      <c r="A26" s="217" t="s">
        <v>177</v>
      </c>
      <c r="B26" s="218">
        <v>1</v>
      </c>
      <c r="C26" s="219" t="s">
        <v>146</v>
      </c>
      <c r="D26" s="218" t="s">
        <v>146</v>
      </c>
      <c r="E26" s="220" t="s">
        <v>146</v>
      </c>
      <c r="F26" s="218" t="s">
        <v>146</v>
      </c>
      <c r="G26" s="199">
        <v>0</v>
      </c>
      <c r="H26" s="221"/>
      <c r="I26" s="222"/>
      <c r="J26" s="222"/>
      <c r="K26" s="156"/>
      <c r="L26" s="216"/>
      <c r="M26" s="345">
        <v>2000</v>
      </c>
      <c r="N26" s="164"/>
    </row>
    <row r="27" spans="1:14" ht="16.8" thickTop="1" thickBot="1">
      <c r="M27" s="148"/>
    </row>
    <row r="28" spans="1:14" ht="16.8" thickTop="1" thickBot="1">
      <c r="A28" s="157"/>
      <c r="B28" s="150"/>
      <c r="C28" s="158" t="s">
        <v>72</v>
      </c>
      <c r="D28" s="152"/>
      <c r="E28" s="159"/>
      <c r="F28" s="151" t="s">
        <v>6</v>
      </c>
      <c r="G28" s="141" t="s">
        <v>27</v>
      </c>
      <c r="H28" s="143" t="s">
        <v>92</v>
      </c>
      <c r="I28" s="151" t="s">
        <v>79</v>
      </c>
      <c r="J28" s="152"/>
      <c r="K28" s="153"/>
      <c r="M28" s="147" t="s">
        <v>113</v>
      </c>
    </row>
    <row r="29" spans="1:14">
      <c r="A29" s="157"/>
      <c r="B29" s="150"/>
      <c r="C29" s="160" t="s">
        <v>139</v>
      </c>
      <c r="D29" s="161"/>
      <c r="E29" s="209"/>
      <c r="F29" s="202">
        <v>100</v>
      </c>
      <c r="G29" s="198">
        <f t="shared" ref="G29" si="9">(F29*3)/20</f>
        <v>15</v>
      </c>
      <c r="H29" s="203" t="s">
        <v>62</v>
      </c>
      <c r="I29" s="204"/>
      <c r="J29" s="162"/>
      <c r="K29" s="163"/>
      <c r="L29" s="164"/>
      <c r="M29" s="346">
        <f t="shared" ref="M29" si="10">(L29*3)/20</f>
        <v>0</v>
      </c>
      <c r="N29" s="164"/>
    </row>
    <row r="30" spans="1:14">
      <c r="A30" s="157"/>
      <c r="B30" s="150"/>
      <c r="C30" s="265" t="s">
        <v>157</v>
      </c>
      <c r="D30" s="266"/>
      <c r="E30" s="267"/>
      <c r="F30" s="268">
        <v>1</v>
      </c>
      <c r="G30" s="14">
        <v>1</v>
      </c>
      <c r="H30" s="269" t="s">
        <v>62</v>
      </c>
      <c r="I30" s="206"/>
      <c r="J30" s="270"/>
      <c r="K30" s="271"/>
      <c r="L30" s="164"/>
      <c r="M30" s="333">
        <v>1800</v>
      </c>
      <c r="N30" s="164"/>
    </row>
    <row r="31" spans="1:14">
      <c r="A31" s="157"/>
      <c r="B31" s="150"/>
      <c r="C31" s="265" t="s">
        <v>164</v>
      </c>
      <c r="D31" s="266"/>
      <c r="E31" s="267"/>
      <c r="F31" s="268">
        <v>15</v>
      </c>
      <c r="G31" s="14">
        <f>(F31*3)/10</f>
        <v>4.5</v>
      </c>
      <c r="H31" s="269" t="s">
        <v>62</v>
      </c>
      <c r="I31" s="206"/>
      <c r="J31" s="270"/>
      <c r="K31" s="271"/>
      <c r="L31" s="164"/>
      <c r="M31" s="333">
        <f t="shared" ref="M31:M32" si="11">F31*25</f>
        <v>375</v>
      </c>
      <c r="N31" s="164"/>
    </row>
    <row r="32" spans="1:14">
      <c r="A32" s="157"/>
      <c r="B32" s="150"/>
      <c r="C32" s="265" t="s">
        <v>163</v>
      </c>
      <c r="D32" s="266"/>
      <c r="E32" s="267"/>
      <c r="F32" s="268">
        <v>50</v>
      </c>
      <c r="G32" s="14">
        <f>(F32*3)/10</f>
        <v>15</v>
      </c>
      <c r="H32" s="269" t="s">
        <v>62</v>
      </c>
      <c r="I32" s="206"/>
      <c r="J32" s="270"/>
      <c r="K32" s="271"/>
      <c r="L32" s="164"/>
      <c r="M32" s="333">
        <f t="shared" si="11"/>
        <v>1250</v>
      </c>
      <c r="N32" s="164"/>
    </row>
    <row r="33" spans="1:14" ht="16.2" thickBot="1">
      <c r="A33" s="164"/>
      <c r="C33" s="165" t="s">
        <v>151</v>
      </c>
      <c r="D33" s="166"/>
      <c r="E33" s="244"/>
      <c r="F33" s="250">
        <v>40</v>
      </c>
      <c r="G33" s="199">
        <f t="shared" ref="G33" si="12">(F33*3)/20</f>
        <v>6</v>
      </c>
      <c r="H33" s="201" t="s">
        <v>62</v>
      </c>
      <c r="I33" s="205"/>
      <c r="J33" s="167"/>
      <c r="K33" s="168"/>
      <c r="L33" s="164"/>
      <c r="M33" s="345">
        <v>0</v>
      </c>
      <c r="N33" s="164"/>
    </row>
    <row r="34" spans="1:14" ht="16.8" thickTop="1" thickBot="1"/>
    <row r="35" spans="1:14" ht="16.8" thickTop="1" thickBot="1">
      <c r="C35" s="158" t="s">
        <v>101</v>
      </c>
      <c r="D35" s="152"/>
      <c r="E35" s="152"/>
      <c r="F35" s="152"/>
      <c r="G35" s="169" t="s">
        <v>6</v>
      </c>
      <c r="H35" s="169" t="s">
        <v>4</v>
      </c>
      <c r="I35" s="169" t="s">
        <v>102</v>
      </c>
      <c r="J35" s="151" t="s">
        <v>79</v>
      </c>
      <c r="K35" s="153"/>
      <c r="M35" s="147" t="s">
        <v>113</v>
      </c>
    </row>
    <row r="36" spans="1:14">
      <c r="C36" s="170" t="s">
        <v>144</v>
      </c>
      <c r="D36" s="171"/>
      <c r="E36" s="171"/>
      <c r="F36" s="242"/>
      <c r="G36" s="207">
        <v>2</v>
      </c>
      <c r="H36" s="200">
        <v>1</v>
      </c>
      <c r="I36" s="200">
        <v>1</v>
      </c>
      <c r="J36" s="204"/>
      <c r="K36" s="172"/>
      <c r="M36" s="346">
        <f t="shared" ref="M36" si="13">G36*25</f>
        <v>50</v>
      </c>
      <c r="N36" s="164"/>
    </row>
    <row r="37" spans="1:14">
      <c r="C37" s="173" t="s">
        <v>162</v>
      </c>
      <c r="D37" s="174"/>
      <c r="E37" s="174"/>
      <c r="F37" s="243"/>
      <c r="G37" s="208">
        <v>3</v>
      </c>
      <c r="H37" s="13">
        <v>2</v>
      </c>
      <c r="I37" s="13">
        <v>4</v>
      </c>
      <c r="J37" s="206"/>
      <c r="K37" s="175"/>
      <c r="M37" s="344">
        <f>G37*150</f>
        <v>450</v>
      </c>
      <c r="N37" s="164"/>
    </row>
    <row r="38" spans="1:14" ht="16.2" thickBot="1">
      <c r="C38" s="224" t="s">
        <v>184</v>
      </c>
      <c r="D38" s="166"/>
      <c r="E38" s="166"/>
      <c r="F38" s="244"/>
      <c r="G38" s="225" t="s">
        <v>108</v>
      </c>
      <c r="H38" s="380"/>
      <c r="I38" s="380"/>
      <c r="J38" s="381"/>
      <c r="K38" s="382"/>
      <c r="M38" s="338"/>
      <c r="N38" s="164"/>
    </row>
    <row r="39" spans="1:14" ht="16.2" thickTop="1"/>
    <row r="40" spans="1:14">
      <c r="K40" s="45" t="s">
        <v>114</v>
      </c>
      <c r="M40" s="336">
        <f>SUM(M3:M38,Equipment!B3:B25)</f>
        <v>49145</v>
      </c>
    </row>
  </sheetData>
  <sortState ref="A3:K6">
    <sortCondition ref="A3:A6"/>
  </sortState>
  <phoneticPr fontId="0" type="noConversion"/>
  <conditionalFormatting sqref="B26">
    <cfRule type="cellIs" dxfId="24" priority="59" operator="equal">
      <formula>2</formula>
    </cfRule>
  </conditionalFormatting>
  <conditionalFormatting sqref="I6">
    <cfRule type="cellIs" dxfId="23" priority="55" operator="equal">
      <formula>20</formula>
    </cfRule>
    <cfRule type="cellIs" dxfId="22" priority="56" operator="equal">
      <formula>1</formula>
    </cfRule>
  </conditionalFormatting>
  <conditionalFormatting sqref="I9 I11:I12">
    <cfRule type="cellIs" dxfId="21" priority="21" operator="equal">
      <formula>20</formula>
    </cfRule>
    <cfRule type="cellIs" dxfId="20" priority="22" operator="equal">
      <formula>1</formula>
    </cfRule>
  </conditionalFormatting>
  <conditionalFormatting sqref="I3:I4">
    <cfRule type="cellIs" dxfId="19" priority="19" operator="equal">
      <formula>20</formula>
    </cfRule>
    <cfRule type="cellIs" dxfId="18" priority="20" operator="equal">
      <formula>1</formula>
    </cfRule>
  </conditionalFormatting>
  <conditionalFormatting sqref="I5">
    <cfRule type="cellIs" dxfId="17" priority="17" operator="equal">
      <formula>20</formula>
    </cfRule>
    <cfRule type="cellIs" dxfId="16" priority="18" operator="equal">
      <formula>1</formula>
    </cfRule>
  </conditionalFormatting>
  <conditionalFormatting sqref="I4">
    <cfRule type="cellIs" dxfId="15" priority="15" operator="equal">
      <formula>20</formula>
    </cfRule>
    <cfRule type="cellIs" dxfId="14" priority="16" operator="equal">
      <formula>1</formula>
    </cfRule>
  </conditionalFormatting>
  <conditionalFormatting sqref="I10">
    <cfRule type="cellIs" dxfId="13" priority="13" operator="equal">
      <formula>20</formula>
    </cfRule>
    <cfRule type="cellIs" dxfId="12" priority="14" operator="equal">
      <formula>1</formula>
    </cfRule>
  </conditionalFormatting>
  <conditionalFormatting sqref="I13:I14">
    <cfRule type="cellIs" dxfId="11" priority="11" operator="equal">
      <formula>20</formula>
    </cfRule>
    <cfRule type="cellIs" dxfId="10" priority="12" operator="equal">
      <formula>1</formula>
    </cfRule>
  </conditionalFormatting>
  <conditionalFormatting sqref="I15 I17:I18">
    <cfRule type="cellIs" dxfId="9" priority="9" operator="equal">
      <formula>20</formula>
    </cfRule>
    <cfRule type="cellIs" dxfId="8" priority="10" operator="equal">
      <formula>1</formula>
    </cfRule>
  </conditionalFormatting>
  <conditionalFormatting sqref="I16">
    <cfRule type="cellIs" dxfId="7" priority="7" operator="equal">
      <formula>20</formula>
    </cfRule>
    <cfRule type="cellIs" dxfId="6" priority="8" operator="equal">
      <formula>1</formula>
    </cfRule>
  </conditionalFormatting>
  <conditionalFormatting sqref="I19">
    <cfRule type="cellIs" dxfId="5" priority="5" operator="equal">
      <formula>20</formula>
    </cfRule>
    <cfRule type="cellIs" dxfId="4" priority="6" operator="equal">
      <formula>1</formula>
    </cfRule>
  </conditionalFormatting>
  <conditionalFormatting sqref="I13">
    <cfRule type="cellIs" dxfId="3" priority="3" operator="equal">
      <formula>20</formula>
    </cfRule>
    <cfRule type="cellIs" dxfId="2" priority="4" operator="equal">
      <formula>1</formula>
    </cfRule>
  </conditionalFormatting>
  <conditionalFormatting sqref="I2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showGridLines="0" workbookViewId="0"/>
  </sheetViews>
  <sheetFormatPr defaultColWidth="13" defaultRowHeight="15.6"/>
  <cols>
    <col min="1" max="1" width="28.09765625" style="148" bestFit="1" customWidth="1"/>
    <col min="2" max="2" width="4.8984375" style="148" bestFit="1" customWidth="1"/>
    <col min="3" max="3" width="5.59765625" style="150" bestFit="1" customWidth="1"/>
    <col min="4" max="5" width="26.59765625" style="17" customWidth="1"/>
    <col min="6" max="6" width="1.69921875" style="148" bestFit="1" customWidth="1"/>
    <col min="7" max="7" width="8.296875" style="17" bestFit="1" customWidth="1"/>
    <col min="8" max="16384" width="13" style="17"/>
  </cols>
  <sheetData>
    <row r="1" spans="1:7" ht="23.4" thickBot="1">
      <c r="A1" s="139" t="s">
        <v>76</v>
      </c>
      <c r="B1" s="139"/>
      <c r="C1" s="176"/>
      <c r="D1" s="139"/>
      <c r="E1" s="139"/>
    </row>
    <row r="2" spans="1:7" s="148" customFormat="1" ht="16.8" thickTop="1" thickBot="1">
      <c r="A2" s="177" t="s">
        <v>77</v>
      </c>
      <c r="B2" s="177" t="s">
        <v>6</v>
      </c>
      <c r="C2" s="178" t="s">
        <v>27</v>
      </c>
      <c r="D2" s="179" t="s">
        <v>78</v>
      </c>
      <c r="E2" s="180" t="s">
        <v>79</v>
      </c>
      <c r="G2" s="213" t="s">
        <v>113</v>
      </c>
    </row>
    <row r="3" spans="1:7">
      <c r="A3" s="181" t="s">
        <v>120</v>
      </c>
      <c r="B3" s="182">
        <v>1</v>
      </c>
      <c r="C3" s="183">
        <v>2</v>
      </c>
      <c r="D3" s="184"/>
      <c r="E3" s="185"/>
      <c r="F3" s="164"/>
      <c r="G3" s="333">
        <v>2</v>
      </c>
    </row>
    <row r="4" spans="1:7">
      <c r="A4" s="195" t="s">
        <v>145</v>
      </c>
      <c r="B4" s="182">
        <v>1</v>
      </c>
      <c r="C4" s="183">
        <v>1</v>
      </c>
      <c r="D4" s="245"/>
      <c r="E4" s="185"/>
      <c r="F4" s="164"/>
      <c r="G4" s="334">
        <v>1000</v>
      </c>
    </row>
    <row r="5" spans="1:7">
      <c r="A5" s="330" t="s">
        <v>170</v>
      </c>
      <c r="B5" s="331">
        <v>1</v>
      </c>
      <c r="C5" s="183">
        <v>0</v>
      </c>
      <c r="D5" s="332"/>
      <c r="E5" s="328"/>
      <c r="F5" s="210"/>
      <c r="G5" s="334">
        <v>3600</v>
      </c>
    </row>
    <row r="6" spans="1:7">
      <c r="A6" s="330" t="s">
        <v>181</v>
      </c>
      <c r="B6" s="354">
        <v>1</v>
      </c>
      <c r="C6" s="183">
        <v>1</v>
      </c>
      <c r="D6" s="332"/>
      <c r="E6" s="328"/>
      <c r="F6" s="210"/>
      <c r="G6" s="334">
        <v>4000</v>
      </c>
    </row>
    <row r="7" spans="1:7">
      <c r="A7" s="192" t="s">
        <v>176</v>
      </c>
      <c r="B7" s="339">
        <v>1</v>
      </c>
      <c r="C7" s="194">
        <v>0</v>
      </c>
      <c r="D7" s="332"/>
      <c r="E7" s="328"/>
      <c r="F7" s="164"/>
      <c r="G7" s="334">
        <v>3000</v>
      </c>
    </row>
    <row r="8" spans="1:7" ht="16.2" thickBot="1">
      <c r="A8" s="186" t="s">
        <v>122</v>
      </c>
      <c r="B8" s="11">
        <v>1</v>
      </c>
      <c r="C8" s="187">
        <v>0.5</v>
      </c>
      <c r="D8" s="188"/>
      <c r="E8" s="189"/>
      <c r="G8" s="335">
        <v>1</v>
      </c>
    </row>
    <row r="9" spans="1:7" ht="24" thickTop="1" thickBot="1">
      <c r="A9" s="139" t="s">
        <v>80</v>
      </c>
      <c r="B9" s="139"/>
      <c r="C9" s="190"/>
      <c r="D9" s="139"/>
      <c r="E9" s="191"/>
      <c r="F9" s="164"/>
      <c r="G9" s="373"/>
    </row>
    <row r="10" spans="1:7" ht="16.8" thickTop="1" thickBot="1">
      <c r="A10" s="177" t="s">
        <v>77</v>
      </c>
      <c r="B10" s="177" t="s">
        <v>6</v>
      </c>
      <c r="C10" s="178" t="s">
        <v>27</v>
      </c>
      <c r="D10" s="179" t="s">
        <v>78</v>
      </c>
      <c r="E10" s="180" t="s">
        <v>79</v>
      </c>
      <c r="F10" s="164"/>
      <c r="G10" s="337" t="s">
        <v>113</v>
      </c>
    </row>
    <row r="11" spans="1:7">
      <c r="A11" s="192" t="s">
        <v>121</v>
      </c>
      <c r="B11" s="193">
        <v>1</v>
      </c>
      <c r="C11" s="194">
        <v>0</v>
      </c>
      <c r="D11" s="374"/>
      <c r="E11" s="375"/>
      <c r="F11" s="164"/>
      <c r="G11" s="333">
        <v>1</v>
      </c>
    </row>
    <row r="12" spans="1:7">
      <c r="A12" s="195" t="s">
        <v>148</v>
      </c>
      <c r="B12" s="193">
        <v>1</v>
      </c>
      <c r="C12" s="194">
        <v>1</v>
      </c>
      <c r="D12" s="374"/>
      <c r="E12" s="375"/>
      <c r="F12" s="164"/>
      <c r="G12" s="333">
        <v>110</v>
      </c>
    </row>
    <row r="13" spans="1:7">
      <c r="A13" s="195" t="s">
        <v>123</v>
      </c>
      <c r="B13" s="193">
        <v>1</v>
      </c>
      <c r="C13" s="183">
        <v>0.5</v>
      </c>
      <c r="D13" s="374"/>
      <c r="E13" s="375"/>
      <c r="F13" s="164"/>
      <c r="G13" s="333">
        <v>0</v>
      </c>
    </row>
    <row r="14" spans="1:7">
      <c r="A14" s="195" t="s">
        <v>174</v>
      </c>
      <c r="B14" s="193">
        <v>0</v>
      </c>
      <c r="C14" s="183">
        <f>B14/100</f>
        <v>0</v>
      </c>
      <c r="D14" s="327"/>
      <c r="E14" s="328"/>
      <c r="F14" s="210"/>
      <c r="G14" s="329">
        <f>B14</f>
        <v>0</v>
      </c>
    </row>
    <row r="15" spans="1:7" ht="16.2" thickBot="1">
      <c r="A15" s="196" t="s">
        <v>158</v>
      </c>
      <c r="B15" s="11">
        <v>1</v>
      </c>
      <c r="C15" s="197">
        <v>0</v>
      </c>
      <c r="D15" s="214"/>
      <c r="E15" s="189"/>
      <c r="F15" s="164"/>
      <c r="G15" s="338">
        <v>0</v>
      </c>
    </row>
    <row r="16" spans="1:7" ht="24" thickTop="1" thickBot="1">
      <c r="A16" s="357"/>
      <c r="B16" s="358"/>
      <c r="C16" s="359" t="s">
        <v>182</v>
      </c>
      <c r="D16" s="360"/>
      <c r="E16" s="356"/>
      <c r="F16" s="164"/>
      <c r="G16" s="212"/>
    </row>
    <row r="17" spans="1:7" ht="16.8" thickTop="1" thickBot="1">
      <c r="A17" s="361" t="s">
        <v>77</v>
      </c>
      <c r="B17" s="177" t="s">
        <v>6</v>
      </c>
      <c r="C17" s="178" t="s">
        <v>27</v>
      </c>
      <c r="D17" s="362" t="s">
        <v>78</v>
      </c>
      <c r="E17" s="363" t="s">
        <v>79</v>
      </c>
      <c r="F17" s="164"/>
      <c r="G17" s="213" t="s">
        <v>113</v>
      </c>
    </row>
    <row r="18" spans="1:7">
      <c r="A18" s="364"/>
      <c r="B18" s="376"/>
      <c r="C18" s="183"/>
      <c r="D18" s="365"/>
      <c r="E18" s="366"/>
      <c r="F18" s="164"/>
      <c r="G18" s="333"/>
    </row>
    <row r="19" spans="1:7">
      <c r="A19" s="367"/>
      <c r="B19" s="331"/>
      <c r="C19" s="183"/>
      <c r="D19" s="368"/>
      <c r="E19" s="369"/>
      <c r="F19" s="164"/>
      <c r="G19" s="334"/>
    </row>
    <row r="20" spans="1:7">
      <c r="A20" s="367"/>
      <c r="B20" s="331"/>
      <c r="C20" s="183"/>
      <c r="D20" s="368"/>
      <c r="E20" s="369"/>
      <c r="F20" s="164"/>
      <c r="G20" s="334"/>
    </row>
    <row r="21" spans="1:7">
      <c r="A21" s="367"/>
      <c r="B21" s="331"/>
      <c r="C21" s="183"/>
      <c r="D21" s="368"/>
      <c r="E21" s="369"/>
      <c r="F21" s="164"/>
      <c r="G21" s="334"/>
    </row>
    <row r="22" spans="1:7">
      <c r="A22" s="367"/>
      <c r="B22" s="193"/>
      <c r="C22" s="194"/>
      <c r="D22" s="368"/>
      <c r="E22" s="369"/>
      <c r="F22" s="164"/>
      <c r="G22" s="334"/>
    </row>
    <row r="23" spans="1:7">
      <c r="A23" s="367"/>
      <c r="B23" s="193"/>
      <c r="C23" s="194"/>
      <c r="D23" s="368"/>
      <c r="E23" s="369"/>
      <c r="F23" s="164"/>
      <c r="G23" s="334"/>
    </row>
    <row r="24" spans="1:7">
      <c r="A24" s="367"/>
      <c r="B24" s="193"/>
      <c r="C24" s="194"/>
      <c r="D24" s="368"/>
      <c r="E24" s="369"/>
      <c r="F24" s="164"/>
      <c r="G24" s="334"/>
    </row>
    <row r="25" spans="1:7">
      <c r="A25" s="367"/>
      <c r="B25" s="193"/>
      <c r="C25" s="194"/>
      <c r="D25" s="368"/>
      <c r="E25" s="369"/>
      <c r="F25" s="164"/>
      <c r="G25" s="334"/>
    </row>
    <row r="26" spans="1:7" ht="16.2" thickBot="1">
      <c r="A26" s="370"/>
      <c r="B26" s="11"/>
      <c r="C26" s="187"/>
      <c r="D26" s="371"/>
      <c r="E26" s="372"/>
      <c r="F26" s="164"/>
      <c r="G26" s="338"/>
    </row>
    <row r="27" spans="1:7" ht="16.2" thickTop="1">
      <c r="A27" s="377"/>
      <c r="B27" s="357" t="s">
        <v>183</v>
      </c>
      <c r="C27" s="355">
        <f>(SUM(C18:C26)/600)*5</f>
        <v>0</v>
      </c>
      <c r="D27" s="378"/>
      <c r="E27" s="379"/>
      <c r="F27" s="164"/>
      <c r="G27" s="212"/>
    </row>
    <row r="28" spans="1:7">
      <c r="B28" s="347"/>
      <c r="E28" s="211" t="s">
        <v>115</v>
      </c>
      <c r="F28" s="210"/>
      <c r="G28" s="389">
        <f>SUM(G3:G25,Martial!M3:M38)</f>
        <v>60849</v>
      </c>
    </row>
    <row r="29" spans="1:7">
      <c r="E29" s="211" t="s">
        <v>175</v>
      </c>
      <c r="F29" s="210"/>
      <c r="G29" s="389">
        <v>66000</v>
      </c>
    </row>
    <row r="30" spans="1:7">
      <c r="E30" s="45" t="s">
        <v>210</v>
      </c>
      <c r="F30" s="210"/>
      <c r="G30" s="389">
        <f>G29-G28</f>
        <v>5151</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22" bestFit="1" customWidth="1"/>
    <col min="2" max="2" width="9.5" style="407" customWidth="1"/>
    <col min="3" max="3" width="6.3984375" style="22" customWidth="1"/>
    <col min="4" max="16384" width="9" style="22"/>
  </cols>
  <sheetData>
    <row r="1" spans="1:3">
      <c r="A1" s="394" t="s">
        <v>191</v>
      </c>
      <c r="B1" s="395" t="s">
        <v>143</v>
      </c>
      <c r="C1" s="396" t="s">
        <v>192</v>
      </c>
    </row>
    <row r="2" spans="1:3">
      <c r="A2" s="397" t="s">
        <v>193</v>
      </c>
      <c r="B2" s="398" t="s">
        <v>194</v>
      </c>
      <c r="C2" s="399">
        <v>0.1</v>
      </c>
    </row>
    <row r="3" spans="1:3">
      <c r="A3" s="431" t="s">
        <v>230</v>
      </c>
      <c r="B3" s="398" t="s">
        <v>225</v>
      </c>
      <c r="C3" s="399">
        <v>0.08</v>
      </c>
    </row>
    <row r="4" spans="1:3">
      <c r="A4" s="397" t="s">
        <v>195</v>
      </c>
      <c r="B4" s="398" t="s">
        <v>225</v>
      </c>
      <c r="C4" s="399">
        <v>0.08</v>
      </c>
    </row>
    <row r="5" spans="1:3">
      <c r="A5" s="397" t="s">
        <v>209</v>
      </c>
      <c r="B5" s="398" t="s">
        <v>226</v>
      </c>
      <c r="C5" s="399">
        <v>0.02</v>
      </c>
    </row>
    <row r="6" spans="1:3">
      <c r="A6" s="397" t="s">
        <v>196</v>
      </c>
      <c r="B6" s="398" t="s">
        <v>226</v>
      </c>
      <c r="C6" s="399">
        <v>0.02</v>
      </c>
    </row>
    <row r="7" spans="1:3">
      <c r="A7" s="397" t="s">
        <v>197</v>
      </c>
      <c r="B7" s="398" t="s">
        <v>225</v>
      </c>
      <c r="C7" s="399">
        <v>0.08</v>
      </c>
    </row>
    <row r="8" spans="1:3">
      <c r="A8" s="397" t="s">
        <v>198</v>
      </c>
      <c r="B8" s="398" t="s">
        <v>194</v>
      </c>
      <c r="C8" s="399">
        <v>0.1</v>
      </c>
    </row>
    <row r="9" spans="1:3">
      <c r="A9" s="397" t="s">
        <v>199</v>
      </c>
      <c r="B9" s="398" t="s">
        <v>194</v>
      </c>
      <c r="C9" s="399">
        <v>0.1</v>
      </c>
    </row>
    <row r="10" spans="1:3">
      <c r="A10" s="397" t="s">
        <v>200</v>
      </c>
      <c r="B10" s="398" t="s">
        <v>225</v>
      </c>
      <c r="C10" s="399">
        <v>0.08</v>
      </c>
    </row>
    <row r="11" spans="1:3">
      <c r="A11" s="397" t="s">
        <v>201</v>
      </c>
      <c r="B11" s="398" t="s">
        <v>194</v>
      </c>
      <c r="C11" s="399">
        <v>0.1</v>
      </c>
    </row>
    <row r="12" spans="1:3">
      <c r="A12" s="394" t="s">
        <v>66</v>
      </c>
      <c r="B12" s="395"/>
      <c r="C12" s="396">
        <f>SUM(C2:C11)</f>
        <v>0.76</v>
      </c>
    </row>
    <row r="13" spans="1:3">
      <c r="A13" s="394"/>
      <c r="B13" s="395"/>
      <c r="C13" s="396"/>
    </row>
    <row r="14" spans="1:3">
      <c r="A14" s="394" t="s">
        <v>202</v>
      </c>
      <c r="B14" s="400">
        <v>0</v>
      </c>
      <c r="C14" s="401"/>
    </row>
    <row r="15" spans="1:3">
      <c r="A15" s="394" t="s">
        <v>203</v>
      </c>
      <c r="B15" s="400">
        <v>5000</v>
      </c>
      <c r="C15" s="401"/>
    </row>
    <row r="16" spans="1:3">
      <c r="A16" s="394" t="s">
        <v>204</v>
      </c>
      <c r="B16" s="402">
        <f>B15*C12/(1+B14)</f>
        <v>3800</v>
      </c>
      <c r="C16" s="401"/>
    </row>
    <row r="17" spans="1:3">
      <c r="A17" s="394" t="s">
        <v>205</v>
      </c>
      <c r="B17" s="403">
        <v>0</v>
      </c>
      <c r="C17" s="404"/>
    </row>
    <row r="18" spans="1:3">
      <c r="A18" s="394" t="s">
        <v>66</v>
      </c>
      <c r="B18" s="405">
        <f>SUM(B16:B17)</f>
        <v>3800</v>
      </c>
      <c r="C18" s="401"/>
    </row>
    <row r="19" spans="1:3">
      <c r="A19" s="394" t="s">
        <v>206</v>
      </c>
      <c r="B19" s="400">
        <v>58500</v>
      </c>
      <c r="C19" s="401"/>
    </row>
    <row r="20" spans="1:3">
      <c r="A20" s="394" t="s">
        <v>207</v>
      </c>
      <c r="B20" s="405">
        <f>SUM(B18:B19)</f>
        <v>62300</v>
      </c>
      <c r="C20" s="401"/>
    </row>
    <row r="22" spans="1:3">
      <c r="A22" s="406" t="s">
        <v>208</v>
      </c>
    </row>
    <row r="24" spans="1:3">
      <c r="A24" s="406"/>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XP Awards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2017-12-09T10:56:12Z</dcterms:modified>
</cp:coreProperties>
</file>