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516" yWindow="-12" windowWidth="6504" windowHeight="4740" tabRatio="638"/>
  </bookViews>
  <sheets>
    <sheet name="Personal File" sheetId="4" r:id="rId1"/>
    <sheet name="Skills" sheetId="15" r:id="rId2"/>
    <sheet name="Beguiler" sheetId="23" r:id="rId3"/>
    <sheet name="Spells" sheetId="22" r:id="rId4"/>
    <sheet name="Feats" sheetId="20" r:id="rId5"/>
    <sheet name="Martial" sheetId="6" r:id="rId6"/>
    <sheet name="Equipment" sheetId="19" r:id="rId7"/>
    <sheet name="XP Awards" sheetId="24" r:id="rId8"/>
  </sheets>
  <externalReferences>
    <externalReference r:id="rId9"/>
  </externalReferences>
  <definedNames>
    <definedName name="NoShade">'[1]Spell Sheet'!$FH$1</definedName>
    <definedName name="OLE_LINK1" localSheetId="4">Feats!#REF!</definedName>
    <definedName name="OLE_LINK1" localSheetId="3">Spells!#REF!</definedName>
    <definedName name="_xlnm.Print_Area" localSheetId="2">Beguiler!$A$1:$I$2</definedName>
    <definedName name="_xlnm.Print_Area" localSheetId="6">Equipment!#REF!</definedName>
    <definedName name="_xlnm.Print_Area" localSheetId="4">Feats!#REF!</definedName>
    <definedName name="_xlnm.Print_Area" localSheetId="5">Martial!#REF!</definedName>
    <definedName name="_xlnm.Print_Area" localSheetId="0">'Personal File'!$A$1:$H$56</definedName>
    <definedName name="_xlnm.Print_Area" localSheetId="1">Skills!$A$1:$K$28</definedName>
    <definedName name="_xlnm.Print_Area" localSheetId="3">Spells!#REF!</definedName>
  </definedNames>
  <calcPr calcId="145621"/>
</workbook>
</file>

<file path=xl/calcChain.xml><?xml version="1.0" encoding="utf-8"?>
<calcChain xmlns="http://schemas.openxmlformats.org/spreadsheetml/2006/main">
  <c r="M6" i="22" l="1"/>
  <c r="L6" i="22"/>
  <c r="H6" i="22" l="1"/>
  <c r="I6" i="22"/>
  <c r="J6" i="22"/>
  <c r="K6" i="22"/>
  <c r="B9" i="4" l="1"/>
  <c r="B8" i="4"/>
  <c r="H11" i="6" l="1"/>
  <c r="I11" i="6"/>
  <c r="J11" i="6" l="1"/>
  <c r="M24" i="6"/>
  <c r="B5" i="15" l="1"/>
  <c r="B6" i="4"/>
  <c r="B10" i="4" l="1"/>
  <c r="H35" i="15"/>
  <c r="E54" i="15"/>
  <c r="B1" i="24" l="1"/>
  <c r="C12" i="24"/>
  <c r="B16" i="24" s="1"/>
  <c r="B18" i="24" s="1"/>
  <c r="B20" i="24" s="1"/>
  <c r="E9" i="4" l="1"/>
  <c r="G20" i="6"/>
  <c r="I4" i="6"/>
  <c r="I9" i="6"/>
  <c r="C53" i="19" l="1"/>
  <c r="G53" i="19"/>
  <c r="C46" i="19"/>
  <c r="C47" i="19"/>
  <c r="G48" i="19"/>
  <c r="G47" i="19"/>
  <c r="G46" i="19"/>
  <c r="G33" i="19"/>
  <c r="C33" i="19"/>
  <c r="G13" i="19"/>
  <c r="C13" i="19"/>
  <c r="C20" i="19"/>
  <c r="G20" i="19"/>
  <c r="E15" i="6"/>
  <c r="D15" i="6"/>
  <c r="C15" i="6"/>
  <c r="B16" i="6"/>
  <c r="B15" i="6"/>
  <c r="C19" i="19" l="1"/>
  <c r="I8" i="6"/>
  <c r="I10" i="6"/>
  <c r="D3" i="22" l="1"/>
  <c r="D4" i="22"/>
  <c r="D5" i="22"/>
  <c r="D6" i="22"/>
  <c r="M5" i="22" l="1"/>
  <c r="H9" i="22"/>
  <c r="H12" i="6" s="1"/>
  <c r="L5" i="22"/>
  <c r="K5" i="22"/>
  <c r="J5" i="22"/>
  <c r="I5" i="22"/>
  <c r="H5" i="22"/>
  <c r="B4" i="15" l="1"/>
  <c r="B3" i="15"/>
  <c r="B43" i="15"/>
  <c r="H40" i="15"/>
  <c r="H39" i="15"/>
  <c r="H38" i="15"/>
  <c r="H37" i="15"/>
  <c r="H36"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B11" i="4" l="1"/>
  <c r="H42" i="15"/>
  <c r="B13" i="4"/>
  <c r="B12" i="4"/>
  <c r="H41" i="15" l="1"/>
  <c r="I12" i="6" l="1"/>
  <c r="I3" i="6" l="1"/>
  <c r="I5" i="6"/>
  <c r="H6" i="15" l="1"/>
  <c r="J12" i="6" l="1"/>
  <c r="G58" i="19"/>
  <c r="G60" i="19" s="1"/>
  <c r="C57" i="19"/>
  <c r="H4" i="15" l="1"/>
  <c r="H3" i="15"/>
  <c r="H5" i="15" l="1"/>
  <c r="C8" i="4" l="1"/>
  <c r="H3" i="6" l="1"/>
  <c r="J3" i="6" s="1"/>
  <c r="H4" i="6"/>
  <c r="J4" i="6" s="1"/>
  <c r="H5" i="6"/>
  <c r="J5" i="6" s="1"/>
  <c r="D9" i="15"/>
  <c r="C5" i="6"/>
  <c r="E9" i="15" l="1"/>
  <c r="G9" i="15"/>
  <c r="I9" i="15" s="1"/>
  <c r="C10" i="4"/>
  <c r="E10" i="4" s="1"/>
  <c r="D3" i="15" l="1"/>
  <c r="D10" i="15"/>
  <c r="C9" i="4"/>
  <c r="C11" i="4"/>
  <c r="C12" i="4"/>
  <c r="D5" i="15" s="1"/>
  <c r="C13" i="4"/>
  <c r="E11" i="4" l="1"/>
  <c r="E13" i="4" s="1"/>
  <c r="E12" i="4" s="1"/>
  <c r="H9" i="6"/>
  <c r="J9" i="6" s="1"/>
  <c r="H10" i="6"/>
  <c r="J10" i="6" s="1"/>
  <c r="H8" i="6"/>
  <c r="E53" i="15"/>
  <c r="E49" i="15"/>
  <c r="E45" i="15"/>
  <c r="E44" i="15"/>
  <c r="E52" i="15"/>
  <c r="E48" i="15"/>
  <c r="E51" i="15"/>
  <c r="E47" i="15"/>
  <c r="E50" i="15"/>
  <c r="E46" i="15"/>
  <c r="D8" i="15"/>
  <c r="D15" i="15"/>
  <c r="D13" i="15"/>
  <c r="G3" i="15"/>
  <c r="I3" i="15" s="1"/>
  <c r="E3" i="15"/>
  <c r="E10" i="15"/>
  <c r="G10" i="15"/>
  <c r="I10" i="15" s="1"/>
  <c r="D4" i="15"/>
  <c r="J8" i="6"/>
  <c r="D7" i="15"/>
  <c r="E5" i="15"/>
  <c r="G5" i="15"/>
  <c r="I5" i="15" s="1"/>
  <c r="D14" i="15"/>
  <c r="D6" i="15"/>
  <c r="D11" i="15"/>
  <c r="D12" i="15"/>
  <c r="B7" i="4"/>
  <c r="D25" i="15"/>
  <c r="E43" i="15" l="1"/>
  <c r="E13" i="15"/>
  <c r="G13" i="15"/>
  <c r="I13" i="15" s="1"/>
  <c r="G15" i="15"/>
  <c r="I15" i="15" s="1"/>
  <c r="E15" i="15"/>
  <c r="E8" i="15"/>
  <c r="G8" i="15"/>
  <c r="I8" i="15" s="1"/>
  <c r="E4" i="15"/>
  <c r="G4" i="15"/>
  <c r="I4" i="15" s="1"/>
  <c r="E7" i="15"/>
  <c r="G7" i="15"/>
  <c r="I7" i="15" s="1"/>
  <c r="E12" i="15"/>
  <c r="G12" i="15"/>
  <c r="I12" i="15" s="1"/>
  <c r="E6" i="15"/>
  <c r="G6" i="15"/>
  <c r="I6" i="15" s="1"/>
  <c r="G11" i="15"/>
  <c r="I11" i="15" s="1"/>
  <c r="E11" i="15"/>
  <c r="E14" i="15"/>
  <c r="G14" i="15"/>
  <c r="I14" i="15" s="1"/>
  <c r="E25" i="15"/>
  <c r="G25" i="15"/>
  <c r="I25" i="15" l="1"/>
  <c r="D30" i="15" l="1"/>
  <c r="E30" i="15" l="1"/>
  <c r="G30" i="15"/>
  <c r="D36" i="15"/>
  <c r="D19" i="15"/>
  <c r="D24" i="15"/>
  <c r="D38" i="15"/>
  <c r="D35" i="15"/>
  <c r="D40" i="15"/>
  <c r="D37" i="15"/>
  <c r="D39" i="15"/>
  <c r="D32" i="15"/>
  <c r="D41" i="15"/>
  <c r="D28" i="15"/>
  <c r="D34" i="15"/>
  <c r="D42" i="15"/>
  <c r="D33" i="15"/>
  <c r="D31" i="15"/>
  <c r="G31" i="15" s="1"/>
  <c r="I31" i="15" s="1"/>
  <c r="D29" i="15"/>
  <c r="D27" i="15"/>
  <c r="D26" i="15"/>
  <c r="D23" i="15"/>
  <c r="D22" i="15"/>
  <c r="D21" i="15"/>
  <c r="D20" i="15"/>
  <c r="D18" i="15"/>
  <c r="D17" i="15"/>
  <c r="D16" i="15"/>
  <c r="I30" i="15" l="1"/>
  <c r="E16" i="15"/>
  <c r="G16" i="15"/>
  <c r="E18" i="15"/>
  <c r="G18" i="15"/>
  <c r="E21" i="15"/>
  <c r="G21" i="15"/>
  <c r="E23" i="15"/>
  <c r="G23" i="15"/>
  <c r="E27" i="15"/>
  <c r="G27" i="15"/>
  <c r="E31" i="15"/>
  <c r="E42" i="15"/>
  <c r="G42" i="15"/>
  <c r="E28" i="15"/>
  <c r="G28" i="15"/>
  <c r="E32" i="15"/>
  <c r="G32" i="15"/>
  <c r="E37" i="15"/>
  <c r="G37" i="15"/>
  <c r="E38" i="15"/>
  <c r="G38" i="15"/>
  <c r="E19" i="15"/>
  <c r="G19" i="15"/>
  <c r="E17" i="15"/>
  <c r="G17" i="15"/>
  <c r="E20" i="15"/>
  <c r="G20" i="15"/>
  <c r="E22" i="15"/>
  <c r="G22" i="15"/>
  <c r="E26" i="15"/>
  <c r="G26" i="15"/>
  <c r="E29" i="15"/>
  <c r="G29" i="15"/>
  <c r="E33" i="15"/>
  <c r="G33" i="15"/>
  <c r="E34" i="15"/>
  <c r="G34" i="15"/>
  <c r="E41" i="15"/>
  <c r="G41" i="15"/>
  <c r="E39" i="15"/>
  <c r="G39" i="15"/>
  <c r="E40" i="15"/>
  <c r="G40" i="15"/>
  <c r="E35" i="15"/>
  <c r="G35" i="15"/>
  <c r="E24" i="15"/>
  <c r="G24" i="15"/>
  <c r="E36" i="15"/>
  <c r="G36" i="15"/>
  <c r="I36" i="15" l="1"/>
  <c r="I24" i="15"/>
  <c r="I35" i="15"/>
  <c r="I40" i="15"/>
  <c r="I39" i="15"/>
  <c r="I41" i="15"/>
  <c r="I34" i="15"/>
  <c r="I33" i="15"/>
  <c r="I29" i="15"/>
  <c r="I26" i="15"/>
  <c r="I22" i="15"/>
  <c r="I20" i="15"/>
  <c r="I17" i="15"/>
  <c r="I19" i="15"/>
  <c r="I38" i="15"/>
  <c r="I37" i="15"/>
  <c r="I32" i="15"/>
  <c r="I28" i="15"/>
  <c r="I42" i="15"/>
  <c r="I27" i="15"/>
  <c r="I23" i="15"/>
  <c r="I21" i="15"/>
  <c r="I18" i="15"/>
  <c r="I16" i="15"/>
</calcChain>
</file>

<file path=xl/comments1.xml><?xml version="1.0" encoding="utf-8"?>
<comments xmlns="http://schemas.openxmlformats.org/spreadsheetml/2006/main">
  <authors>
    <author>Alexis Álvarez</author>
  </authors>
  <commentList>
    <comment ref="C6" authorId="0">
      <text>
        <r>
          <rPr>
            <sz val="12"/>
            <color indexed="81"/>
            <rFont val="Times New Roman"/>
            <family val="1"/>
          </rPr>
          <t xml:space="preserve">BAB 4 +1 Small
</t>
        </r>
        <r>
          <rPr>
            <i/>
            <sz val="12"/>
            <color indexed="81"/>
            <rFont val="Times New Roman"/>
            <family val="1"/>
          </rPr>
          <t>haste +1        bless +1
shaken -2</t>
        </r>
      </text>
    </comment>
    <comment ref="E7" authorId="0">
      <text>
        <r>
          <rPr>
            <sz val="12"/>
            <color indexed="81"/>
            <rFont val="Times New Roman"/>
            <family val="1"/>
          </rPr>
          <t>Next level at 66,000 XPs</t>
        </r>
      </text>
    </comment>
    <comment ref="B8" authorId="0">
      <text>
        <r>
          <rPr>
            <i/>
            <sz val="12"/>
            <color indexed="81"/>
            <rFont val="Times New Roman"/>
            <family val="1"/>
          </rPr>
          <t>power word fatigue -2</t>
        </r>
      </text>
    </comment>
    <comment ref="E8" authorId="0">
      <text>
        <r>
          <rPr>
            <sz val="12"/>
            <color indexed="81"/>
            <rFont val="Times New Roman"/>
            <family val="1"/>
          </rPr>
          <t>See Raiment of the Four in MIC 203</t>
        </r>
      </text>
    </comment>
    <comment ref="B9" authorId="0">
      <text>
        <r>
          <rPr>
            <i/>
            <sz val="12"/>
            <color indexed="81"/>
            <rFont val="Times New Roman"/>
            <family val="1"/>
          </rPr>
          <t>power word fatigue -2</t>
        </r>
      </text>
    </comment>
    <comment ref="E9" authorId="0">
      <text>
        <r>
          <rPr>
            <sz val="12"/>
            <color indexed="81"/>
            <rFont val="Times New Roman"/>
            <family val="1"/>
          </rPr>
          <t>Haversack weighs 5 lbs.; included in the formula</t>
        </r>
      </text>
    </comment>
    <comment ref="E10" authorId="0">
      <text>
        <r>
          <rPr>
            <sz val="12"/>
            <color indexed="81"/>
            <rFont val="Times New Roman"/>
            <family val="1"/>
          </rPr>
          <t xml:space="preserve">   [(10 * 6 Beguiler) * 75%]
+ [(1 * 6 Visionary Seeker) * 75%]
+ (11 * 3 Con)</t>
        </r>
      </text>
    </comment>
    <comment ref="B11" authorId="0">
      <text>
        <r>
          <rPr>
            <i/>
            <sz val="12"/>
            <color indexed="81"/>
            <rFont val="Times New Roman"/>
            <family val="1"/>
          </rPr>
          <t>Headband of Intellect +2</t>
        </r>
      </text>
    </comment>
    <comment ref="E11" authorId="0">
      <text>
        <r>
          <rPr>
            <i/>
            <sz val="12"/>
            <color indexed="81"/>
            <rFont val="Times New Roman"/>
            <family val="1"/>
          </rPr>
          <t>+4 shield
+1 haste
+3 shield of faith</t>
        </r>
      </text>
    </comment>
    <comment ref="E12" authorId="0">
      <text>
        <r>
          <rPr>
            <b/>
            <i/>
            <sz val="12"/>
            <color indexed="81"/>
            <rFont val="Times New Roman"/>
            <family val="1"/>
          </rPr>
          <t>Bonuses drawn from the Martial tab</t>
        </r>
        <r>
          <rPr>
            <i/>
            <sz val="12"/>
            <color indexed="81"/>
            <rFont val="Times New Roman"/>
            <family val="1"/>
          </rPr>
          <t xml:space="preserve">
+4 mage armor
+6 greater mage armor</t>
        </r>
      </text>
    </comment>
  </commentList>
</comments>
</file>

<file path=xl/comments2.xml><?xml version="1.0" encoding="utf-8"?>
<comments xmlns="http://schemas.openxmlformats.org/spreadsheetml/2006/main">
  <authors>
    <author>Alexis Álvarez</author>
  </authors>
  <commentList>
    <comment ref="F3" authorId="0">
      <text>
        <r>
          <rPr>
            <sz val="12"/>
            <color indexed="81"/>
            <rFont val="Times New Roman"/>
            <family val="1"/>
          </rPr>
          <t>Cloak of Resistance +2</t>
        </r>
      </text>
    </comment>
    <comment ref="F4" authorId="0">
      <text>
        <r>
          <rPr>
            <sz val="12"/>
            <color indexed="81"/>
            <rFont val="Times New Roman"/>
            <family val="1"/>
          </rPr>
          <t>Cloak of Resistance +2</t>
        </r>
      </text>
    </comment>
    <comment ref="F5" authorId="0">
      <text>
        <r>
          <rPr>
            <sz val="12"/>
            <color indexed="81"/>
            <rFont val="Times New Roman"/>
            <family val="1"/>
          </rPr>
          <t>Cloak of Resistance +2</t>
        </r>
      </text>
    </comment>
    <comment ref="F13" authorId="0">
      <text>
        <r>
          <rPr>
            <sz val="12"/>
            <color indexed="81"/>
            <rFont val="Times New Roman"/>
            <family val="1"/>
          </rPr>
          <t>Synergy +4</t>
        </r>
      </text>
    </comment>
    <comment ref="F21" authorId="0">
      <text>
        <r>
          <rPr>
            <sz val="12"/>
            <color indexed="81"/>
            <rFont val="Times New Roman"/>
            <family val="1"/>
          </rPr>
          <t>Small +4</t>
        </r>
      </text>
    </comment>
    <comment ref="F26" authorId="0">
      <text>
        <r>
          <rPr>
            <sz val="12"/>
            <color indexed="81"/>
            <rFont val="Times New Roman"/>
            <family val="1"/>
          </rPr>
          <t>Gnome +2</t>
        </r>
      </text>
    </comment>
    <comment ref="F27" authorId="0">
      <text>
        <r>
          <rPr>
            <sz val="12"/>
            <color indexed="81"/>
            <rFont val="Times New Roman"/>
            <family val="1"/>
          </rPr>
          <t>Small +4</t>
        </r>
      </text>
    </comment>
    <comment ref="F34" authorId="0">
      <text>
        <r>
          <rPr>
            <sz val="12"/>
            <color indexed="81"/>
            <rFont val="Times New Roman"/>
            <family val="1"/>
          </rPr>
          <t>Bluff Synergy +2</t>
        </r>
      </text>
    </comment>
    <comment ref="F36" authorId="0">
      <text>
        <r>
          <rPr>
            <sz val="12"/>
            <color indexed="81"/>
            <rFont val="Times New Roman"/>
            <family val="1"/>
          </rPr>
          <t>Skill Focus +2</t>
        </r>
      </text>
    </comment>
    <comment ref="F37" authorId="0">
      <text>
        <r>
          <rPr>
            <sz val="12"/>
            <color indexed="81"/>
            <rFont val="Times New Roman"/>
            <family val="1"/>
          </rPr>
          <t>Gnome +2</t>
        </r>
      </text>
    </comment>
  </commentList>
</comments>
</file>

<file path=xl/comments3.xml><?xml version="1.0" encoding="utf-8"?>
<comments xmlns="http://schemas.openxmlformats.org/spreadsheetml/2006/main">
  <authors>
    <author>Alexis Álvarez</author>
  </authors>
  <commentList>
    <comment ref="D4" authorId="0">
      <text>
        <r>
          <rPr>
            <sz val="12"/>
            <color indexed="81"/>
            <rFont val="Times New Roman"/>
            <family val="1"/>
          </rPr>
          <t>Wool or fur</t>
        </r>
      </text>
    </comment>
    <comment ref="D6" authorId="0">
      <text>
        <r>
          <rPr>
            <sz val="12"/>
            <color indexed="81"/>
            <rFont val="Times New Roman"/>
            <family val="1"/>
          </rPr>
          <t>Wool or wax</t>
        </r>
      </text>
    </comment>
    <comment ref="D7" authorId="0">
      <text>
        <r>
          <rPr>
            <sz val="12"/>
            <color indexed="81"/>
            <rFont val="Times New Roman"/>
            <family val="1"/>
          </rPr>
          <t>Copper wire</t>
        </r>
      </text>
    </comment>
    <comment ref="D8" authorId="0">
      <text>
        <r>
          <rPr>
            <sz val="12"/>
            <color indexed="81"/>
            <rFont val="Times New Roman"/>
            <family val="1"/>
          </rPr>
          <t>Brass key</t>
        </r>
      </text>
    </comment>
    <comment ref="D9" authorId="0">
      <text>
        <r>
          <rPr>
            <sz val="12"/>
            <color indexed="81"/>
            <rFont val="Times New Roman"/>
            <family val="1"/>
          </rPr>
          <t>Prism, lens, or monocle</t>
        </r>
      </text>
    </comment>
    <comment ref="D11" authorId="0">
      <text>
        <r>
          <rPr>
            <sz val="12"/>
            <color indexed="81"/>
            <rFont val="Times New Roman"/>
            <family val="1"/>
          </rPr>
          <t>Pinch of red, yellow, and blue powder</t>
        </r>
      </text>
    </comment>
    <comment ref="D12" authorId="0">
      <text>
        <r>
          <rPr>
            <sz val="12"/>
            <color indexed="81"/>
            <rFont val="Times New Roman"/>
            <family val="1"/>
          </rPr>
          <t>Goblin's ear</t>
        </r>
      </text>
    </comment>
    <comment ref="D17" authorId="0">
      <text>
        <r>
          <rPr>
            <sz val="12"/>
            <color indexed="81"/>
            <rFont val="Times New Roman"/>
            <family val="1"/>
          </rPr>
          <t>Cured leather</t>
        </r>
      </text>
    </comment>
    <comment ref="D20" authorId="0">
      <text>
        <r>
          <rPr>
            <sz val="12"/>
            <color indexed="81"/>
            <rFont val="Times New Roman"/>
            <family val="1"/>
          </rPr>
          <t>Fleece</t>
        </r>
      </text>
    </comment>
    <comment ref="D21" authorId="0">
      <text>
        <r>
          <rPr>
            <sz val="12"/>
            <color indexed="81"/>
            <rFont val="Times New Roman"/>
            <family val="1"/>
          </rPr>
          <t>Sand, rose petals, or live cricket</t>
        </r>
      </text>
    </comment>
    <comment ref="D25" authorId="0">
      <text>
        <r>
          <rPr>
            <sz val="12"/>
            <color indexed="81"/>
            <rFont val="Times New Roman"/>
            <family val="1"/>
          </rPr>
          <t>Small prism</t>
        </r>
      </text>
    </comment>
    <comment ref="D27" authorId="0">
      <text>
        <r>
          <rPr>
            <sz val="12"/>
            <color indexed="81"/>
            <rFont val="Times New Roman"/>
            <family val="1"/>
          </rPr>
          <t>Wool</t>
        </r>
      </text>
    </comment>
    <comment ref="D28" authorId="0">
      <text>
        <r>
          <rPr>
            <sz val="12"/>
            <color indexed="81"/>
            <rFont val="Times New Roman"/>
            <family val="1"/>
          </rPr>
          <t>Copper piece</t>
        </r>
      </text>
    </comment>
    <comment ref="D30" authorId="0">
      <text>
        <r>
          <rPr>
            <sz val="12"/>
            <color indexed="81"/>
            <rFont val="Times New Roman"/>
            <family val="1"/>
          </rPr>
          <t>Salt</t>
        </r>
      </text>
    </comment>
    <comment ref="D31" authorId="0">
      <text>
        <r>
          <rPr>
            <sz val="12"/>
            <color indexed="81"/>
            <rFont val="Times New Roman"/>
            <family val="1"/>
          </rPr>
          <t>Incense or crystal rod with phosphorescent powder</t>
        </r>
      </text>
    </comment>
    <comment ref="D32" authorId="0">
      <text>
        <r>
          <rPr>
            <sz val="12"/>
            <color indexed="81"/>
            <rFont val="Times New Roman"/>
            <family val="1"/>
          </rPr>
          <t>Pendulum</t>
        </r>
      </text>
    </comment>
    <comment ref="D34" authorId="0">
      <text>
        <r>
          <rPr>
            <sz val="12"/>
            <color indexed="81"/>
            <rFont val="Times New Roman"/>
            <family val="1"/>
          </rPr>
          <t>Fleece</t>
        </r>
      </text>
    </comment>
    <comment ref="D37" authorId="0">
      <text>
        <r>
          <rPr>
            <sz val="12"/>
            <color indexed="81"/>
            <rFont val="Times New Roman"/>
            <family val="1"/>
          </rPr>
          <t>Prism, lens, or monocle</t>
        </r>
      </text>
    </comment>
    <comment ref="D39" authorId="0">
      <text>
        <r>
          <rPr>
            <sz val="12"/>
            <color indexed="81"/>
            <rFont val="Times New Roman"/>
            <family val="1"/>
          </rPr>
          <t>1 drop of bitumen and live spider (both to be eaten)</t>
        </r>
      </text>
    </comment>
    <comment ref="D45" authorId="0">
      <text>
        <r>
          <rPr>
            <sz val="12"/>
            <color indexed="81"/>
            <rFont val="Times New Roman"/>
            <family val="1"/>
          </rPr>
          <t>Small horn (hearing) or glass eye (seeing)</t>
        </r>
      </text>
    </comment>
    <comment ref="D46" authorId="0">
      <text>
        <r>
          <rPr>
            <sz val="12"/>
            <color indexed="81"/>
            <rFont val="Times New Roman"/>
            <family val="1"/>
          </rPr>
          <t>Brass hoop</t>
        </r>
      </text>
    </comment>
    <comment ref="D47" authorId="0">
      <text>
        <r>
          <rPr>
            <sz val="12"/>
            <color indexed="81"/>
            <rFont val="Times New Roman"/>
            <family val="1"/>
          </rPr>
          <t>Sand, rose petals, or live cricket</t>
        </r>
      </text>
    </comment>
    <comment ref="D49" authorId="0">
      <text>
        <r>
          <rPr>
            <sz val="12"/>
            <color indexed="81"/>
            <rFont val="Times New Roman"/>
            <family val="1"/>
          </rPr>
          <t>Displacer beast hide leather strap tied into a loop</t>
        </r>
      </text>
    </comment>
    <comment ref="D52" authorId="0">
      <text>
        <r>
          <rPr>
            <sz val="12"/>
            <color indexed="81"/>
            <rFont val="Times New Roman"/>
            <family val="1"/>
          </rPr>
          <t>Roots</t>
        </r>
      </text>
    </comment>
    <comment ref="D54" authorId="0">
      <text>
        <r>
          <rPr>
            <sz val="12"/>
            <color indexed="81"/>
            <rFont val="Times New Roman"/>
            <family val="1"/>
          </rPr>
          <t>Iron or holy symbol</t>
        </r>
      </text>
    </comment>
    <comment ref="D56" authorId="0">
      <text>
        <r>
          <rPr>
            <sz val="12"/>
            <color indexed="81"/>
            <rFont val="Times New Roman"/>
            <family val="1"/>
          </rPr>
          <t>Elelash in gum arabic</t>
        </r>
      </text>
    </comment>
    <comment ref="D57" authorId="0">
      <text>
        <r>
          <rPr>
            <sz val="12"/>
            <color indexed="81"/>
            <rFont val="Times New Roman"/>
            <family val="1"/>
          </rPr>
          <t>Pewter figurine</t>
        </r>
      </text>
    </comment>
    <comment ref="D58" authorId="0">
      <text>
        <r>
          <rPr>
            <sz val="12"/>
            <color indexed="81"/>
            <rFont val="Times New Roman"/>
            <family val="1"/>
          </rPr>
          <t>Fleece</t>
        </r>
      </text>
    </comment>
    <comment ref="D59" authorId="0">
      <text>
        <r>
          <rPr>
            <sz val="12"/>
            <color indexed="81"/>
            <rFont val="Times New Roman"/>
            <family val="1"/>
          </rPr>
          <t>Roots</t>
        </r>
      </text>
    </comment>
    <comment ref="D60" authorId="0">
      <text>
        <r>
          <rPr>
            <sz val="12"/>
            <color indexed="81"/>
            <rFont val="Times New Roman"/>
            <family val="1"/>
          </rPr>
          <t>Molasses</t>
        </r>
      </text>
    </comment>
    <comment ref="D65" authorId="0">
      <text>
        <r>
          <rPr>
            <sz val="12"/>
            <color indexed="81"/>
            <rFont val="Times New Roman"/>
            <family val="1"/>
          </rPr>
          <t>Three nutshells</t>
        </r>
      </text>
    </comment>
    <comment ref="D66" authorId="0">
      <text>
        <r>
          <rPr>
            <sz val="12"/>
            <color indexed="81"/>
            <rFont val="Times New Roman"/>
            <family val="1"/>
          </rPr>
          <t>Vial of tears</t>
        </r>
      </text>
    </comment>
    <comment ref="D67" authorId="0">
      <text/>
    </comment>
    <comment ref="D70" authorId="0">
      <text>
        <r>
          <rPr>
            <sz val="12"/>
            <color indexed="81"/>
            <rFont val="Times New Roman"/>
            <family val="1"/>
          </rPr>
          <t>Fur from scent hound</t>
        </r>
      </text>
    </comment>
    <comment ref="D73" authorId="0">
      <text>
        <r>
          <rPr>
            <sz val="12"/>
            <color indexed="81"/>
            <rFont val="Times New Roman"/>
            <family val="1"/>
          </rPr>
          <t>Phosphor &amp; crystal prism</t>
        </r>
      </text>
    </comment>
    <comment ref="D75" authorId="0">
      <text>
        <r>
          <rPr>
            <sz val="12"/>
            <color indexed="81"/>
            <rFont val="Times New Roman"/>
            <family val="1"/>
          </rPr>
          <t>dried, powdered peased and powdered animal hoof</t>
        </r>
      </text>
    </comment>
    <comment ref="D78" authorId="0">
      <text>
        <r>
          <rPr>
            <sz val="12"/>
            <color indexed="81"/>
            <rFont val="Times New Roman"/>
            <family val="1"/>
          </rPr>
          <t>clay, crystal, glass, or mineral spheres</t>
        </r>
      </text>
    </comment>
    <comment ref="D79" authorId="0">
      <text>
        <r>
          <rPr>
            <sz val="12"/>
            <color indexed="81"/>
            <rFont val="Times New Roman"/>
            <family val="1"/>
          </rPr>
          <t>white silk</t>
        </r>
      </text>
    </comment>
    <comment ref="D80" authorId="0">
      <text>
        <r>
          <rPr>
            <sz val="12"/>
            <color indexed="81"/>
            <rFont val="Times New Roman"/>
            <family val="1"/>
          </rPr>
          <t>metal bar or rod, which can be as small as a three-penny nail</t>
        </r>
      </text>
    </comment>
    <comment ref="D83" authorId="0">
      <text>
        <r>
          <rPr>
            <sz val="12"/>
            <color indexed="81"/>
            <rFont val="Times New Roman"/>
            <family val="1"/>
          </rPr>
          <t>eggshells from 2 different kids of creatures</t>
        </r>
      </text>
    </comment>
    <comment ref="D85" authorId="0">
      <text/>
    </comment>
  </commentList>
</comments>
</file>

<file path=xl/comments4.xml><?xml version="1.0" encoding="utf-8"?>
<comments xmlns="http://schemas.openxmlformats.org/spreadsheetml/2006/main">
  <authors>
    <author>Alexis Álvarez</author>
  </authors>
  <commentList>
    <comment ref="C2" authorId="0">
      <text>
        <r>
          <rPr>
            <sz val="12"/>
            <rFont val="Times New Roman"/>
            <family val="1"/>
          </rPr>
          <t xml:space="preserve">Your enchantment spells cloud the minds of even those who would otherwise resist their effects.
</t>
        </r>
        <r>
          <rPr>
            <b/>
            <sz val="12"/>
            <color indexed="81"/>
            <rFont val="Times New Roman"/>
            <family val="1"/>
          </rPr>
          <t xml:space="preserve">Prerequisite:  </t>
        </r>
        <r>
          <rPr>
            <sz val="12"/>
            <rFont val="Times New Roman"/>
            <family val="1"/>
          </rPr>
          <t xml:space="preserve">Spell Focus (enchantment) or enchanter level 1st.
</t>
        </r>
        <r>
          <rPr>
            <b/>
            <sz val="12"/>
            <color indexed="81"/>
            <rFont val="Times New Roman"/>
            <family val="1"/>
          </rPr>
          <t xml:space="preserve">Benefit:  </t>
        </r>
        <r>
          <rPr>
            <sz val="12"/>
            <rFont val="Times New Roman"/>
            <family val="1"/>
          </rPr>
          <t xml:space="preserve">Any foe required to save against an enchantment spell you cast takes a –2 penalty on attack rolls and to AC for 1 round, regardless of the result of the save.  This is a mind-affecting effect.
</t>
        </r>
        <r>
          <rPr>
            <b/>
            <sz val="12"/>
            <color indexed="81"/>
            <rFont val="Times New Roman"/>
            <family val="1"/>
          </rPr>
          <t xml:space="preserve">Special:  </t>
        </r>
        <r>
          <rPr>
            <sz val="12"/>
            <rFont val="Times New Roman"/>
            <family val="1"/>
          </rPr>
          <t>An enchanter can select this feat as a wizard bonus feat.
Complete Mage 48</t>
        </r>
      </text>
    </comment>
    <comment ref="C3" authorId="0">
      <text>
        <r>
          <rPr>
            <sz val="12"/>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rFont val="Times New Roman"/>
            <family val="1"/>
          </rPr>
          <t>You can gain this feat multiple times.  Its effects do not stack.
Each time you take the feat, it applies to a new school of magic.
PHB 100</t>
        </r>
      </text>
    </comment>
    <comment ref="C4" authorId="0">
      <text>
        <r>
          <rPr>
            <sz val="12"/>
            <rFont val="Times New Roman"/>
            <family val="1"/>
          </rPr>
          <t xml:space="preserve">Choose a school of magic to which you already have applied the Spell Focus feat. Your spells of that school are now even more potent than before.
</t>
        </r>
        <r>
          <rPr>
            <b/>
            <sz val="12"/>
            <color indexed="81"/>
            <rFont val="Times New Roman"/>
            <family val="1"/>
          </rPr>
          <t xml:space="preserve">Benefit:  </t>
        </r>
        <r>
          <rPr>
            <sz val="12"/>
            <rFont val="Times New Roman"/>
            <family val="1"/>
          </rPr>
          <t xml:space="preserve">Add +1 to the Difficulty Class for all saving throws against spells from the school of magic you select.  This bonus stacks with the bonus from Spell Focus.
</t>
        </r>
        <r>
          <rPr>
            <b/>
            <sz val="12"/>
            <color indexed="81"/>
            <rFont val="Times New Roman"/>
            <family val="1"/>
          </rPr>
          <t xml:space="preserve">Special:  </t>
        </r>
        <r>
          <rPr>
            <sz val="12"/>
            <rFont val="Times New Roman"/>
            <family val="1"/>
          </rPr>
          <t>You can gain this feat multiple times.  Its effects do not stack.  Each time you take the feat, it applies to a new school of magic to which you already have applied the Spell Focus feat.
PHB 94</t>
        </r>
      </text>
    </comment>
    <comment ref="C5" authorId="0">
      <text>
        <r>
          <rPr>
            <sz val="12"/>
            <rFont val="Times New Roman"/>
            <family val="1"/>
          </rPr>
          <t xml:space="preserve">Your spells are especially potent, breaking through spell resistance more readily than normal.
</t>
        </r>
        <r>
          <rPr>
            <b/>
            <sz val="12"/>
            <color indexed="81"/>
            <rFont val="Times New Roman"/>
            <family val="1"/>
          </rPr>
          <t xml:space="preserve">Benefit:  </t>
        </r>
        <r>
          <rPr>
            <sz val="12"/>
            <rFont val="Times New Roman"/>
            <family val="1"/>
          </rPr>
          <t>You get a +2 bonus on caster level checks (1d20 + caster level) made to overcome a creature’s spell resistance.
PHB 100</t>
        </r>
      </text>
    </comment>
  </commentList>
</comments>
</file>

<file path=xl/comments5.xml><?xml version="1.0" encoding="utf-8"?>
<comments xmlns="http://schemas.openxmlformats.org/spreadsheetml/2006/main">
  <authors>
    <author>Alexis Álvarez</author>
  </authors>
  <commentList>
    <comment ref="D14" authorId="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authors>
    <author>Alexis Álvarez</author>
  </authors>
  <commentList>
    <comment ref="D4" authorId="0">
      <text>
        <r>
          <rPr>
            <b/>
            <sz val="12"/>
            <color indexed="81"/>
            <rFont val="Times New Roman"/>
            <family val="1"/>
          </rPr>
          <t>Bonus for wearing all 4 pieces</t>
        </r>
        <r>
          <rPr>
            <sz val="12"/>
            <rFont val="Times New Roman"/>
            <family val="1"/>
          </rPr>
          <t xml:space="preserve">
Resistance to cold, electricity, and fire 5
1/day commune (4 questions)</t>
        </r>
      </text>
    </comment>
    <comment ref="A11" authorId="0">
      <text>
        <r>
          <rPr>
            <sz val="12"/>
            <rFont val="Times New Roman"/>
            <family val="1"/>
          </rPr>
          <t>This mundane-looking leather belt pouch can literally save its user’s life in the wilderness.  Five times per day, the user of a survival pouch can reach into the bag and retrieve his choice of one of the items listed below.  The user can draw out the same item five times in one day, draw out five different items, or produce any other combination of up to five items.  Drawing an item from the bag is a standard action that does not provoke attacks of opportunity.  Each item lasts for 8 hours unless otherwise indicated.
• Trail rations for one Medium creature for one day.
• Two gallons of water stored in a waterskin.  The bag disappears if it is emptied completely.
• A tent and two bedrolls sized for Medium creatures.
• A 50-foot coil of hempen rope, which disappears after 4 hours.
• A shovel.
• A campfire (about 2 feet square).  The fire can be left to burn, or it can be pulled apart to produce eight lit torches.  Each torch removed reduces the remaining burning time by 1 hour.  If the fire is extinguished, any unburnt portion vanishes.
• A composite shortbow (+1 Str bonus) and a quiver of 20 arrows.  The bow disappears 1 round after the last arrow has been drawn from the quiver.
• A mule with bit, bridle, saddle, and saddlebags.  The bit, bridle, saddle, and saddlebags vanish if removed from the mule.
Races of the Wild 173</t>
        </r>
      </text>
    </comment>
    <comment ref="A40" authorId="0">
      <text>
        <r>
          <rPr>
            <sz val="12"/>
            <rFont val="Times New Roman"/>
            <family val="1"/>
          </rPr>
          <t>Complete Mage 132</t>
        </r>
      </text>
    </comment>
  </commentList>
</comments>
</file>

<file path=xl/sharedStrings.xml><?xml version="1.0" encoding="utf-8"?>
<sst xmlns="http://schemas.openxmlformats.org/spreadsheetml/2006/main" count="1079" uniqueCount="444">
  <si>
    <t>Race:</t>
  </si>
  <si>
    <t>Sex:</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</si>
  <si>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</si>
  <si>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</si>
  <si>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</si>
  <si>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</si>
  <si>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</si>
  <si>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</si>
  <si>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</si>
  <si>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</si>
  <si>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</si>
  <si>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</si>
  <si>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</si>
  <si>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</si>
  <si>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</si>
  <si>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</si>
  <si>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</si>
  <si>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</si>
  <si>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</si>
  <si>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</si>
  <si>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</si>
  <si>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</si>
  <si>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</si>
  <si>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</si>
  <si>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</si>
  <si>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</si>
  <si>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</si>
  <si>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</si>
  <si>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</si>
  <si>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</si>
  <si>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</si>
  <si>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</si>
  <si>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</si>
  <si>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</si>
  <si>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</si>
  <si>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</si>
  <si>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</si>
  <si>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</si>
  <si>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</si>
  <si>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</si>
  <si>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</si>
  <si>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</si>
  <si>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</si>
  <si>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</si>
  <si>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</si>
  <si>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</si>
  <si>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</si>
  <si>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</si>
  <si>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</si>
  <si>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</si>
  <si>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</si>
  <si>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</si>
  <si>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</si>
  <si>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</si>
  <si>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</si>
  <si>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</si>
  <si>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</si>
  <si>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</si>
  <si>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</si>
  <si>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</si>
  <si>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</si>
  <si>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</si>
  <si>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</si>
  <si>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Class:</t>
  </si>
  <si>
    <t>Level:</t>
  </si>
  <si>
    <t>Alignment:</t>
  </si>
  <si>
    <t>Total</t>
  </si>
  <si>
    <t>Critical</t>
  </si>
  <si>
    <t>Will</t>
  </si>
  <si>
    <t>Armor &amp; Shield</t>
  </si>
  <si>
    <t>Missiles</t>
  </si>
  <si>
    <t>Lb. Capacity:</t>
  </si>
  <si>
    <t>Lb. Carried:</t>
  </si>
  <si>
    <t>Languages</t>
  </si>
  <si>
    <t>Equipment Worn</t>
  </si>
  <si>
    <t>Item</t>
  </si>
  <si>
    <t>Effects/</t>
  </si>
  <si>
    <t>Notes</t>
  </si>
  <si>
    <t>Equipment Carried</t>
  </si>
  <si>
    <t>Check</t>
  </si>
  <si>
    <t>Arcane</t>
  </si>
  <si>
    <t>Speed</t>
  </si>
  <si>
    <t>Knowledge:  Arcana</t>
  </si>
  <si>
    <t>Sleight of Hand</t>
  </si>
  <si>
    <t>Survival</t>
  </si>
  <si>
    <t>Attack Bonus:</t>
  </si>
  <si>
    <t>Touch AC:</t>
  </si>
  <si>
    <t>Weapon Proficiencies</t>
  </si>
  <si>
    <t>Atk</t>
  </si>
  <si>
    <t>Feats</t>
  </si>
  <si>
    <t>Knowledge:  The Planes</t>
  </si>
  <si>
    <t>2</t>
  </si>
  <si>
    <t>Roll</t>
  </si>
  <si>
    <t>Spell</t>
  </si>
  <si>
    <t>-</t>
  </si>
  <si>
    <t>Gnome</t>
  </si>
  <si>
    <t>Level</t>
  </si>
  <si>
    <t>DC</t>
  </si>
  <si>
    <t>Cast?</t>
  </si>
  <si>
    <t>¨</t>
  </si>
  <si>
    <t>Skill/Save</t>
  </si>
  <si>
    <t>1st</t>
  </si>
  <si>
    <t>2nd</t>
  </si>
  <si>
    <t>3rd</t>
  </si>
  <si>
    <t>4th</t>
  </si>
  <si>
    <t>5th</t>
  </si>
  <si>
    <t>6th</t>
  </si>
  <si>
    <t>7th</t>
  </si>
  <si>
    <t>Subrace:</t>
  </si>
  <si>
    <t>0th</t>
  </si>
  <si>
    <t>Dancing Lights</t>
  </si>
  <si>
    <t>Ghost Sound</t>
  </si>
  <si>
    <t>Prestidigitation</t>
  </si>
  <si>
    <t>Racial Abilities</t>
  </si>
  <si>
    <t>+1 vs. kobolds &amp; goblinoids</t>
  </si>
  <si>
    <t>+4 dodge vs. Giant type</t>
  </si>
  <si>
    <t>Total Daily Spells</t>
  </si>
  <si>
    <t>Flint &amp; Steel</t>
  </si>
  <si>
    <t>Initiative:</t>
  </si>
  <si>
    <t>Bludgeon</t>
  </si>
  <si>
    <t>Ranged Touch Spells</t>
  </si>
  <si>
    <t>1d3</t>
  </si>
  <si>
    <t>CLev</t>
  </si>
  <si>
    <t>FF AC:</t>
  </si>
  <si>
    <t>30’</t>
  </si>
  <si>
    <t>Mage Armor</t>
  </si>
  <si>
    <t>Empty Vials &amp; Stoppers</t>
  </si>
  <si>
    <t>Traveller’s Outfit</t>
  </si>
  <si>
    <t>Belt Pouch</t>
  </si>
  <si>
    <t>Backpack</t>
  </si>
  <si>
    <t>4</t>
  </si>
  <si>
    <t>School</t>
  </si>
  <si>
    <t>Casting</t>
  </si>
  <si>
    <t>Range</t>
  </si>
  <si>
    <t>Duration</t>
  </si>
  <si>
    <t>Conjuration</t>
  </si>
  <si>
    <t>V S</t>
  </si>
  <si>
    <t>1 SA</t>
  </si>
  <si>
    <t>25’ + 2½’/lvl</t>
  </si>
  <si>
    <t>Instant</t>
  </si>
  <si>
    <t>Evocation</t>
  </si>
  <si>
    <t>Transmutation</t>
  </si>
  <si>
    <t>Touch</t>
  </si>
  <si>
    <t>V S F</t>
  </si>
  <si>
    <t>100’ + 10’/lvl</t>
  </si>
  <si>
    <t>10 min/lvl</t>
  </si>
  <si>
    <t>Abjuration</t>
  </si>
  <si>
    <t>1 minute</t>
  </si>
  <si>
    <t>V S M</t>
  </si>
  <si>
    <t>1 min/lvl</t>
  </si>
  <si>
    <t>1 rnd/lvl</t>
  </si>
  <si>
    <t>Illusion</t>
  </si>
  <si>
    <t>1 round</t>
  </si>
  <si>
    <t>60’</t>
  </si>
  <si>
    <t>Divination</t>
  </si>
  <si>
    <t>Personal</t>
  </si>
  <si>
    <t>V</t>
  </si>
  <si>
    <t>V S M/DF</t>
  </si>
  <si>
    <t>Wands, Scrolls and Potions</t>
  </si>
  <si>
    <t>Grapple, Unarmed Strike</t>
  </si>
  <si>
    <t>x2</t>
  </si>
  <si>
    <t>Value</t>
  </si>
  <si>
    <t>Equity on this page:</t>
  </si>
  <si>
    <t>Total Equity:</t>
  </si>
  <si>
    <t>Silk Rope</t>
  </si>
  <si>
    <t>Grappling Hook</t>
  </si>
  <si>
    <t>Fortitude</t>
  </si>
  <si>
    <t>Reflex</t>
  </si>
  <si>
    <t>Heward’s Handy Haversack</t>
  </si>
  <si>
    <t>% of 100-lb limit</t>
  </si>
  <si>
    <t>Craft:  [type]</t>
  </si>
  <si>
    <t>Charisma Bonus</t>
  </si>
  <si>
    <t>1 FR</t>
  </si>
  <si>
    <t>400’ + 40’/lvl</t>
  </si>
  <si>
    <t>10 minutes</t>
  </si>
  <si>
    <t>Dagger</t>
  </si>
  <si>
    <t>19-20, x2</t>
  </si>
  <si>
    <t>Prcg/Slsh</t>
  </si>
  <si>
    <t>SF</t>
  </si>
  <si>
    <t>Bypass Spell Resistance</t>
  </si>
  <si>
    <t>Wealth Cap (10):</t>
  </si>
  <si>
    <t>Profession:  Sailor</t>
  </si>
  <si>
    <t>Components</t>
  </si>
  <si>
    <t>special</t>
  </si>
  <si>
    <t>Magpie</t>
  </si>
  <si>
    <t>Arixi Faerana Myceli Rhibys Lilla Scheppen</t>
  </si>
  <si>
    <t>Played by Jesse</t>
  </si>
  <si>
    <t>Female</t>
  </si>
  <si>
    <t>Neutral</t>
  </si>
  <si>
    <t>Rock</t>
  </si>
  <si>
    <t>Beguiler</t>
  </si>
  <si>
    <t>Visionary Seeker</t>
  </si>
  <si>
    <t>3rd:  Spell Focus (Enchantment)</t>
  </si>
  <si>
    <t>6th:  Greater Spell Focus (Enchantment)</t>
  </si>
  <si>
    <t>1st:  Unsettling Enchantment</t>
  </si>
  <si>
    <t>9th:  Spell Penetration</t>
  </si>
  <si>
    <t>Beguiler 1</t>
  </si>
  <si>
    <t>Beguiler 2</t>
  </si>
  <si>
    <t>Beguiler 3</t>
  </si>
  <si>
    <t>Beguiler 4</t>
  </si>
  <si>
    <t>Beguiler 5</t>
  </si>
  <si>
    <t>Beguiler 6</t>
  </si>
  <si>
    <t>Beguiler 7</t>
  </si>
  <si>
    <t>Beguiler 8</t>
  </si>
  <si>
    <t>Beguiler 9</t>
  </si>
  <si>
    <t>Visionary Seeker 1</t>
  </si>
  <si>
    <t>+2 to Conceal Spellcasting</t>
  </si>
  <si>
    <t>Perform:  [type]</t>
  </si>
  <si>
    <t>Speak Language:  [type]</t>
  </si>
  <si>
    <t>Beguiler Spells</t>
  </si>
  <si>
    <t>Beguiler Spells by Level</t>
  </si>
  <si>
    <t>Rock Gnome Spells</t>
  </si>
  <si>
    <t>Speak with Animals</t>
  </si>
  <si>
    <t>Visionary Seeker Features</t>
  </si>
  <si>
    <t>+2 Save vs. Illusions</t>
  </si>
  <si>
    <t>+1 to Illusion DC</t>
  </si>
  <si>
    <t>Low-light Vision 60’</t>
  </si>
  <si>
    <t>Shields (not tower)</t>
  </si>
  <si>
    <t>Trapfinding</t>
  </si>
  <si>
    <t>Class Features</t>
  </si>
  <si>
    <t>Armored Mage (light)</t>
  </si>
  <si>
    <t>Cloaked Casting (+2)</t>
  </si>
  <si>
    <t>Advanced Learning (2 spells)</t>
  </si>
  <si>
    <t>Silent Spell</t>
  </si>
  <si>
    <t>Surprise Casting</t>
  </si>
  <si>
    <t>Still Spell</t>
  </si>
  <si>
    <t>Divination Expertise</t>
  </si>
  <si>
    <t>Caster Level</t>
  </si>
  <si>
    <t>Reference</t>
  </si>
  <si>
    <t>PHB</t>
  </si>
  <si>
    <t>Daze</t>
  </si>
  <si>
    <t>Enchantment</t>
  </si>
  <si>
    <t>Detect Magic</t>
  </si>
  <si>
    <t>Universal</t>
  </si>
  <si>
    <t>S</t>
  </si>
  <si>
    <t>Message</t>
  </si>
  <si>
    <t>Open/Close</t>
  </si>
  <si>
    <t>Read Magic</t>
  </si>
  <si>
    <t>Charm Person</t>
  </si>
  <si>
    <t>1 hr/lvl</t>
  </si>
  <si>
    <t>Color Spray</t>
  </si>
  <si>
    <t>Detect Secret Doors</t>
  </si>
  <si>
    <t>Disguise Self</t>
  </si>
  <si>
    <t>Expeditious Retreat</t>
  </si>
  <si>
    <t>Hypnotism</t>
  </si>
  <si>
    <t>2d4 rnds.</t>
  </si>
  <si>
    <t>Obscuring Mist</t>
  </si>
  <si>
    <t>30’ radius</t>
  </si>
  <si>
    <t>Rouse</t>
  </si>
  <si>
    <t>Silent Image</t>
  </si>
  <si>
    <t>Concentrat.</t>
  </si>
  <si>
    <t>Sleep</t>
  </si>
  <si>
    <t>24 hours</t>
  </si>
  <si>
    <t>Whelm</t>
  </si>
  <si>
    <t>Blinding Color Surge</t>
  </si>
  <si>
    <t>Blur</t>
  </si>
  <si>
    <t>Daze Monster</t>
  </si>
  <si>
    <t>Detect Thoughts</t>
  </si>
  <si>
    <t>V S F/DF</t>
  </si>
  <si>
    <t>Fog Cloud</t>
  </si>
  <si>
    <t>Glitterdust</t>
  </si>
  <si>
    <t>Hypnotic Pattern</t>
  </si>
  <si>
    <t>Invisibility</t>
  </si>
  <si>
    <t>Knock</t>
  </si>
  <si>
    <t>Minor Image</t>
  </si>
  <si>
    <t>Mirror Image</t>
  </si>
  <si>
    <t>Misdirection</t>
  </si>
  <si>
    <t>Silence</t>
  </si>
  <si>
    <t>Spider Climb</t>
  </si>
  <si>
    <t>Stay the Hand</t>
  </si>
  <si>
    <t>Touch of Idiocy</t>
  </si>
  <si>
    <t>Vertigo</t>
  </si>
  <si>
    <t>Arcane Sight</t>
  </si>
  <si>
    <t>Clairaudience/voyance</t>
  </si>
  <si>
    <t>Crown of Veils</t>
  </si>
  <si>
    <t>Deep Slumber</t>
  </si>
  <si>
    <t>Dispel Magic</t>
  </si>
  <si>
    <t>Displacement</t>
  </si>
  <si>
    <t>V M</t>
  </si>
  <si>
    <t>Glibness</t>
  </si>
  <si>
    <t>Halt</t>
  </si>
  <si>
    <t>1 IA</t>
  </si>
  <si>
    <t>Haste</t>
  </si>
  <si>
    <t>Hesitate</t>
  </si>
  <si>
    <t>Hold Person</t>
  </si>
  <si>
    <t>Inevitable Defeat</t>
  </si>
  <si>
    <t>Invisibility Sphere</t>
  </si>
  <si>
    <t>10’ radius</t>
  </si>
  <si>
    <t>Legion of Sentinels</t>
  </si>
  <si>
    <t>Major Image</t>
  </si>
  <si>
    <t>Nondetection</t>
  </si>
  <si>
    <t>Slow</t>
  </si>
  <si>
    <t>Suggestion</t>
  </si>
  <si>
    <t>Vertigo Field</t>
  </si>
  <si>
    <t>Zone of Silence</t>
  </si>
  <si>
    <t>5’ radius</t>
  </si>
  <si>
    <t>Charm Monster</t>
  </si>
  <si>
    <t>1 day/lvl</t>
  </si>
  <si>
    <t>Confusion</t>
  </si>
  <si>
    <t>Crushing Despair</t>
  </si>
  <si>
    <t>Greater Invisibility</t>
  </si>
  <si>
    <t>Greater Mirror Image</t>
  </si>
  <si>
    <t>Locate Creature</t>
  </si>
  <si>
    <t>Mass Whelm</t>
  </si>
  <si>
    <t>Phantom Battle</t>
  </si>
  <si>
    <t>Rainbow Pattern</t>
  </si>
  <si>
    <t>S M F</t>
  </si>
  <si>
    <t>Solid Fog</t>
  </si>
  <si>
    <t>Page</t>
  </si>
  <si>
    <t>269</t>
  </si>
  <si>
    <t>PHB II</t>
  </si>
  <si>
    <t>Spell Compendium</t>
  </si>
  <si>
    <t>Comprehend Languages</t>
  </si>
  <si>
    <t>Undetectable Alignment</t>
  </si>
  <si>
    <t>See Invisibilty</t>
  </si>
  <si>
    <t>Freedom of Movement</t>
  </si>
  <si>
    <t>Break Enchantment</t>
  </si>
  <si>
    <t>Dominate Person</t>
  </si>
  <si>
    <t>Feeblemind</t>
  </si>
  <si>
    <t>Friend to Foe</t>
  </si>
  <si>
    <t>Hold Monster</t>
  </si>
  <si>
    <t>Incite Riot</t>
  </si>
  <si>
    <t>Mind Fog</t>
  </si>
  <si>
    <t>Rary’s Telepathic Bond</t>
  </si>
  <si>
    <t>Seeming</t>
  </si>
  <si>
    <t>Sending</t>
  </si>
  <si>
    <t>Swift Etherealness</t>
  </si>
  <si>
    <t>12 hours</t>
  </si>
  <si>
    <t>216</t>
  </si>
  <si>
    <t>217</t>
  </si>
  <si>
    <t>219</t>
  </si>
  <si>
    <t>235</t>
  </si>
  <si>
    <t>Net of Shadows</t>
  </si>
  <si>
    <t>Shadow Well</t>
  </si>
  <si>
    <t>Simple Weapons, Light Armor,</t>
  </si>
  <si>
    <t>Hand Crossbow, Rapier,</t>
  </si>
  <si>
    <t>Shortbow, Short Sword,</t>
  </si>
  <si>
    <t xml:space="preserve">MW Light Crossbow </t>
  </si>
  <si>
    <t>1</t>
  </si>
  <si>
    <t>of</t>
  </si>
  <si>
    <t>Four</t>
  </si>
  <si>
    <t>the</t>
  </si>
  <si>
    <t>Gloves of the Starry Sky</t>
  </si>
  <si>
    <t>Goggles of the Golden Sun</t>
  </si>
  <si>
    <t>Periapt of the Sullen Sea</t>
  </si>
  <si>
    <t>Belt of the Wide Earth</t>
  </si>
  <si>
    <t>10’ Pole</t>
  </si>
  <si>
    <t>Bedroll</t>
  </si>
  <si>
    <t>Block and Tackle</t>
  </si>
  <si>
    <t>Bucket</t>
  </si>
  <si>
    <t>Chalk</t>
  </si>
  <si>
    <t>Crowbar</t>
  </si>
  <si>
    <t>Fishhook</t>
  </si>
  <si>
    <t>Hempen Rope (50’)</t>
  </si>
  <si>
    <t>Iron Pot</t>
  </si>
  <si>
    <t>Lantern (bullseye)</t>
  </si>
  <si>
    <t>Sewing Needle</t>
  </si>
  <si>
    <t>Shovel</t>
  </si>
  <si>
    <t>Sledge</t>
  </si>
  <si>
    <t>Traveler’s Outfit</t>
  </si>
  <si>
    <t>Whetstone</t>
  </si>
  <si>
    <t>Winter Blanket</t>
  </si>
  <si>
    <t>MW Thieves’ Tools</t>
  </si>
  <si>
    <t>Sunrods</t>
  </si>
  <si>
    <t>Heward’s Fortifying Bedroll</t>
  </si>
  <si>
    <t>Soap</t>
  </si>
  <si>
    <t>Courtier’s Outfit</t>
  </si>
  <si>
    <t>Fishing Net</t>
  </si>
  <si>
    <t>Rations</t>
  </si>
  <si>
    <t>Caltrops</t>
  </si>
  <si>
    <t>Antitoxin</t>
  </si>
  <si>
    <t>Waterskin</t>
  </si>
  <si>
    <t>Map Cases</t>
  </si>
  <si>
    <t>Everburning Torch</t>
  </si>
  <si>
    <t>Explorer’s Outfit</t>
  </si>
  <si>
    <t>Signal Whistle</t>
  </si>
  <si>
    <t>Cloak of Resistance +2</t>
  </si>
  <si>
    <t>Spell Component Pouch</t>
  </si>
  <si>
    <t>Survival Pouch</t>
  </si>
  <si>
    <t>Miner’s Pick</t>
  </si>
  <si>
    <t>Wand of Lesser Vigor</t>
  </si>
  <si>
    <t>19-20/x2</t>
  </si>
  <si>
    <t>80’</t>
  </si>
  <si>
    <t>1d6</t>
  </si>
  <si>
    <t>Handaxe</t>
  </si>
  <si>
    <t>1d4</t>
  </si>
  <si>
    <t>x3</t>
  </si>
  <si>
    <t>Slashing</t>
  </si>
  <si>
    <t>1d6 acid</t>
  </si>
  <si>
    <t>10’</t>
  </si>
  <si>
    <t>Mithral Breastplate +2</t>
  </si>
  <si>
    <t>Mithral Buckler +1</t>
  </si>
  <si>
    <t>20’</t>
  </si>
  <si>
    <t>Lantern (hooded)</t>
  </si>
  <si>
    <t>Oil, Pints</t>
  </si>
  <si>
    <t>Raiment</t>
  </si>
  <si>
    <r>
      <t xml:space="preserve">Emit light; 3/day spontaneously cast </t>
    </r>
    <r>
      <rPr>
        <i/>
        <sz val="12"/>
        <rFont val="Times New Roman"/>
        <family val="1"/>
      </rPr>
      <t>magic missile</t>
    </r>
  </si>
  <si>
    <r>
      <t xml:space="preserve">Immune to blindness, dazzling; 3/day spontaneously cast </t>
    </r>
    <r>
      <rPr>
        <i/>
        <sz val="12"/>
        <rFont val="Times New Roman"/>
        <family val="1"/>
      </rPr>
      <t>fireball</t>
    </r>
  </si>
  <si>
    <r>
      <t xml:space="preserve">Hold breath 12 hours; 2/day spontaneously cast </t>
    </r>
    <r>
      <rPr>
        <i/>
        <sz val="12"/>
        <rFont val="Times New Roman"/>
        <family val="1"/>
      </rPr>
      <t>freedom of movement</t>
    </r>
  </si>
  <si>
    <r>
      <t xml:space="preserve">Carrying capacity doubled; 2/day spontaneously cast </t>
    </r>
    <r>
      <rPr>
        <i/>
        <sz val="12"/>
        <rFont val="Times New Roman"/>
        <family val="1"/>
      </rPr>
      <t>teleport</t>
    </r>
  </si>
  <si>
    <r>
      <t>30</t>
    </r>
    <r>
      <rPr>
        <sz val="13"/>
        <rFont val="Times New Roman"/>
        <family val="1"/>
      </rPr>
      <t>/</t>
    </r>
    <r>
      <rPr>
        <sz val="13"/>
        <color indexed="51"/>
        <rFont val="Times New Roman"/>
        <family val="1"/>
      </rPr>
      <t>60</t>
    </r>
    <r>
      <rPr>
        <sz val="13"/>
        <rFont val="Times New Roman"/>
        <family val="1"/>
      </rPr>
      <t>/</t>
    </r>
    <r>
      <rPr>
        <sz val="13"/>
        <color indexed="10"/>
        <rFont val="Times New Roman"/>
        <family val="1"/>
      </rPr>
      <t>90</t>
    </r>
  </si>
  <si>
    <t>Bolts</t>
  </si>
  <si>
    <t>1d6 rounds</t>
  </si>
  <si>
    <t>Flask of Acid</t>
  </si>
  <si>
    <t>one</t>
  </si>
  <si>
    <t>AC:</t>
  </si>
  <si>
    <t>Headband of Intellect +2</t>
  </si>
  <si>
    <t>XP:</t>
  </si>
  <si>
    <t>Character:</t>
  </si>
  <si>
    <t>%</t>
  </si>
  <si>
    <t>Punctuality of IC posts (Friday 17:00 PST/GMT-8)</t>
  </si>
  <si>
    <t>Excellent</t>
  </si>
  <si>
    <t>Good</t>
  </si>
  <si>
    <t>Length of IC posts (ideal is ½ a page)</t>
  </si>
  <si>
    <t>Consistent use of present tense, third person</t>
  </si>
  <si>
    <t>Attention to spelling, punctuation &amp; grammar</t>
  </si>
  <si>
    <t>Overall organization and clarity</t>
  </si>
  <si>
    <t>Proper* representation of die rolls and PC limitations</t>
  </si>
  <si>
    <t>Creative use of skills, feats, and other abilities</t>
  </si>
  <si>
    <t>Convincing role-playing and creative storytelling</t>
  </si>
  <si>
    <t>Consistency with other characters’ actions or setting description</t>
  </si>
  <si>
    <t>Missed Posts</t>
  </si>
  <si>
    <t>Maximum award for this segment</t>
  </si>
  <si>
    <t xml:space="preserve"> Character award for this segment</t>
  </si>
  <si>
    <t>Extra XPs</t>
  </si>
  <si>
    <t>Previous XP Balance</t>
  </si>
  <si>
    <t>Current XP Balance</t>
  </si>
  <si>
    <t>* Proper refers to staying within the parameters of the rules, stats and setting.</t>
  </si>
  <si>
    <t>four</t>
  </si>
  <si>
    <t>Beguiler 10</t>
  </si>
  <si>
    <t>Gnomish, Common, Draconic</t>
  </si>
  <si>
    <t>Giant</t>
  </si>
  <si>
    <t>Elven, Dwarven, Thieves’ Cant,</t>
  </si>
  <si>
    <t>charges</t>
  </si>
  <si>
    <t>Gnome Hammer treated as Martial</t>
  </si>
  <si>
    <t>dispel</t>
  </si>
  <si>
    <t>include SEEKER level?</t>
  </si>
  <si>
    <t>Whelming Blast</t>
  </si>
  <si>
    <t>Specificity</t>
  </si>
  <si>
    <t>Tome of Worldly Memory</t>
  </si>
  <si>
    <t>Radiant Sphere</t>
  </si>
  <si>
    <t>MIC 173</t>
  </si>
  <si>
    <t>MIC 190</t>
  </si>
  <si>
    <t>Speed: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</si>
</sst>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3C0A]\ #,##0"/>
  </numFmts>
  <fonts count="68">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0000FF"/>
      <name val="Times New Roman"/>
      <family val="1"/>
    </font>
    <font>
      <b/>
      <sz val="12"/>
      <color indexed="81"/>
      <name val="Times New Roman"/>
      <family val="1"/>
    </font>
    <font>
      <b/>
      <sz val="13"/>
      <color rgb="FF0000FF"/>
      <name val="Times New Roman"/>
      <family val="1"/>
    </font>
    <font>
      <b/>
      <sz val="13"/>
      <color rgb="FFFFC000"/>
      <name val="Times New Roman"/>
      <family val="1"/>
    </font>
    <font>
      <sz val="13"/>
      <color rgb="FFFFC000"/>
      <name val="Times New Roman"/>
      <family val="1"/>
    </font>
    <font>
      <b/>
      <sz val="12"/>
      <color rgb="FFFFC000"/>
      <name val="Times New Roman"/>
      <family val="1"/>
    </font>
    <font>
      <sz val="12"/>
      <color rgb="FFFFC000"/>
      <name val="Times New Roman"/>
      <family val="1"/>
    </font>
    <font>
      <b/>
      <i/>
      <sz val="12"/>
      <color indexed="81"/>
      <name val="Times New Roman"/>
      <family val="1"/>
    </font>
    <font>
      <i/>
      <sz val="12"/>
      <color indexed="81"/>
      <name val="Times New Roman"/>
      <family val="1"/>
    </font>
    <font>
      <b/>
      <sz val="13"/>
      <color rgb="FFFF0000"/>
      <name val="Times New Roman"/>
      <family val="1"/>
    </font>
    <font>
      <b/>
      <sz val="13"/>
      <color rgb="FF7030A0"/>
      <name val="Times New Roman"/>
      <family val="1"/>
    </font>
    <font>
      <i/>
      <sz val="18"/>
      <color rgb="FFFFC000"/>
      <name val="Times New Roman"/>
      <family val="1"/>
    </font>
    <font>
      <sz val="12"/>
      <color theme="0"/>
      <name val="Times New Roman"/>
      <family val="1"/>
    </font>
    <font>
      <sz val="13"/>
      <color rgb="FFFF0000"/>
      <name val="Times New Roman"/>
      <family val="1"/>
    </font>
    <font>
      <sz val="13"/>
      <name val="Wingdings"/>
      <charset val="2"/>
    </font>
    <font>
      <i/>
      <sz val="13"/>
      <name val="Times New Roman"/>
      <family val="1"/>
    </font>
    <font>
      <b/>
      <sz val="13"/>
      <color theme="0"/>
      <name val="Times New Roman"/>
      <family val="1"/>
    </font>
    <font>
      <i/>
      <sz val="16"/>
      <name val="Times New Roman"/>
      <family val="1"/>
    </font>
    <font>
      <i/>
      <sz val="18"/>
      <color rgb="FFFF0000"/>
      <name val="Times New Roman"/>
      <family val="1"/>
    </font>
    <font>
      <i/>
      <sz val="16"/>
      <color rgb="FFFFC000"/>
      <name val="Times New Roman"/>
      <family val="1"/>
    </font>
    <font>
      <i/>
      <sz val="16"/>
      <color indexed="53"/>
      <name val="Times New Roman"/>
      <family val="1"/>
    </font>
    <font>
      <i/>
      <sz val="16"/>
      <color indexed="10"/>
      <name val="Times New Roman"/>
      <family val="1"/>
    </font>
    <font>
      <i/>
      <sz val="16"/>
      <color indexed="57"/>
      <name val="Times New Roman"/>
      <family val="1"/>
    </font>
    <font>
      <i/>
      <sz val="16"/>
      <color rgb="FF7030A0"/>
      <name val="Times New Roman"/>
      <family val="1"/>
    </font>
    <font>
      <sz val="13"/>
      <color indexed="20"/>
      <name val="Times New Roman"/>
      <family val="1"/>
    </font>
    <font>
      <i/>
      <sz val="12"/>
      <name val="Times New Roman"/>
      <family val="1"/>
    </font>
    <font>
      <b/>
      <sz val="13"/>
      <color indexed="20"/>
      <name val="Times New Roman"/>
      <family val="1"/>
    </font>
    <font>
      <sz val="12"/>
      <color rgb="FFFF0000"/>
      <name val="Times New Roman"/>
      <family val="1"/>
    </font>
    <font>
      <b/>
      <sz val="12"/>
      <color theme="0"/>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rgb="FF00FF00"/>
        <bgColor indexed="64"/>
      </patternFill>
    </fill>
    <fill>
      <patternFill patternType="solid">
        <fgColor rgb="FF6600CC"/>
        <bgColor indexed="64"/>
      </patternFill>
    </fill>
    <fill>
      <patternFill patternType="solid">
        <fgColor rgb="FF9966FF"/>
        <bgColor indexed="64"/>
      </patternFill>
    </fill>
    <fill>
      <patternFill patternType="solid">
        <fgColor rgb="FFCCCCFF"/>
        <bgColor indexed="64"/>
      </patternFill>
    </fill>
    <fill>
      <patternFill patternType="solid">
        <fgColor rgb="FFFFFF00"/>
        <bgColor indexed="64"/>
      </patternFill>
    </fill>
    <fill>
      <patternFill patternType="solid">
        <fgColor theme="7" tint="0.39997558519241921"/>
        <bgColor indexed="64"/>
      </patternFill>
    </fill>
  </fills>
  <borders count="142">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ouble">
        <color indexed="64"/>
      </left>
      <right style="double">
        <color indexed="64"/>
      </right>
      <top style="hair">
        <color indexed="64"/>
      </top>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bottom/>
      <diagonal/>
    </border>
    <border>
      <left style="double">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style="hair">
        <color indexed="64"/>
      </right>
      <top style="hair">
        <color indexed="64"/>
      </top>
      <bottom/>
      <diagonal/>
    </border>
    <border>
      <left style="double">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s>
  <cellStyleXfs count="12">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7" fillId="0" borderId="0"/>
    <xf numFmtId="0" fontId="1" fillId="0" borderId="0"/>
    <xf numFmtId="0" fontId="36" fillId="0" borderId="0" applyFill="0" applyBorder="0"/>
    <xf numFmtId="0" fontId="2" fillId="0" borderId="0"/>
    <xf numFmtId="9" fontId="2" fillId="0" borderId="0" applyFont="0" applyFill="0" applyBorder="0" applyAlignment="0" applyProtection="0"/>
    <xf numFmtId="0" fontId="36" fillId="0" borderId="0"/>
  </cellStyleXfs>
  <cellXfs count="559">
    <xf numFmtId="0" fontId="0" fillId="0" borderId="0" xfId="0"/>
    <xf numFmtId="0" fontId="12" fillId="3" borderId="74"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36" xfId="0" applyNumberFormat="1" applyFont="1" applyFill="1" applyBorder="1" applyAlignment="1">
      <alignment horizontal="center" vertical="center" wrapText="1"/>
    </xf>
    <xf numFmtId="0" fontId="42" fillId="9" borderId="35" xfId="0" applyNumberFormat="1" applyFont="1" applyFill="1" applyBorder="1" applyAlignment="1">
      <alignment horizontal="center" vertical="center" wrapText="1"/>
    </xf>
    <xf numFmtId="0" fontId="12" fillId="3" borderId="75" xfId="0" applyFont="1" applyFill="1" applyBorder="1" applyAlignment="1">
      <alignment horizontal="center" vertical="center"/>
    </xf>
    <xf numFmtId="0" fontId="4" fillId="0" borderId="0" xfId="0" applyFont="1" applyBorder="1" applyAlignment="1">
      <alignment vertical="center"/>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27" xfId="0" applyNumberFormat="1" applyFont="1" applyFill="1" applyBorder="1" applyAlignment="1">
      <alignment horizontal="center" vertical="center" wrapText="1"/>
    </xf>
    <xf numFmtId="9" fontId="7" fillId="0" borderId="25" xfId="2" applyFont="1" applyFill="1" applyBorder="1" applyAlignment="1">
      <alignment horizontal="center" vertical="center" shrinkToFit="1"/>
    </xf>
    <xf numFmtId="0" fontId="2" fillId="0" borderId="82" xfId="0" applyFont="1" applyFill="1" applyBorder="1" applyAlignment="1">
      <alignment horizontal="center" vertical="center"/>
    </xf>
    <xf numFmtId="0" fontId="2" fillId="0" borderId="82" xfId="0" quotePrefix="1" applyFont="1" applyFill="1" applyBorder="1" applyAlignment="1">
      <alignment horizontal="center" vertical="center" wrapText="1"/>
    </xf>
    <xf numFmtId="49" fontId="2" fillId="0" borderId="82" xfId="2" applyNumberFormat="1" applyFont="1" applyFill="1" applyBorder="1" applyAlignment="1">
      <alignment horizontal="center" vertical="center"/>
    </xf>
    <xf numFmtId="0" fontId="2" fillId="0" borderId="82" xfId="0" applyFont="1" applyFill="1" applyBorder="1" applyAlignment="1">
      <alignment horizontal="center" vertical="center" shrinkToFit="1"/>
    </xf>
    <xf numFmtId="164" fontId="2" fillId="0" borderId="82" xfId="0" applyNumberFormat="1" applyFont="1" applyFill="1" applyBorder="1" applyAlignment="1">
      <alignment horizontal="center" vertical="center"/>
    </xf>
    <xf numFmtId="0" fontId="2" fillId="0" borderId="85" xfId="0" applyFont="1" applyFill="1" applyBorder="1" applyAlignment="1">
      <alignment horizontal="center" vertical="center"/>
    </xf>
    <xf numFmtId="0" fontId="2" fillId="0" borderId="86" xfId="0" applyFont="1" applyFill="1" applyBorder="1" applyAlignment="1">
      <alignment horizontal="center" vertical="center"/>
    </xf>
    <xf numFmtId="0" fontId="5" fillId="0" borderId="86" xfId="0" quotePrefix="1" applyFont="1" applyFill="1" applyBorder="1" applyAlignment="1">
      <alignment horizontal="center" vertical="center" wrapText="1"/>
    </xf>
    <xf numFmtId="49" fontId="2" fillId="0" borderId="86" xfId="2" applyNumberFormat="1" applyFont="1" applyFill="1" applyBorder="1" applyAlignment="1">
      <alignment horizontal="center" vertical="center"/>
    </xf>
    <xf numFmtId="0" fontId="2" fillId="0" borderId="86" xfId="0" applyFont="1" applyFill="1" applyBorder="1" applyAlignment="1">
      <alignment horizontal="center" vertical="center" shrinkToFit="1"/>
    </xf>
    <xf numFmtId="164" fontId="2" fillId="0" borderId="86" xfId="0" applyNumberFormat="1" applyFont="1" applyFill="1" applyBorder="1" applyAlignment="1">
      <alignment horizontal="center" vertical="center"/>
    </xf>
    <xf numFmtId="0" fontId="2" fillId="0" borderId="84" xfId="0" quotePrefix="1" applyFont="1" applyBorder="1" applyAlignment="1">
      <alignment horizontal="center" vertical="center"/>
    </xf>
    <xf numFmtId="1" fontId="5" fillId="0" borderId="87" xfId="0" applyNumberFormat="1" applyFont="1" applyFill="1" applyBorder="1" applyAlignment="1">
      <alignment horizontal="center" vertical="center"/>
    </xf>
    <xf numFmtId="0" fontId="2" fillId="0" borderId="110" xfId="0" quotePrefix="1" applyFont="1" applyFill="1" applyBorder="1" applyAlignment="1">
      <alignment horizontal="center" vertical="center"/>
    </xf>
    <xf numFmtId="0" fontId="3" fillId="0" borderId="0" xfId="0" applyFont="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vertical="center"/>
    </xf>
    <xf numFmtId="0" fontId="21" fillId="3" borderId="35" xfId="0" applyFont="1" applyFill="1" applyBorder="1" applyAlignment="1">
      <alignment horizontal="center" vertical="center"/>
    </xf>
    <xf numFmtId="164" fontId="21" fillId="3" borderId="36" xfId="0" applyNumberFormat="1" applyFont="1" applyFill="1" applyBorder="1" applyAlignment="1">
      <alignment horizontal="center" vertical="center"/>
    </xf>
    <xf numFmtId="0" fontId="21" fillId="3" borderId="35" xfId="0" applyFont="1" applyFill="1" applyBorder="1" applyAlignment="1">
      <alignment horizontal="right" vertical="center"/>
    </xf>
    <xf numFmtId="0" fontId="21" fillId="3" borderId="37" xfId="0" applyFont="1" applyFill="1" applyBorder="1" applyAlignment="1">
      <alignment vertical="center"/>
    </xf>
    <xf numFmtId="0" fontId="5" fillId="0" borderId="0" xfId="0" applyFont="1" applyBorder="1" applyAlignment="1">
      <alignment horizontal="center" vertical="center"/>
    </xf>
    <xf numFmtId="0" fontId="2" fillId="0" borderId="91" xfId="0" applyFont="1" applyBorder="1" applyAlignment="1">
      <alignment horizontal="center" vertical="center" shrinkToFit="1"/>
    </xf>
    <xf numFmtId="0" fontId="2" fillId="0" borderId="95"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2" xfId="0" applyFont="1" applyBorder="1" applyAlignment="1">
      <alignment horizontal="left" vertical="center" shrinkToFit="1"/>
    </xf>
    <xf numFmtId="0" fontId="2" fillId="0" borderId="54" xfId="0" applyFont="1" applyFill="1" applyBorder="1" applyAlignment="1">
      <alignment horizontal="center" vertical="center" shrinkToFit="1"/>
    </xf>
    <xf numFmtId="0" fontId="2" fillId="0" borderId="68"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164" fontId="5" fillId="0" borderId="38" xfId="0" applyNumberFormat="1" applyFont="1" applyBorder="1" applyAlignment="1">
      <alignment horizontal="center" vertical="center" shrinkToFit="1"/>
    </xf>
    <xf numFmtId="0" fontId="2" fillId="0" borderId="92" xfId="0" applyFont="1" applyFill="1" applyBorder="1" applyAlignment="1">
      <alignment horizontal="center" vertical="center" shrinkToFit="1"/>
    </xf>
    <xf numFmtId="0" fontId="2" fillId="0" borderId="69"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108" xfId="0" applyFont="1" applyFill="1" applyBorder="1" applyAlignment="1">
      <alignment horizontal="center" vertical="center" shrinkToFit="1"/>
    </xf>
    <xf numFmtId="0" fontId="2" fillId="0" borderId="96" xfId="0" applyFont="1" applyBorder="1" applyAlignment="1">
      <alignment horizontal="center" vertical="center" shrinkToFit="1"/>
    </xf>
    <xf numFmtId="164" fontId="5" fillId="0" borderId="96" xfId="0" applyNumberFormat="1" applyFont="1" applyBorder="1" applyAlignment="1">
      <alignment horizontal="center" vertical="center" shrinkToFit="1"/>
    </xf>
    <xf numFmtId="0" fontId="5" fillId="0" borderId="96" xfId="0" applyFont="1" applyBorder="1" applyAlignment="1">
      <alignment horizontal="left" vertical="center"/>
    </xf>
    <xf numFmtId="0" fontId="2" fillId="0" borderId="109" xfId="0" applyFont="1" applyBorder="1" applyAlignment="1">
      <alignment horizontal="left" vertical="center" shrinkToFit="1"/>
    </xf>
    <xf numFmtId="0" fontId="2" fillId="0" borderId="40" xfId="0" applyFont="1" applyBorder="1" applyAlignment="1">
      <alignment horizontal="center" vertical="center" shrinkToFit="1"/>
    </xf>
    <xf numFmtId="164" fontId="5" fillId="0" borderId="0" xfId="0" applyNumberFormat="1" applyFont="1" applyBorder="1" applyAlignment="1">
      <alignment horizontal="center" vertical="center"/>
    </xf>
    <xf numFmtId="0" fontId="21" fillId="7" borderId="17" xfId="0" applyFont="1" applyFill="1" applyBorder="1" applyAlignment="1">
      <alignment horizontal="center" vertical="center"/>
    </xf>
    <xf numFmtId="0" fontId="21" fillId="7" borderId="18" xfId="0" applyFont="1" applyFill="1" applyBorder="1" applyAlignment="1">
      <alignment horizontal="center" vertical="center"/>
    </xf>
    <xf numFmtId="49" fontId="21" fillId="7" borderId="18" xfId="0" applyNumberFormat="1" applyFont="1" applyFill="1" applyBorder="1" applyAlignment="1">
      <alignment horizontal="center" vertical="center"/>
    </xf>
    <xf numFmtId="0" fontId="21" fillId="7" borderId="22" xfId="0" applyFont="1" applyFill="1" applyBorder="1" applyAlignment="1">
      <alignment horizontal="center" vertical="center"/>
    </xf>
    <xf numFmtId="0" fontId="44" fillId="9" borderId="22" xfId="0" applyFont="1" applyFill="1" applyBorder="1" applyAlignment="1">
      <alignment horizontal="center" vertical="center"/>
    </xf>
    <xf numFmtId="0" fontId="21" fillId="7" borderId="19" xfId="0" applyFont="1" applyFill="1" applyBorder="1" applyAlignment="1">
      <alignment horizontal="center" vertical="center"/>
    </xf>
    <xf numFmtId="1" fontId="45" fillId="9" borderId="87" xfId="0" applyNumberFormat="1" applyFont="1" applyFill="1" applyBorder="1" applyAlignment="1">
      <alignment horizontal="center" vertical="center"/>
    </xf>
    <xf numFmtId="1" fontId="2" fillId="0" borderId="87" xfId="0" applyNumberFormat="1" applyFont="1" applyFill="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Continuous" vertical="center"/>
    </xf>
    <xf numFmtId="0" fontId="21" fillId="7" borderId="22" xfId="0" applyFont="1" applyFill="1" applyBorder="1" applyAlignment="1">
      <alignment horizontal="centerContinuous" vertical="center"/>
    </xf>
    <xf numFmtId="0" fontId="21" fillId="7" borderId="89" xfId="0" applyFont="1" applyFill="1" applyBorder="1" applyAlignment="1">
      <alignment horizontal="centerContinuous" vertical="center"/>
    </xf>
    <xf numFmtId="0" fontId="21" fillId="7" borderId="47" xfId="0" applyFont="1" applyFill="1" applyBorder="1" applyAlignment="1">
      <alignment horizontal="centerContinuous" vertical="center"/>
    </xf>
    <xf numFmtId="0" fontId="5" fillId="0" borderId="88" xfId="0" applyFont="1" applyFill="1" applyBorder="1" applyAlignment="1">
      <alignment horizontal="centerContinuous" vertical="center"/>
    </xf>
    <xf numFmtId="0" fontId="18" fillId="0" borderId="0" xfId="0" applyFont="1" applyBorder="1" applyAlignment="1">
      <alignment horizontal="right" vertical="center"/>
    </xf>
    <xf numFmtId="0" fontId="21" fillId="7" borderId="20" xfId="0" applyFont="1" applyFill="1" applyBorder="1" applyAlignment="1">
      <alignment horizontal="centerContinuous" vertical="center"/>
    </xf>
    <xf numFmtId="0" fontId="21" fillId="7" borderId="21" xfId="0" applyFont="1" applyFill="1" applyBorder="1" applyAlignment="1">
      <alignment horizontal="centerContinuous" vertical="center"/>
    </xf>
    <xf numFmtId="0" fontId="2" fillId="0" borderId="97" xfId="0" applyFont="1" applyFill="1" applyBorder="1" applyAlignment="1">
      <alignment horizontal="centerContinuous" vertical="center"/>
    </xf>
    <xf numFmtId="0" fontId="2" fillId="0" borderId="98" xfId="0" applyFont="1" applyFill="1" applyBorder="1" applyAlignment="1">
      <alignment horizontal="centerContinuous" vertical="center"/>
    </xf>
    <xf numFmtId="0" fontId="2" fillId="0" borderId="83" xfId="0" applyFont="1" applyFill="1" applyBorder="1" applyAlignment="1">
      <alignment horizontal="centerContinuous" vertical="center"/>
    </xf>
    <xf numFmtId="49" fontId="2" fillId="0" borderId="83" xfId="0" applyNumberFormat="1" applyFont="1" applyFill="1" applyBorder="1" applyAlignment="1">
      <alignment horizontal="center" vertical="center"/>
    </xf>
    <xf numFmtId="49" fontId="2" fillId="0" borderId="83" xfId="0" applyNumberFormat="1" applyFont="1" applyFill="1" applyBorder="1" applyAlignment="1">
      <alignment horizontal="centerContinuous" vertical="center"/>
    </xf>
    <xf numFmtId="49" fontId="2" fillId="0" borderId="99" xfId="0" applyNumberFormat="1" applyFont="1" applyFill="1" applyBorder="1" applyAlignment="1">
      <alignment horizontal="centerContinuous" vertical="center"/>
    </xf>
    <xf numFmtId="0" fontId="2" fillId="0" borderId="100" xfId="0" applyFont="1" applyFill="1" applyBorder="1" applyAlignment="1">
      <alignment horizontal="centerContinuous" vertical="center"/>
    </xf>
    <xf numFmtId="0" fontId="2" fillId="0" borderId="80" xfId="0" applyFont="1" applyFill="1" applyBorder="1" applyAlignment="1">
      <alignment horizontal="centerContinuous" vertical="center"/>
    </xf>
    <xf numFmtId="0" fontId="2" fillId="0" borderId="103" xfId="0" applyFont="1" applyFill="1" applyBorder="1" applyAlignment="1">
      <alignment horizontal="centerContinuous" vertical="center"/>
    </xf>
    <xf numFmtId="0" fontId="2" fillId="0" borderId="104" xfId="0" applyFont="1" applyFill="1" applyBorder="1" applyAlignment="1">
      <alignment horizontal="centerContinuous" vertical="center"/>
    </xf>
    <xf numFmtId="0" fontId="5" fillId="0" borderId="105" xfId="0" applyFont="1" applyFill="1" applyBorder="1" applyAlignment="1">
      <alignment horizontal="centerContinuous" vertical="center"/>
    </xf>
    <xf numFmtId="0" fontId="5" fillId="0" borderId="87" xfId="0" applyFont="1" applyFill="1" applyBorder="1" applyAlignment="1">
      <alignment horizontal="centerContinuous" vertical="center"/>
    </xf>
    <xf numFmtId="49" fontId="2" fillId="0" borderId="86" xfId="0" applyNumberFormat="1" applyFont="1" applyFill="1" applyBorder="1" applyAlignment="1">
      <alignment horizontal="center" vertical="center"/>
    </xf>
    <xf numFmtId="49" fontId="2" fillId="0" borderId="87" xfId="0" applyNumberFormat="1" applyFont="1" applyFill="1" applyBorder="1" applyAlignment="1">
      <alignment horizontal="centerContinuous" vertical="center"/>
    </xf>
    <xf numFmtId="49" fontId="2" fillId="0" borderId="90" xfId="0" applyNumberFormat="1" applyFont="1" applyFill="1" applyBorder="1" applyAlignment="1">
      <alignment horizontal="centerContinuous" vertical="center"/>
    </xf>
    <xf numFmtId="0" fontId="21" fillId="7" borderId="93" xfId="0" applyFont="1" applyFill="1" applyBorder="1" applyAlignment="1">
      <alignment horizontal="center" vertical="center"/>
    </xf>
    <xf numFmtId="0" fontId="21" fillId="7" borderId="94" xfId="0" applyFont="1" applyFill="1" applyBorder="1" applyAlignment="1">
      <alignment horizontal="centerContinuous" vertical="center"/>
    </xf>
    <xf numFmtId="0" fontId="7"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34" xfId="0" applyFont="1" applyFill="1" applyBorder="1" applyAlignment="1">
      <alignment horizontal="centerContinuous" vertical="center"/>
    </xf>
    <xf numFmtId="0" fontId="7" fillId="0" borderId="51" xfId="0" applyFont="1" applyFill="1" applyBorder="1" applyAlignment="1">
      <alignment horizontal="centerContinuous" vertical="center"/>
    </xf>
    <xf numFmtId="0" fontId="7" fillId="0" borderId="25" xfId="0" applyFont="1" applyFill="1" applyBorder="1" applyAlignment="1">
      <alignment horizontal="center" vertical="center"/>
    </xf>
    <xf numFmtId="0" fontId="7" fillId="0" borderId="25" xfId="0" applyNumberFormat="1" applyFont="1" applyFill="1" applyBorder="1" applyAlignment="1">
      <alignment horizontal="center" vertical="center"/>
    </xf>
    <xf numFmtId="0" fontId="7" fillId="0" borderId="15" xfId="2" applyNumberFormat="1" applyFont="1" applyFill="1" applyBorder="1" applyAlignment="1">
      <alignment horizontal="center" vertical="center" shrinkToFit="1"/>
    </xf>
    <xf numFmtId="0" fontId="7" fillId="0" borderId="32" xfId="0" applyNumberFormat="1" applyFont="1" applyFill="1" applyBorder="1" applyAlignment="1">
      <alignment horizontal="center" vertical="center" wrapText="1"/>
    </xf>
    <xf numFmtId="0" fontId="25" fillId="0" borderId="23"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3" fillId="9" borderId="26"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0" fontId="41" fillId="0" borderId="55" xfId="0" applyFont="1" applyFill="1" applyBorder="1" applyAlignment="1">
      <alignment vertical="center"/>
    </xf>
    <xf numFmtId="0" fontId="6" fillId="0" borderId="56" xfId="0" applyFont="1" applyFill="1" applyBorder="1" applyAlignment="1">
      <alignment horizontal="center" vertical="center"/>
    </xf>
    <xf numFmtId="0" fontId="7" fillId="0" borderId="56" xfId="0" applyFont="1" applyFill="1" applyBorder="1" applyAlignment="1">
      <alignment horizontal="center" vertical="center"/>
    </xf>
    <xf numFmtId="0" fontId="42" fillId="0" borderId="56" xfId="0" applyFont="1" applyFill="1" applyBorder="1" applyAlignment="1">
      <alignment horizontal="center" vertical="center" wrapText="1"/>
    </xf>
    <xf numFmtId="1" fontId="7" fillId="0" borderId="56" xfId="0" applyNumberFormat="1" applyFont="1" applyFill="1" applyBorder="1" applyAlignment="1">
      <alignment horizontal="center" vertical="center" wrapText="1"/>
    </xf>
    <xf numFmtId="0" fontId="43" fillId="9" borderId="56" xfId="0" applyNumberFormat="1" applyFont="1" applyFill="1" applyBorder="1" applyAlignment="1">
      <alignment horizontal="center" vertical="center"/>
    </xf>
    <xf numFmtId="49" fontId="7" fillId="0" borderId="56" xfId="0" applyNumberFormat="1" applyFont="1" applyFill="1" applyBorder="1" applyAlignment="1">
      <alignment horizontal="center" vertical="center" wrapText="1"/>
    </xf>
    <xf numFmtId="0" fontId="11" fillId="6" borderId="1" xfId="0" applyFont="1" applyFill="1" applyBorder="1" applyAlignment="1">
      <alignment vertical="center"/>
    </xf>
    <xf numFmtId="0" fontId="7" fillId="6" borderId="25" xfId="0" applyNumberFormat="1" applyFont="1" applyFill="1" applyBorder="1" applyAlignment="1">
      <alignment horizontal="center" vertical="center"/>
    </xf>
    <xf numFmtId="49" fontId="16" fillId="6" borderId="25" xfId="0" applyNumberFormat="1" applyFont="1" applyFill="1" applyBorder="1" applyAlignment="1">
      <alignment horizontal="center" vertical="center"/>
    </xf>
    <xf numFmtId="0" fontId="16"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49" fontId="7" fillId="6" borderId="26" xfId="0" applyNumberFormat="1" applyFont="1" applyFill="1" applyBorder="1" applyAlignment="1">
      <alignment horizontal="center" vertical="center"/>
    </xf>
    <xf numFmtId="0" fontId="7" fillId="6" borderId="27" xfId="0" applyNumberFormat="1" applyFont="1" applyFill="1" applyBorder="1" applyAlignment="1">
      <alignment horizontal="center" vertical="center"/>
    </xf>
    <xf numFmtId="0" fontId="19" fillId="0" borderId="0" xfId="0" applyFont="1" applyBorder="1" applyAlignment="1">
      <alignment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5"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10" fillId="6" borderId="1" xfId="0" applyFont="1" applyFill="1" applyBorder="1" applyAlignment="1">
      <alignment vertical="center"/>
    </xf>
    <xf numFmtId="49" fontId="27" fillId="6" borderId="25" xfId="0" applyNumberFormat="1" applyFont="1" applyFill="1" applyBorder="1" applyAlignment="1">
      <alignment horizontal="center" vertical="center"/>
    </xf>
    <xf numFmtId="0" fontId="27" fillId="6" borderId="26" xfId="0" applyNumberFormat="1" applyFont="1" applyFill="1" applyBorder="1" applyAlignment="1">
      <alignment horizontal="center" vertical="center"/>
    </xf>
    <xf numFmtId="0" fontId="10" fillId="6" borderId="26"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1" fillId="0" borderId="1" xfId="0" applyFont="1" applyFill="1" applyBorder="1" applyAlignment="1">
      <alignment vertical="center"/>
    </xf>
    <xf numFmtId="49"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4" fillId="8" borderId="1" xfId="0" applyFont="1" applyFill="1" applyBorder="1" applyAlignment="1">
      <alignment vertical="center"/>
    </xf>
    <xf numFmtId="0" fontId="7" fillId="8" borderId="25" xfId="0" applyNumberFormat="1" applyFont="1" applyFill="1" applyBorder="1" applyAlignment="1">
      <alignment horizontal="center" vertical="center"/>
    </xf>
    <xf numFmtId="49" fontId="23" fillId="8" borderId="25" xfId="0" applyNumberFormat="1" applyFont="1" applyFill="1" applyBorder="1" applyAlignment="1">
      <alignment horizontal="center" vertical="center"/>
    </xf>
    <xf numFmtId="0" fontId="23" fillId="8" borderId="26" xfId="0" applyNumberFormat="1" applyFont="1" applyFill="1" applyBorder="1" applyAlignment="1">
      <alignment horizontal="center" vertical="center"/>
    </xf>
    <xf numFmtId="0" fontId="14" fillId="8" borderId="26" xfId="0" applyNumberFormat="1" applyFont="1" applyFill="1" applyBorder="1" applyAlignment="1">
      <alignment horizontal="center" vertical="center"/>
    </xf>
    <xf numFmtId="49" fontId="7" fillId="8" borderId="26" xfId="0" applyNumberFormat="1" applyFont="1" applyFill="1" applyBorder="1" applyAlignment="1">
      <alignment horizontal="center" vertical="center"/>
    </xf>
    <xf numFmtId="0" fontId="7" fillId="8" borderId="27"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5" xfId="0" applyNumberFormat="1" applyFont="1" applyFill="1" applyBorder="1" applyAlignment="1">
      <alignment horizontal="center" vertical="center"/>
    </xf>
    <xf numFmtId="0" fontId="28" fillId="0" borderId="26"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8"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1" fillId="8" borderId="1" xfId="0" applyFont="1" applyFill="1" applyBorder="1" applyAlignment="1">
      <alignment vertical="center"/>
    </xf>
    <xf numFmtId="49" fontId="16" fillId="8" borderId="25" xfId="0" applyNumberFormat="1" applyFont="1" applyFill="1" applyBorder="1" applyAlignment="1">
      <alignment horizontal="center" vertical="center"/>
    </xf>
    <xf numFmtId="0" fontId="16" fillId="8" borderId="26" xfId="0" applyNumberFormat="1" applyFont="1" applyFill="1" applyBorder="1" applyAlignment="1">
      <alignment horizontal="center" vertical="center"/>
    </xf>
    <xf numFmtId="0" fontId="11" fillId="8" borderId="26" xfId="0" applyNumberFormat="1" applyFont="1" applyFill="1" applyBorder="1" applyAlignment="1">
      <alignment horizontal="center" vertical="center"/>
    </xf>
    <xf numFmtId="0" fontId="7" fillId="6" borderId="27" xfId="0" quotePrefix="1"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xf>
    <xf numFmtId="0" fontId="13" fillId="0" borderId="8" xfId="0" applyFont="1" applyFill="1" applyBorder="1" applyAlignment="1">
      <alignment vertical="center"/>
    </xf>
    <xf numFmtId="0" fontId="7" fillId="0" borderId="44" xfId="0" applyNumberFormat="1" applyFont="1" applyFill="1" applyBorder="1" applyAlignment="1">
      <alignment horizontal="center" vertical="center"/>
    </xf>
    <xf numFmtId="49" fontId="24" fillId="0" borderId="44" xfId="0" applyNumberFormat="1" applyFont="1" applyFill="1" applyBorder="1" applyAlignment="1">
      <alignment horizontal="center" vertical="center"/>
    </xf>
    <xf numFmtId="0" fontId="24" fillId="0" borderId="45" xfId="0" applyNumberFormat="1" applyFont="1" applyFill="1" applyBorder="1" applyAlignment="1">
      <alignment horizontal="center" vertical="center"/>
    </xf>
    <xf numFmtId="0" fontId="13" fillId="0" borderId="45" xfId="0" applyNumberFormat="1" applyFont="1" applyFill="1" applyBorder="1" applyAlignment="1">
      <alignment horizontal="center" vertical="center"/>
    </xf>
    <xf numFmtId="49" fontId="7" fillId="0" borderId="45" xfId="0" applyNumberFormat="1" applyFont="1" applyFill="1" applyBorder="1" applyAlignment="1">
      <alignment horizontal="center" vertical="center"/>
    </xf>
    <xf numFmtId="0" fontId="43" fillId="9" borderId="44"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4" fillId="0" borderId="0" xfId="0" applyFont="1" applyBorder="1" applyAlignment="1">
      <alignment horizontal="left" vertical="center"/>
    </xf>
    <xf numFmtId="0" fontId="20" fillId="2" borderId="63" xfId="0" applyFont="1" applyFill="1" applyBorder="1" applyAlignment="1">
      <alignment horizontal="left" vertical="center"/>
    </xf>
    <xf numFmtId="0" fontId="4" fillId="2" borderId="63" xfId="0" applyFont="1" applyFill="1" applyBorder="1" applyAlignment="1">
      <alignment horizontal="centerContinuous" vertical="center"/>
    </xf>
    <xf numFmtId="0" fontId="5" fillId="2" borderId="63" xfId="0" applyFont="1" applyFill="1" applyBorder="1" applyAlignment="1">
      <alignment horizontal="centerContinuous" vertical="center"/>
    </xf>
    <xf numFmtId="0" fontId="35" fillId="2" borderId="111"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0" xfId="0" applyFont="1" applyFill="1" applyBorder="1" applyAlignment="1">
      <alignment horizontal="right" vertical="center"/>
    </xf>
    <xf numFmtId="0" fontId="6" fillId="4" borderId="106" xfId="0" applyFont="1" applyFill="1" applyBorder="1" applyAlignment="1">
      <alignment horizontal="right" vertical="center"/>
    </xf>
    <xf numFmtId="49" fontId="7" fillId="0" borderId="72"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1" xfId="0" applyFont="1" applyFill="1" applyBorder="1" applyAlignment="1">
      <alignment horizontal="right" vertical="center"/>
    </xf>
    <xf numFmtId="49" fontId="7" fillId="0" borderId="24" xfId="0" applyNumberFormat="1" applyFont="1" applyBorder="1" applyAlignment="1">
      <alignment horizontal="centerContinuous" vertical="center"/>
    </xf>
    <xf numFmtId="0" fontId="2" fillId="0" borderId="107" xfId="0" applyFont="1" applyBorder="1" applyAlignment="1">
      <alignment horizontal="centerContinuous" vertical="center"/>
    </xf>
    <xf numFmtId="0" fontId="8" fillId="2" borderId="14" xfId="0" applyFont="1" applyFill="1" applyBorder="1" applyAlignment="1">
      <alignment horizontal="right" vertical="center"/>
    </xf>
    <xf numFmtId="0" fontId="26" fillId="0" borderId="15" xfId="0" applyNumberFormat="1" applyFont="1" applyBorder="1" applyAlignment="1">
      <alignment horizontal="center" vertical="center"/>
    </xf>
    <xf numFmtId="0" fontId="8" fillId="4" borderId="50"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5" xfId="0" applyNumberFormat="1" applyFont="1" applyBorder="1" applyAlignment="1">
      <alignment horizontal="center" vertical="center"/>
    </xf>
    <xf numFmtId="0" fontId="8" fillId="4" borderId="48"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28" xfId="0" applyFont="1" applyBorder="1" applyAlignment="1">
      <alignment horizontal="center" vertical="center"/>
    </xf>
    <xf numFmtId="0" fontId="38" fillId="2" borderId="4" xfId="0" applyFont="1" applyFill="1" applyBorder="1" applyAlignment="1">
      <alignment horizontal="right" vertical="center"/>
    </xf>
    <xf numFmtId="0" fontId="11" fillId="4" borderId="48"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6" xfId="0" applyFont="1" applyFill="1" applyBorder="1" applyAlignment="1">
      <alignment horizontal="right" vertical="center"/>
    </xf>
    <xf numFmtId="0" fontId="7" fillId="0" borderId="24" xfId="0" quotePrefix="1" applyFont="1" applyBorder="1" applyAlignment="1">
      <alignment horizontal="center" vertical="center"/>
    </xf>
    <xf numFmtId="49" fontId="26" fillId="0" borderId="24" xfId="0" applyNumberFormat="1" applyFont="1" applyBorder="1" applyAlignment="1">
      <alignment horizontal="center" vertical="center"/>
    </xf>
    <xf numFmtId="0" fontId="11" fillId="4" borderId="49" xfId="0" applyFont="1" applyFill="1" applyBorder="1" applyAlignment="1">
      <alignment horizontal="righ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49" fontId="7" fillId="0" borderId="25" xfId="0" applyNumberFormat="1" applyFont="1" applyFill="1" applyBorder="1" applyAlignment="1">
      <alignment horizontal="center" vertical="center"/>
    </xf>
    <xf numFmtId="0" fontId="2" fillId="0" borderId="38" xfId="0" applyFont="1" applyBorder="1" applyAlignment="1">
      <alignment horizontal="left" vertical="center"/>
    </xf>
    <xf numFmtId="0" fontId="2" fillId="0" borderId="112" xfId="0" applyFont="1" applyFill="1" applyBorder="1" applyAlignment="1">
      <alignment horizontal="centerContinuous" vertical="center" shrinkToFit="1"/>
    </xf>
    <xf numFmtId="0" fontId="21" fillId="0" borderId="113" xfId="0" applyFont="1" applyFill="1" applyBorder="1" applyAlignment="1">
      <alignment horizontal="centerContinuous" vertical="center"/>
    </xf>
    <xf numFmtId="0" fontId="2" fillId="0" borderId="114" xfId="0" applyFont="1" applyFill="1" applyBorder="1" applyAlignment="1">
      <alignment horizontal="center" vertical="center"/>
    </xf>
    <xf numFmtId="0" fontId="2" fillId="0" borderId="115" xfId="0" applyFont="1" applyFill="1" applyBorder="1" applyAlignment="1">
      <alignment horizontal="centerContinuous" vertical="center"/>
    </xf>
    <xf numFmtId="0" fontId="2" fillId="0" borderId="0" xfId="0" applyFont="1" applyBorder="1" applyAlignment="1">
      <alignment vertical="center"/>
    </xf>
    <xf numFmtId="0" fontId="39" fillId="0" borderId="34" xfId="0" applyFont="1" applyFill="1" applyBorder="1" applyAlignment="1">
      <alignment horizontal="center" vertical="center" shrinkToFit="1"/>
    </xf>
    <xf numFmtId="0" fontId="2" fillId="0" borderId="104" xfId="0" applyFont="1" applyFill="1" applyBorder="1" applyAlignment="1">
      <alignment horizontal="centerContinuous" vertical="center" shrinkToFit="1"/>
    </xf>
    <xf numFmtId="0" fontId="21" fillId="0" borderId="90" xfId="0" applyFont="1" applyFill="1" applyBorder="1" applyAlignment="1">
      <alignment horizontal="centerContinuous" vertical="center"/>
    </xf>
    <xf numFmtId="0" fontId="2" fillId="0" borderId="87" xfId="0" applyFont="1" applyFill="1" applyBorder="1" applyAlignment="1">
      <alignment horizontal="centerContinuous" vertical="center"/>
    </xf>
    <xf numFmtId="0" fontId="2" fillId="0" borderId="88" xfId="0" applyFont="1" applyFill="1" applyBorder="1" applyAlignment="1">
      <alignment horizontal="centerContinuous" vertical="center"/>
    </xf>
    <xf numFmtId="1" fontId="5" fillId="0" borderId="115" xfId="0" applyNumberFormat="1" applyFont="1" applyFill="1" applyBorder="1" applyAlignment="1">
      <alignment horizontal="center" vertical="center"/>
    </xf>
    <xf numFmtId="1" fontId="45" fillId="9" borderId="115" xfId="0" applyNumberFormat="1" applyFont="1" applyFill="1" applyBorder="1" applyAlignment="1">
      <alignment horizontal="center" vertical="center"/>
    </xf>
    <xf numFmtId="1" fontId="2" fillId="0" borderId="115" xfId="0" applyNumberFormat="1" applyFont="1" applyBorder="1" applyAlignment="1">
      <alignment horizontal="center" vertical="center"/>
    </xf>
    <xf numFmtId="1" fontId="5" fillId="0" borderId="0" xfId="0" applyNumberFormat="1" applyFont="1" applyBorder="1" applyAlignment="1">
      <alignment vertical="center"/>
    </xf>
    <xf numFmtId="1" fontId="21" fillId="7" borderId="31" xfId="0" applyNumberFormat="1" applyFont="1" applyFill="1" applyBorder="1" applyAlignment="1">
      <alignment horizontal="center" vertical="center"/>
    </xf>
    <xf numFmtId="1" fontId="2" fillId="0" borderId="51" xfId="0" applyNumberFormat="1" applyFont="1" applyFill="1" applyBorder="1" applyAlignment="1">
      <alignment horizontal="center" vertical="center"/>
    </xf>
    <xf numFmtId="1" fontId="2" fillId="0" borderId="78" xfId="0" applyNumberFormat="1" applyFont="1" applyFill="1" applyBorder="1" applyAlignment="1">
      <alignment horizontal="center" vertical="center"/>
    </xf>
    <xf numFmtId="1" fontId="2" fillId="0" borderId="46"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0" fontId="2" fillId="0" borderId="81" xfId="0" applyFont="1" applyFill="1" applyBorder="1" applyAlignment="1">
      <alignment horizontal="center" vertical="center"/>
    </xf>
    <xf numFmtId="0" fontId="7" fillId="0" borderId="26" xfId="2" applyNumberFormat="1" applyFont="1" applyBorder="1" applyAlignment="1">
      <alignment horizontal="center" vertical="center" shrinkToFit="1"/>
    </xf>
    <xf numFmtId="0" fontId="48" fillId="0" borderId="1" xfId="0" applyFont="1" applyFill="1" applyBorder="1" applyAlignment="1">
      <alignment vertical="center"/>
    </xf>
    <xf numFmtId="0" fontId="6" fillId="0" borderId="25" xfId="0" applyFont="1" applyFill="1" applyBorder="1" applyAlignment="1">
      <alignment horizontal="center" vertical="center"/>
    </xf>
    <xf numFmtId="1" fontId="7" fillId="0" borderId="25" xfId="0" applyNumberFormat="1" applyFont="1" applyFill="1" applyBorder="1" applyAlignment="1">
      <alignment horizontal="center" vertical="center" wrapText="1"/>
    </xf>
    <xf numFmtId="49" fontId="7" fillId="0" borderId="25" xfId="0" applyNumberFormat="1" applyFont="1" applyFill="1" applyBorder="1" applyAlignment="1">
      <alignment horizontal="center" vertical="center" wrapText="1"/>
    </xf>
    <xf numFmtId="0" fontId="49" fillId="0" borderId="1" xfId="0" applyFont="1" applyFill="1" applyBorder="1" applyAlignment="1">
      <alignment vertical="center"/>
    </xf>
    <xf numFmtId="0" fontId="7" fillId="0" borderId="61" xfId="0" quotePrefix="1" applyFont="1" applyFill="1" applyBorder="1" applyAlignment="1">
      <alignment horizontal="center" vertical="center"/>
    </xf>
    <xf numFmtId="0" fontId="10" fillId="0" borderId="26" xfId="0" applyNumberFormat="1" applyFont="1" applyFill="1" applyBorder="1" applyAlignment="1">
      <alignment horizontal="center" vertical="center"/>
    </xf>
    <xf numFmtId="0" fontId="2" fillId="0" borderId="0" xfId="0" applyFont="1" applyFill="1" applyBorder="1" applyAlignment="1">
      <alignment horizontal="center" vertical="center"/>
    </xf>
    <xf numFmtId="1" fontId="2" fillId="8" borderId="46" xfId="0" applyNumberFormat="1" applyFont="1" applyFill="1" applyBorder="1" applyAlignment="1">
      <alignment horizontal="center" vertical="center"/>
    </xf>
    <xf numFmtId="0" fontId="4" fillId="0" borderId="0" xfId="0" applyFont="1" applyBorder="1" applyAlignment="1">
      <alignment horizontal="right"/>
    </xf>
    <xf numFmtId="0" fontId="2" fillId="0" borderId="0" xfId="0" applyFont="1" applyBorder="1" applyAlignment="1"/>
    <xf numFmtId="0" fontId="2" fillId="0" borderId="101" xfId="0" applyFont="1" applyFill="1" applyBorder="1" applyAlignment="1">
      <alignment horizontal="centerContinuous" vertical="center" shrinkToFit="1"/>
    </xf>
    <xf numFmtId="0" fontId="21" fillId="0" borderId="102" xfId="0" applyFont="1" applyFill="1" applyBorder="1" applyAlignment="1">
      <alignment horizontal="centerContinuous" vertical="center"/>
    </xf>
    <xf numFmtId="0" fontId="2" fillId="0" borderId="79" xfId="0" applyFont="1" applyFill="1" applyBorder="1" applyAlignment="1">
      <alignment horizontal="center" vertical="center"/>
    </xf>
    <xf numFmtId="0" fontId="5" fillId="0" borderId="0" xfId="0" applyFont="1" applyFill="1" applyBorder="1" applyAlignment="1">
      <alignment vertical="center"/>
    </xf>
    <xf numFmtId="0" fontId="9" fillId="0" borderId="3" xfId="0" quotePrefix="1" applyFont="1" applyFill="1" applyBorder="1" applyAlignment="1">
      <alignment horizontal="center" vertical="center"/>
    </xf>
    <xf numFmtId="0" fontId="39" fillId="0" borderId="34" xfId="0" applyFont="1" applyFill="1" applyBorder="1" applyAlignment="1">
      <alignment horizontal="centerContinuous" vertical="center"/>
    </xf>
    <xf numFmtId="0" fontId="7" fillId="0" borderId="27" xfId="0" quotePrefix="1" applyFont="1" applyFill="1" applyBorder="1" applyAlignment="1">
      <alignment horizontal="center" vertical="center"/>
    </xf>
    <xf numFmtId="0" fontId="13" fillId="8" borderId="1" xfId="0" applyFont="1" applyFill="1" applyBorder="1" applyAlignment="1">
      <alignment vertical="center"/>
    </xf>
    <xf numFmtId="49" fontId="24" fillId="8" borderId="25" xfId="0" applyNumberFormat="1" applyFont="1" applyFill="1" applyBorder="1" applyAlignment="1">
      <alignment horizontal="center" vertical="center"/>
    </xf>
    <xf numFmtId="0" fontId="24" fillId="8" borderId="26" xfId="0" applyNumberFormat="1" applyFont="1" applyFill="1" applyBorder="1" applyAlignment="1">
      <alignment horizontal="center" vertical="center"/>
    </xf>
    <xf numFmtId="0" fontId="13" fillId="8" borderId="26" xfId="0" applyNumberFormat="1" applyFont="1" applyFill="1" applyBorder="1" applyAlignment="1">
      <alignment horizontal="center" vertical="center"/>
    </xf>
    <xf numFmtId="0" fontId="43" fillId="9" borderId="13" xfId="0" applyNumberFormat="1" applyFont="1" applyFill="1" applyBorder="1" applyAlignment="1">
      <alignment horizontal="center" vertical="center"/>
    </xf>
    <xf numFmtId="0" fontId="13" fillId="6" borderId="1" xfId="0" applyFont="1" applyFill="1" applyBorder="1" applyAlignment="1">
      <alignment vertical="center"/>
    </xf>
    <xf numFmtId="49" fontId="24" fillId="6" borderId="25" xfId="0" applyNumberFormat="1" applyFont="1" applyFill="1" applyBorder="1" applyAlignment="1">
      <alignment horizontal="center" vertical="center"/>
    </xf>
    <xf numFmtId="0" fontId="24" fillId="6" borderId="26" xfId="0" applyNumberFormat="1" applyFont="1" applyFill="1" applyBorder="1" applyAlignment="1">
      <alignment horizontal="center" vertical="center"/>
    </xf>
    <xf numFmtId="0" fontId="13" fillId="6" borderId="26" xfId="0" applyNumberFormat="1" applyFont="1" applyFill="1" applyBorder="1" applyAlignment="1">
      <alignment horizontal="center" vertical="center"/>
    </xf>
    <xf numFmtId="0" fontId="7" fillId="0" borderId="1" xfId="0" quotePrefix="1" applyFont="1" applyBorder="1" applyAlignment="1">
      <alignment vertical="center"/>
    </xf>
    <xf numFmtId="0" fontId="7" fillId="0" borderId="2" xfId="0" quotePrefix="1" applyFont="1" applyFill="1" applyBorder="1" applyAlignment="1">
      <alignment horizontal="center" vertical="center"/>
    </xf>
    <xf numFmtId="0" fontId="7" fillId="8" borderId="27" xfId="0" quotePrefix="1" applyNumberFormat="1" applyFont="1" applyFill="1" applyBorder="1" applyAlignment="1">
      <alignment horizontal="center" vertical="center"/>
    </xf>
    <xf numFmtId="9" fontId="2" fillId="0" borderId="0" xfId="2" applyFont="1" applyBorder="1" applyAlignment="1">
      <alignment horizontal="center"/>
    </xf>
    <xf numFmtId="0" fontId="5" fillId="0" borderId="0" xfId="0" applyFont="1" applyFill="1" applyBorder="1" applyAlignment="1">
      <alignment horizontal="center" vertical="center"/>
    </xf>
    <xf numFmtId="1" fontId="45" fillId="9" borderId="86" xfId="0" applyNumberFormat="1" applyFont="1" applyFill="1" applyBorder="1" applyAlignment="1">
      <alignment horizontal="center" vertical="center"/>
    </xf>
    <xf numFmtId="0" fontId="51" fillId="12" borderId="85" xfId="0" applyFont="1" applyFill="1" applyBorder="1" applyAlignment="1">
      <alignment horizontal="center" vertical="center"/>
    </xf>
    <xf numFmtId="0" fontId="51" fillId="12" borderId="86" xfId="0" applyFont="1" applyFill="1" applyBorder="1" applyAlignment="1">
      <alignment horizontal="center" vertical="center"/>
    </xf>
    <xf numFmtId="49" fontId="51" fillId="12" borderId="86" xfId="0" applyNumberFormat="1" applyFont="1" applyFill="1" applyBorder="1" applyAlignment="1">
      <alignment horizontal="center" vertical="center"/>
    </xf>
    <xf numFmtId="164" fontId="51" fillId="12" borderId="86" xfId="0" applyNumberFormat="1" applyFont="1" applyFill="1" applyBorder="1" applyAlignment="1">
      <alignment horizontal="center" vertical="center"/>
    </xf>
    <xf numFmtId="1" fontId="51" fillId="12" borderId="87" xfId="0" applyNumberFormat="1" applyFont="1" applyFill="1" applyBorder="1" applyAlignment="1">
      <alignment horizontal="center" vertical="center"/>
    </xf>
    <xf numFmtId="0" fontId="51" fillId="12" borderId="110" xfId="0" applyFont="1" applyFill="1" applyBorder="1" applyAlignment="1">
      <alignment horizontal="center" vertical="center"/>
    </xf>
    <xf numFmtId="1" fontId="51" fillId="12" borderId="46" xfId="0" applyNumberFormat="1" applyFont="1" applyFill="1" applyBorder="1" applyAlignment="1">
      <alignment horizontal="center" vertical="center"/>
    </xf>
    <xf numFmtId="0" fontId="52" fillId="0" borderId="52" xfId="0" applyFont="1" applyFill="1" applyBorder="1" applyAlignment="1">
      <alignment horizontal="center" vertical="center" shrinkToFit="1"/>
    </xf>
    <xf numFmtId="0" fontId="14" fillId="6" borderId="1" xfId="0" applyFont="1" applyFill="1" applyBorder="1" applyAlignment="1">
      <alignment vertical="center"/>
    </xf>
    <xf numFmtId="49" fontId="23" fillId="6" borderId="25" xfId="0" applyNumberFormat="1" applyFont="1" applyFill="1" applyBorder="1" applyAlignment="1">
      <alignment horizontal="center" vertical="center"/>
    </xf>
    <xf numFmtId="0" fontId="23" fillId="6" borderId="26" xfId="0" applyNumberFormat="1" applyFont="1" applyFill="1" applyBorder="1" applyAlignment="1">
      <alignment horizontal="center" vertical="center"/>
    </xf>
    <xf numFmtId="0" fontId="14" fillId="6" borderId="26" xfId="0" applyNumberFormat="1" applyFont="1" applyFill="1" applyBorder="1" applyAlignment="1">
      <alignment horizontal="center" vertical="center"/>
    </xf>
    <xf numFmtId="3" fontId="5" fillId="0" borderId="0" xfId="0" applyNumberFormat="1" applyFont="1" applyBorder="1" applyAlignment="1">
      <alignment vertical="center"/>
    </xf>
    <xf numFmtId="0" fontId="27" fillId="0" borderId="46" xfId="0" applyFont="1" applyFill="1" applyBorder="1" applyAlignment="1">
      <alignment horizontal="centerContinuous" vertical="center" shrinkToFit="1"/>
    </xf>
    <xf numFmtId="164" fontId="21" fillId="3" borderId="31" xfId="0" applyNumberFormat="1" applyFont="1" applyFill="1" applyBorder="1" applyAlignment="1">
      <alignment horizontal="center" vertical="center"/>
    </xf>
    <xf numFmtId="1" fontId="2" fillId="0" borderId="51" xfId="0" applyNumberFormat="1" applyFont="1" applyBorder="1" applyAlignment="1">
      <alignment horizontal="center" vertical="center" shrinkToFit="1"/>
    </xf>
    <xf numFmtId="1" fontId="2" fillId="0" borderId="34" xfId="0" applyNumberFormat="1" applyFont="1" applyBorder="1" applyAlignment="1">
      <alignment horizontal="center" vertical="center" shrinkToFit="1"/>
    </xf>
    <xf numFmtId="1" fontId="5" fillId="0" borderId="34" xfId="0" applyNumberFormat="1" applyFont="1" applyBorder="1" applyAlignment="1">
      <alignment horizontal="center" vertical="center" shrinkToFit="1"/>
    </xf>
    <xf numFmtId="1" fontId="5" fillId="0" borderId="46" xfId="0" applyNumberFormat="1" applyFont="1" applyBorder="1" applyAlignment="1">
      <alignment horizontal="center" vertical="center" shrinkToFit="1"/>
    </xf>
    <xf numFmtId="1" fontId="5" fillId="0" borderId="117" xfId="0" applyNumberFormat="1" applyFont="1" applyBorder="1" applyAlignment="1">
      <alignment horizontal="center" vertical="center" shrinkToFit="1"/>
    </xf>
    <xf numFmtId="49" fontId="28" fillId="6" borderId="25" xfId="0" applyNumberFormat="1" applyFont="1" applyFill="1" applyBorder="1" applyAlignment="1">
      <alignment horizontal="center" vertical="center"/>
    </xf>
    <xf numFmtId="0" fontId="28" fillId="6" borderId="26" xfId="0" applyNumberFormat="1" applyFont="1" applyFill="1" applyBorder="1" applyAlignment="1">
      <alignment horizontal="center" vertical="center"/>
    </xf>
    <xf numFmtId="0" fontId="22" fillId="6" borderId="26" xfId="0" applyNumberFormat="1" applyFont="1" applyFill="1" applyBorder="1" applyAlignment="1">
      <alignment horizontal="center" vertical="center"/>
    </xf>
    <xf numFmtId="1" fontId="7" fillId="0" borderId="12" xfId="0" applyNumberFormat="1" applyFont="1" applyBorder="1" applyAlignment="1">
      <alignment horizontal="center" vertical="center"/>
    </xf>
    <xf numFmtId="0" fontId="53" fillId="5" borderId="27" xfId="2" applyNumberFormat="1" applyFont="1" applyFill="1" applyBorder="1" applyAlignment="1">
      <alignment horizontal="center" vertical="center" shrinkToFit="1"/>
    </xf>
    <xf numFmtId="0" fontId="7" fillId="0" borderId="44" xfId="0" applyFont="1" applyFill="1" applyBorder="1" applyAlignment="1">
      <alignment horizontal="center" vertical="center"/>
    </xf>
    <xf numFmtId="49" fontId="7" fillId="0" borderId="44" xfId="0" applyNumberFormat="1" applyFont="1" applyFill="1" applyBorder="1" applyAlignment="1">
      <alignment horizontal="center" vertical="center"/>
    </xf>
    <xf numFmtId="0" fontId="53" fillId="5" borderId="33" xfId="2" applyNumberFormat="1" applyFont="1" applyFill="1" applyBorder="1" applyAlignment="1">
      <alignment horizontal="center" vertical="center" shrinkToFit="1"/>
    </xf>
    <xf numFmtId="0" fontId="7" fillId="0" borderId="0" xfId="0" applyFont="1" applyBorder="1" applyAlignment="1">
      <alignment vertical="center" wrapText="1"/>
    </xf>
    <xf numFmtId="0" fontId="6" fillId="0" borderId="5" xfId="0" applyFont="1" applyBorder="1" applyAlignment="1">
      <alignment horizontal="centerContinuous" vertical="center"/>
    </xf>
    <xf numFmtId="0" fontId="6" fillId="0" borderId="6" xfId="0" applyFont="1" applyBorder="1" applyAlignment="1">
      <alignment horizontal="centerContinuous" vertical="center"/>
    </xf>
    <xf numFmtId="0" fontId="7" fillId="0" borderId="6" xfId="0" applyFont="1" applyBorder="1" applyAlignment="1">
      <alignment horizontal="centerContinuous" vertical="center" wrapText="1"/>
    </xf>
    <xf numFmtId="0" fontId="7" fillId="0" borderId="7" xfId="0" applyFont="1" applyBorder="1" applyAlignment="1">
      <alignment horizontal="centerContinuous"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64" xfId="0" applyFont="1" applyBorder="1" applyAlignment="1">
      <alignment horizontal="right" vertical="center"/>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10" borderId="66" xfId="0" applyFont="1" applyFill="1" applyBorder="1" applyAlignment="1">
      <alignment horizontal="center" vertical="center" wrapText="1"/>
    </xf>
    <xf numFmtId="0" fontId="7" fillId="10" borderId="67" xfId="0" applyFont="1" applyFill="1" applyBorder="1" applyAlignment="1">
      <alignment horizontal="center" vertical="center" wrapText="1"/>
    </xf>
    <xf numFmtId="0" fontId="6" fillId="0" borderId="34" xfId="0" applyFont="1" applyBorder="1" applyAlignment="1">
      <alignment horizontal="right" vertical="center"/>
    </xf>
    <xf numFmtId="0" fontId="7" fillId="0" borderId="68" xfId="0" applyFont="1" applyBorder="1" applyAlignment="1">
      <alignment horizontal="center" vertical="center" wrapText="1"/>
    </xf>
    <xf numFmtId="0" fontId="7" fillId="10" borderId="38"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54" fillId="0" borderId="58" xfId="0" applyFont="1" applyBorder="1" applyAlignment="1">
      <alignment horizontal="centerContinuous" vertical="center" wrapText="1"/>
    </xf>
    <xf numFmtId="0" fontId="6" fillId="0" borderId="58" xfId="0" applyFont="1" applyBorder="1" applyAlignment="1">
      <alignment horizontal="centerContinuous" vertical="center" wrapText="1"/>
    </xf>
    <xf numFmtId="0" fontId="6" fillId="0" borderId="59" xfId="0" applyFont="1" applyBorder="1" applyAlignment="1">
      <alignment horizontal="centerContinuous" vertical="center" wrapText="1"/>
    </xf>
    <xf numFmtId="0" fontId="7" fillId="0" borderId="77" xfId="0" applyFont="1" applyFill="1" applyBorder="1" applyAlignment="1">
      <alignment horizontal="center" vertical="center"/>
    </xf>
    <xf numFmtId="0" fontId="7" fillId="0" borderId="13" xfId="0" applyFont="1" applyFill="1" applyBorder="1" applyAlignment="1">
      <alignment horizontal="center" vertical="center"/>
    </xf>
    <xf numFmtId="49" fontId="7" fillId="0" borderId="13" xfId="0" applyNumberFormat="1" applyFont="1" applyFill="1" applyBorder="1" applyAlignment="1">
      <alignment horizontal="center" vertical="center"/>
    </xf>
    <xf numFmtId="0" fontId="53" fillId="5" borderId="53" xfId="2" applyNumberFormat="1"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8" xfId="0" applyFont="1" applyFill="1" applyBorder="1" applyAlignment="1">
      <alignment horizontal="center" vertical="center"/>
    </xf>
    <xf numFmtId="0" fontId="55" fillId="9" borderId="55" xfId="0" applyFont="1" applyFill="1" applyBorder="1" applyAlignment="1">
      <alignment horizontal="centerContinuous" vertical="center" wrapText="1"/>
    </xf>
    <xf numFmtId="0" fontId="55" fillId="9" borderId="76" xfId="0" applyFont="1" applyFill="1" applyBorder="1" applyAlignment="1">
      <alignment horizontal="center" vertical="center" wrapText="1"/>
    </xf>
    <xf numFmtId="0" fontId="55" fillId="9" borderId="60" xfId="0" applyFont="1" applyFill="1" applyBorder="1" applyAlignment="1">
      <alignment horizontal="center" vertical="center" wrapText="1"/>
    </xf>
    <xf numFmtId="0" fontId="55" fillId="9" borderId="61" xfId="0" applyFont="1" applyFill="1" applyBorder="1" applyAlignment="1">
      <alignment horizontal="center" vertical="center" wrapText="1"/>
    </xf>
    <xf numFmtId="0" fontId="56" fillId="0" borderId="57" xfId="0" applyFont="1" applyBorder="1" applyAlignment="1">
      <alignment horizontal="centerContinuous" vertical="center" wrapText="1"/>
    </xf>
    <xf numFmtId="165" fontId="2" fillId="0" borderId="0" xfId="0" applyNumberFormat="1" applyFont="1" applyBorder="1" applyAlignment="1">
      <alignment vertical="center"/>
    </xf>
    <xf numFmtId="0" fontId="7" fillId="0" borderId="71" xfId="0" applyNumberFormat="1" applyFont="1" applyFill="1" applyBorder="1" applyAlignment="1">
      <alignment horizontal="centerContinuous" vertical="center"/>
    </xf>
    <xf numFmtId="0" fontId="2" fillId="0" borderId="73" xfId="0" applyNumberFormat="1" applyFont="1" applyFill="1" applyBorder="1" applyAlignment="1">
      <alignment horizontal="centerContinuous" vertical="center"/>
    </xf>
    <xf numFmtId="0" fontId="15" fillId="0" borderId="0" xfId="0" applyFont="1" applyBorder="1" applyAlignment="1">
      <alignment horizontal="centerContinuous"/>
    </xf>
    <xf numFmtId="0" fontId="15" fillId="0" borderId="0" xfId="0" applyFont="1" applyBorder="1" applyAlignment="1">
      <alignment horizontal="centerContinuous" wrapText="1"/>
    </xf>
    <xf numFmtId="0" fontId="2" fillId="0" borderId="0" xfId="0" applyFont="1" applyBorder="1" applyAlignment="1">
      <alignment wrapText="1"/>
    </xf>
    <xf numFmtId="0" fontId="4" fillId="0" borderId="0" xfId="0" applyFont="1" applyBorder="1" applyAlignment="1">
      <alignment wrapText="1"/>
    </xf>
    <xf numFmtId="0" fontId="7" fillId="0" borderId="25" xfId="0" applyFont="1" applyFill="1" applyBorder="1" applyAlignment="1">
      <alignment horizontal="center" wrapText="1"/>
    </xf>
    <xf numFmtId="9" fontId="7" fillId="0" borderId="25" xfId="2" applyFont="1" applyFill="1" applyBorder="1" applyAlignment="1">
      <alignment horizontal="center" shrinkToFit="1"/>
    </xf>
    <xf numFmtId="0" fontId="7" fillId="0" borderId="26" xfId="2" applyNumberFormat="1" applyFont="1" applyFill="1" applyBorder="1" applyAlignment="1">
      <alignment horizontal="center" shrinkToFit="1"/>
    </xf>
    <xf numFmtId="0" fontId="7" fillId="0" borderId="27" xfId="0" applyNumberFormat="1" applyFont="1" applyFill="1" applyBorder="1" applyAlignment="1">
      <alignment horizontal="center" wrapText="1"/>
    </xf>
    <xf numFmtId="0" fontId="7" fillId="0" borderId="25" xfId="0" applyFont="1" applyBorder="1" applyAlignment="1">
      <alignment horizontal="center" vertical="center" shrinkToFit="1"/>
    </xf>
    <xf numFmtId="9" fontId="7" fillId="0" borderId="26" xfId="2" applyFont="1" applyFill="1" applyBorder="1" applyAlignment="1">
      <alignment horizontal="center" shrinkToFit="1"/>
    </xf>
    <xf numFmtId="0" fontId="7" fillId="0" borderId="26" xfId="2" applyNumberFormat="1" applyFont="1" applyBorder="1" applyAlignment="1">
      <alignment horizontal="center" shrinkToFit="1"/>
    </xf>
    <xf numFmtId="0" fontId="7" fillId="0" borderId="56" xfId="0" applyFont="1" applyBorder="1" applyAlignment="1">
      <alignment horizontal="center" vertical="center" shrinkToFit="1"/>
    </xf>
    <xf numFmtId="0" fontId="7" fillId="0" borderId="15" xfId="2" applyNumberFormat="1" applyFont="1" applyBorder="1" applyAlignment="1">
      <alignment horizontal="center" vertical="center" shrinkToFit="1"/>
    </xf>
    <xf numFmtId="9" fontId="7" fillId="0" borderId="56" xfId="2" applyFont="1" applyFill="1" applyBorder="1" applyAlignment="1">
      <alignment horizontal="center" shrinkToFit="1"/>
    </xf>
    <xf numFmtId="9" fontId="7" fillId="0" borderId="15" xfId="2" applyFont="1" applyFill="1" applyBorder="1" applyAlignment="1">
      <alignment horizontal="center" shrinkToFit="1"/>
    </xf>
    <xf numFmtId="0" fontId="7" fillId="0" borderId="15" xfId="2" applyNumberFormat="1" applyFont="1" applyFill="1" applyBorder="1" applyAlignment="1">
      <alignment horizontal="center" shrinkToFit="1"/>
    </xf>
    <xf numFmtId="0" fontId="4" fillId="0" borderId="0" xfId="0" applyFont="1" applyBorder="1" applyAlignment="1">
      <alignment horizontal="right" wrapText="1"/>
    </xf>
    <xf numFmtId="0" fontId="2" fillId="0" borderId="0" xfId="0" applyFont="1" applyBorder="1" applyAlignment="1">
      <alignment horizontal="left" wrapText="1"/>
    </xf>
    <xf numFmtId="0" fontId="12" fillId="7" borderId="118" xfId="0" applyFont="1" applyFill="1" applyBorder="1" applyAlignment="1">
      <alignment horizontal="centerContinuous" vertical="center" wrapText="1"/>
    </xf>
    <xf numFmtId="0" fontId="12" fillId="7" borderId="119" xfId="0" applyFont="1" applyFill="1" applyBorder="1" applyAlignment="1">
      <alignment horizontal="center" vertical="center"/>
    </xf>
    <xf numFmtId="0" fontId="12" fillId="7" borderId="119" xfId="0" applyFont="1" applyFill="1" applyBorder="1" applyAlignment="1">
      <alignment horizontal="center" vertical="center" wrapText="1"/>
    </xf>
    <xf numFmtId="0" fontId="21" fillId="7" borderId="119" xfId="0" applyFont="1" applyFill="1" applyBorder="1" applyAlignment="1">
      <alignment horizontal="center" vertical="center" wrapText="1"/>
    </xf>
    <xf numFmtId="0" fontId="57" fillId="0" borderId="23" xfId="0" applyFont="1" applyBorder="1" applyAlignment="1">
      <alignment horizontal="centerContinuous" wrapText="1"/>
    </xf>
    <xf numFmtId="0" fontId="12" fillId="7" borderId="119" xfId="0" applyNumberFormat="1" applyFont="1" applyFill="1" applyBorder="1" applyAlignment="1">
      <alignment horizontal="center" vertical="center" wrapText="1"/>
    </xf>
    <xf numFmtId="0" fontId="50" fillId="2" borderId="62" xfId="0" applyFont="1" applyFill="1" applyBorder="1" applyAlignment="1">
      <alignment horizontal="right" vertical="center"/>
    </xf>
    <xf numFmtId="0" fontId="50" fillId="2" borderId="63" xfId="0" applyFont="1" applyFill="1" applyBorder="1" applyAlignment="1">
      <alignment horizontal="left" vertical="center"/>
    </xf>
    <xf numFmtId="1" fontId="7" fillId="0" borderId="28" xfId="0" applyNumberFormat="1" applyFont="1" applyFill="1" applyBorder="1" applyAlignment="1">
      <alignment horizontal="center" vertical="center"/>
    </xf>
    <xf numFmtId="0" fontId="9" fillId="13" borderId="3" xfId="0" quotePrefix="1" applyFont="1" applyFill="1" applyBorder="1" applyAlignment="1">
      <alignment horizontal="center" vertical="center"/>
    </xf>
    <xf numFmtId="49" fontId="5" fillId="0" borderId="0" xfId="0" applyNumberFormat="1" applyFont="1" applyBorder="1" applyAlignment="1">
      <alignment horizontal="center" vertical="center"/>
    </xf>
    <xf numFmtId="49" fontId="2" fillId="0" borderId="0" xfId="0" applyNumberFormat="1" applyFont="1" applyBorder="1" applyAlignment="1">
      <alignment horizontal="center" vertical="center"/>
    </xf>
    <xf numFmtId="0" fontId="22" fillId="6" borderId="1" xfId="0" applyFont="1" applyFill="1" applyBorder="1" applyAlignment="1">
      <alignment vertical="center"/>
    </xf>
    <xf numFmtId="49" fontId="28" fillId="8" borderId="25" xfId="0" applyNumberFormat="1" applyFont="1" applyFill="1" applyBorder="1" applyAlignment="1">
      <alignment horizontal="center" vertical="center"/>
    </xf>
    <xf numFmtId="0" fontId="28" fillId="8" borderId="26" xfId="0" applyNumberFormat="1" applyFont="1" applyFill="1" applyBorder="1" applyAlignment="1">
      <alignment horizontal="center" vertical="center"/>
    </xf>
    <xf numFmtId="0" fontId="22" fillId="8" borderId="26" xfId="0" applyNumberFormat="1" applyFont="1" applyFill="1" applyBorder="1" applyAlignment="1">
      <alignment horizontal="center" vertical="center"/>
    </xf>
    <xf numFmtId="0" fontId="58" fillId="0" borderId="31" xfId="0" applyFont="1" applyBorder="1" applyAlignment="1">
      <alignment horizontal="centerContinuous" vertical="center" wrapText="1"/>
    </xf>
    <xf numFmtId="0" fontId="7" fillId="0" borderId="51" xfId="0" applyFont="1" applyFill="1" applyBorder="1" applyAlignment="1">
      <alignment horizontal="centerContinuous"/>
    </xf>
    <xf numFmtId="0" fontId="7" fillId="0" borderId="78" xfId="0" applyFont="1" applyFill="1" applyBorder="1" applyAlignment="1">
      <alignment horizontal="centerContinuous"/>
    </xf>
    <xf numFmtId="0" fontId="7" fillId="0" borderId="78" xfId="0" quotePrefix="1" applyFont="1" applyFill="1" applyBorder="1" applyAlignment="1">
      <alignment horizontal="centerContinuous"/>
    </xf>
    <xf numFmtId="0" fontId="7" fillId="0" borderId="52" xfId="0" quotePrefix="1" applyFont="1" applyFill="1" applyBorder="1" applyAlignment="1">
      <alignment horizontal="centerContinuous"/>
    </xf>
    <xf numFmtId="0" fontId="7" fillId="0" borderId="34" xfId="0" applyFont="1" applyFill="1" applyBorder="1" applyAlignment="1">
      <alignment horizontal="centerContinuous"/>
    </xf>
    <xf numFmtId="0" fontId="7" fillId="0" borderId="52" xfId="0" applyFont="1" applyFill="1" applyBorder="1" applyAlignment="1">
      <alignment horizontal="centerContinuous"/>
    </xf>
    <xf numFmtId="0" fontId="17" fillId="0" borderId="34" xfId="0" applyFont="1" applyBorder="1" applyAlignment="1">
      <alignment horizontal="centerContinuous"/>
    </xf>
    <xf numFmtId="0" fontId="27" fillId="0" borderId="34" xfId="0" applyFont="1" applyBorder="1" applyAlignment="1">
      <alignment horizontal="centerContinuous"/>
    </xf>
    <xf numFmtId="0" fontId="27" fillId="0" borderId="34" xfId="0" applyFont="1" applyFill="1" applyBorder="1" applyAlignment="1">
      <alignment horizontal="centerContinuous" shrinkToFit="1"/>
    </xf>
    <xf numFmtId="0" fontId="39" fillId="0" borderId="52" xfId="0" applyFont="1" applyFill="1" applyBorder="1" applyAlignment="1">
      <alignment horizontal="centerContinuous"/>
    </xf>
    <xf numFmtId="0" fontId="59" fillId="0" borderId="31" xfId="0" applyFont="1" applyBorder="1" applyAlignment="1">
      <alignment horizontal="centerContinuous"/>
    </xf>
    <xf numFmtId="0" fontId="59" fillId="0" borderId="31" xfId="0" applyFont="1" applyFill="1" applyBorder="1" applyAlignment="1">
      <alignment horizontal="centerContinuous" vertical="center"/>
    </xf>
    <xf numFmtId="0" fontId="60" fillId="0" borderId="31" xfId="0" applyFont="1" applyBorder="1" applyAlignment="1">
      <alignment horizontal="centerContinuous" vertical="center" wrapText="1"/>
    </xf>
    <xf numFmtId="0" fontId="61" fillId="0" borderId="31" xfId="0" applyFont="1" applyFill="1" applyBorder="1" applyAlignment="1">
      <alignment horizontal="centerContinuous" vertical="center" wrapText="1"/>
    </xf>
    <xf numFmtId="0" fontId="62" fillId="0" borderId="31" xfId="0" applyFont="1" applyBorder="1" applyAlignment="1">
      <alignment horizontal="centerContinuous" vertical="center"/>
    </xf>
    <xf numFmtId="0" fontId="6" fillId="0" borderId="0" xfId="0" applyFont="1" applyFill="1" applyBorder="1" applyAlignment="1">
      <alignment horizontal="right" vertical="center" wrapText="1"/>
    </xf>
    <xf numFmtId="9" fontId="7" fillId="0" borderId="26" xfId="10" applyFont="1" applyFill="1" applyBorder="1" applyAlignment="1">
      <alignment horizontal="center" vertical="center" shrinkToFit="1"/>
    </xf>
    <xf numFmtId="0" fontId="7" fillId="0" borderId="32" xfId="0" applyNumberFormat="1" applyFont="1" applyFill="1" applyBorder="1" applyAlignment="1">
      <alignment horizontal="center" wrapText="1"/>
    </xf>
    <xf numFmtId="0" fontId="63" fillId="0" borderId="1" xfId="0" applyFont="1" applyBorder="1" applyAlignment="1">
      <alignment horizontal="center" shrinkToFit="1"/>
    </xf>
    <xf numFmtId="0" fontId="7" fillId="0" borderId="25" xfId="0" applyFont="1" applyBorder="1" applyAlignment="1">
      <alignment horizontal="center" wrapText="1"/>
    </xf>
    <xf numFmtId="9" fontId="7" fillId="0" borderId="26" xfId="2" applyFont="1" applyBorder="1" applyAlignment="1">
      <alignment horizontal="center" vertical="center" shrinkToFit="1"/>
    </xf>
    <xf numFmtId="49" fontId="7" fillId="0" borderId="27" xfId="0" applyNumberFormat="1" applyFont="1" applyBorder="1" applyAlignment="1">
      <alignment horizontal="center" vertical="center" wrapText="1"/>
    </xf>
    <xf numFmtId="0" fontId="63" fillId="0" borderId="1" xfId="0" applyFont="1" applyFill="1" applyBorder="1" applyAlignment="1">
      <alignment horizontal="center" shrinkToFit="1"/>
    </xf>
    <xf numFmtId="0" fontId="7" fillId="0" borderId="26" xfId="10" applyNumberFormat="1" applyFont="1" applyFill="1" applyBorder="1" applyAlignment="1">
      <alignment horizontal="center" vertical="center" shrinkToFit="1"/>
    </xf>
    <xf numFmtId="0" fontId="7" fillId="0" borderId="27" xfId="0" applyNumberFormat="1" applyFont="1" applyBorder="1" applyAlignment="1">
      <alignment horizontal="center" wrapText="1"/>
    </xf>
    <xf numFmtId="0" fontId="63" fillId="0" borderId="55" xfId="0" applyFont="1" applyBorder="1" applyAlignment="1">
      <alignment horizontal="center" shrinkToFit="1"/>
    </xf>
    <xf numFmtId="0" fontId="7" fillId="0" borderId="56" xfId="0" applyFont="1" applyBorder="1" applyAlignment="1">
      <alignment horizontal="center" wrapText="1"/>
    </xf>
    <xf numFmtId="9" fontId="7" fillId="0" borderId="15" xfId="2" applyFont="1" applyBorder="1" applyAlignment="1">
      <alignment horizontal="center" vertical="center" shrinkToFit="1"/>
    </xf>
    <xf numFmtId="49" fontId="7" fillId="0" borderId="32" xfId="0" applyNumberFormat="1" applyFont="1" applyBorder="1" applyAlignment="1">
      <alignment horizontal="center" vertical="center" wrapText="1"/>
    </xf>
    <xf numFmtId="9" fontId="7" fillId="0" borderId="25" xfId="2" applyFont="1" applyBorder="1" applyAlignment="1">
      <alignment horizontal="center" shrinkToFit="1"/>
    </xf>
    <xf numFmtId="0" fontId="7" fillId="0" borderId="25" xfId="0" applyFont="1" applyBorder="1" applyAlignment="1">
      <alignment horizontal="center" vertical="center" wrapText="1"/>
    </xf>
    <xf numFmtId="9" fontId="7" fillId="0" borderId="25" xfId="2" applyFont="1" applyBorder="1" applyAlignment="1">
      <alignment horizontal="center" vertical="center" shrinkToFit="1"/>
    </xf>
    <xf numFmtId="9" fontId="7" fillId="0" borderId="26" xfId="2" applyFont="1" applyBorder="1" applyAlignment="1">
      <alignment horizontal="center" shrinkToFit="1"/>
    </xf>
    <xf numFmtId="0" fontId="7" fillId="0" borderId="27" xfId="0" quotePrefix="1" applyNumberFormat="1" applyFont="1" applyBorder="1" applyAlignment="1">
      <alignment horizontal="center" shrinkToFit="1"/>
    </xf>
    <xf numFmtId="0" fontId="7" fillId="0" borderId="27" xfId="0" quotePrefix="1" applyNumberFormat="1" applyFont="1" applyFill="1" applyBorder="1" applyAlignment="1">
      <alignment horizontal="center" vertical="center" wrapText="1"/>
    </xf>
    <xf numFmtId="0" fontId="63" fillId="0" borderId="8" xfId="0" applyFont="1" applyBorder="1" applyAlignment="1">
      <alignment horizontal="center" shrinkToFit="1"/>
    </xf>
    <xf numFmtId="0" fontId="7" fillId="0" borderId="44" xfId="0" applyFont="1" applyBorder="1" applyAlignment="1">
      <alignment horizontal="center" wrapText="1"/>
    </xf>
    <xf numFmtId="9" fontId="7" fillId="0" borderId="44" xfId="2" applyFont="1" applyBorder="1" applyAlignment="1">
      <alignment horizontal="center" shrinkToFit="1"/>
    </xf>
    <xf numFmtId="9" fontId="7" fillId="0" borderId="45" xfId="2" applyFont="1" applyBorder="1" applyAlignment="1">
      <alignment horizontal="center" vertical="center" shrinkToFit="1"/>
    </xf>
    <xf numFmtId="0" fontId="7" fillId="0" borderId="45" xfId="2" applyNumberFormat="1" applyFont="1" applyBorder="1" applyAlignment="1">
      <alignment horizontal="center" shrinkToFit="1"/>
    </xf>
    <xf numFmtId="0" fontId="7" fillId="0" borderId="33" xfId="0" applyNumberFormat="1" applyFont="1" applyBorder="1" applyAlignment="1">
      <alignment horizontal="center" wrapText="1"/>
    </xf>
    <xf numFmtId="0" fontId="7" fillId="0" borderId="26" xfId="5" applyNumberFormat="1" applyFont="1" applyFill="1" applyBorder="1" applyAlignment="1">
      <alignment horizontal="center" vertical="center"/>
    </xf>
    <xf numFmtId="0" fontId="6" fillId="0" borderId="0" xfId="0" applyNumberFormat="1" applyFont="1" applyBorder="1" applyAlignment="1">
      <alignment horizontal="centerContinuous" wrapText="1"/>
    </xf>
    <xf numFmtId="0" fontId="7" fillId="0" borderId="26" xfId="0" applyFont="1" applyFill="1" applyBorder="1" applyAlignment="1">
      <alignment horizontal="center" wrapText="1"/>
    </xf>
    <xf numFmtId="0" fontId="7" fillId="0" borderId="15" xfId="0" applyFont="1" applyFill="1" applyBorder="1" applyAlignment="1">
      <alignment horizontal="center" wrapText="1"/>
    </xf>
    <xf numFmtId="0" fontId="7" fillId="0" borderId="0" xfId="0" applyNumberFormat="1" applyFont="1" applyBorder="1" applyAlignment="1">
      <alignment horizontal="left" wrapText="1"/>
    </xf>
    <xf numFmtId="0" fontId="7" fillId="0" borderId="26" xfId="0" applyNumberFormat="1" applyFont="1" applyFill="1" applyBorder="1" applyAlignment="1">
      <alignment horizontal="center" vertical="center" shrinkToFit="1"/>
    </xf>
    <xf numFmtId="0" fontId="7" fillId="0" borderId="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5" xfId="0" quotePrefix="1" applyFont="1" applyFill="1" applyBorder="1" applyAlignment="1">
      <alignment horizontal="center" vertical="center" wrapText="1"/>
    </xf>
    <xf numFmtId="49" fontId="2" fillId="0" borderId="25" xfId="2" applyNumberFormat="1" applyFont="1" applyFill="1" applyBorder="1" applyAlignment="1">
      <alignment horizontal="center" vertical="center"/>
    </xf>
    <xf numFmtId="0" fontId="2" fillId="0" borderId="25" xfId="0" applyFont="1" applyFill="1" applyBorder="1" applyAlignment="1">
      <alignment horizontal="center" vertical="center" shrinkToFit="1"/>
    </xf>
    <xf numFmtId="164" fontId="2" fillId="0" borderId="25" xfId="0" applyNumberFormat="1" applyFont="1" applyFill="1" applyBorder="1" applyAlignment="1">
      <alignment horizontal="center" vertical="center"/>
    </xf>
    <xf numFmtId="1" fontId="5" fillId="0" borderId="26" xfId="0" applyNumberFormat="1" applyFont="1" applyFill="1" applyBorder="1" applyAlignment="1">
      <alignment horizontal="center" vertical="center"/>
    </xf>
    <xf numFmtId="1" fontId="2" fillId="0" borderId="26" xfId="0" applyNumberFormat="1" applyFont="1" applyBorder="1" applyAlignment="1">
      <alignment horizontal="center" vertical="center"/>
    </xf>
    <xf numFmtId="0" fontId="2" fillId="0" borderId="27" xfId="0" quotePrefix="1" applyFont="1" applyBorder="1" applyAlignment="1">
      <alignment horizontal="center" vertical="center"/>
    </xf>
    <xf numFmtId="1" fontId="2" fillId="0" borderId="120" xfId="0" applyNumberFormat="1" applyFont="1" applyFill="1" applyBorder="1" applyAlignment="1">
      <alignment horizontal="center" vertical="center"/>
    </xf>
    <xf numFmtId="1" fontId="45" fillId="9" borderId="114" xfId="0" applyNumberFormat="1" applyFont="1" applyFill="1" applyBorder="1" applyAlignment="1">
      <alignment horizontal="center" vertical="center"/>
    </xf>
    <xf numFmtId="1" fontId="2" fillId="0" borderId="82" xfId="0" applyNumberFormat="1" applyFont="1" applyFill="1" applyBorder="1" applyAlignment="1">
      <alignment horizontal="center" vertical="center"/>
    </xf>
    <xf numFmtId="1" fontId="2" fillId="0" borderId="83" xfId="0" applyNumberFormat="1" applyFont="1" applyFill="1" applyBorder="1" applyAlignment="1">
      <alignment horizontal="center" vertical="center"/>
    </xf>
    <xf numFmtId="0" fontId="2" fillId="0" borderId="84" xfId="0" quotePrefix="1" applyFont="1" applyFill="1" applyBorder="1" applyAlignment="1">
      <alignment horizontal="center" vertical="center"/>
    </xf>
    <xf numFmtId="0" fontId="2" fillId="0" borderId="14" xfId="0" applyFont="1" applyFill="1" applyBorder="1" applyAlignment="1">
      <alignment horizontal="center" vertical="center" shrinkToFit="1"/>
    </xf>
    <xf numFmtId="0" fontId="2" fillId="0" borderId="25" xfId="0" quotePrefix="1" applyFont="1" applyFill="1" applyBorder="1" applyAlignment="1">
      <alignment horizontal="center" vertical="center"/>
    </xf>
    <xf numFmtId="9" fontId="2" fillId="0" borderId="25" xfId="0" applyNumberFormat="1" applyFont="1" applyFill="1" applyBorder="1" applyAlignment="1">
      <alignment horizontal="center" vertical="center"/>
    </xf>
    <xf numFmtId="49" fontId="2" fillId="0" borderId="25" xfId="0" quotePrefix="1" applyNumberFormat="1" applyFont="1" applyFill="1" applyBorder="1" applyAlignment="1">
      <alignment horizontal="center" vertical="center"/>
    </xf>
    <xf numFmtId="164" fontId="2" fillId="0" borderId="26" xfId="0" applyNumberFormat="1" applyFont="1" applyFill="1" applyBorder="1" applyAlignment="1">
      <alignment horizontal="centerContinuous" vertical="center"/>
    </xf>
    <xf numFmtId="164" fontId="2" fillId="0" borderId="0" xfId="0" applyNumberFormat="1" applyFont="1" applyFill="1" applyBorder="1" applyAlignment="1">
      <alignment horizontal="centerContinuous" vertical="center"/>
    </xf>
    <xf numFmtId="0" fontId="5" fillId="0" borderId="2" xfId="0" quotePrefix="1" applyFont="1" applyFill="1" applyBorder="1" applyAlignment="1">
      <alignment horizontal="centerContinuous" vertical="center"/>
    </xf>
    <xf numFmtId="0" fontId="2" fillId="0" borderId="123" xfId="0" applyFont="1" applyFill="1" applyBorder="1" applyAlignment="1">
      <alignment horizontal="center" vertical="center" shrinkToFit="1"/>
    </xf>
    <xf numFmtId="0" fontId="2" fillId="0" borderId="124" xfId="0" applyFont="1" applyFill="1" applyBorder="1" applyAlignment="1">
      <alignment horizontal="center" vertical="center"/>
    </xf>
    <xf numFmtId="0" fontId="2" fillId="0" borderId="124" xfId="0" quotePrefix="1" applyFont="1" applyFill="1" applyBorder="1" applyAlignment="1">
      <alignment horizontal="center" vertical="center"/>
    </xf>
    <xf numFmtId="9" fontId="2" fillId="0" borderId="124" xfId="0" applyNumberFormat="1" applyFont="1" applyFill="1" applyBorder="1" applyAlignment="1">
      <alignment horizontal="center" vertical="center"/>
    </xf>
    <xf numFmtId="49" fontId="2" fillId="0" borderId="124" xfId="0" quotePrefix="1" applyNumberFormat="1" applyFont="1" applyFill="1" applyBorder="1" applyAlignment="1">
      <alignment horizontal="center" vertical="center"/>
    </xf>
    <xf numFmtId="164" fontId="2" fillId="0" borderId="124" xfId="0" applyNumberFormat="1" applyFont="1" applyFill="1" applyBorder="1" applyAlignment="1">
      <alignment horizontal="center" vertical="center"/>
    </xf>
    <xf numFmtId="164" fontId="2" fillId="0" borderId="125" xfId="0" applyNumberFormat="1" applyFont="1" applyFill="1" applyBorder="1" applyAlignment="1">
      <alignment horizontal="centerContinuous" vertical="center"/>
    </xf>
    <xf numFmtId="164" fontId="2" fillId="0" borderId="126" xfId="0" applyNumberFormat="1" applyFont="1" applyFill="1" applyBorder="1" applyAlignment="1">
      <alignment horizontal="centerContinuous" vertical="center"/>
    </xf>
    <xf numFmtId="0" fontId="5" fillId="0" borderId="127" xfId="0" quotePrefix="1" applyFont="1" applyFill="1" applyBorder="1" applyAlignment="1">
      <alignment horizontal="centerContinuous" vertical="center"/>
    </xf>
    <xf numFmtId="1" fontId="2" fillId="0" borderId="128" xfId="0" applyNumberFormat="1" applyFont="1" applyFill="1" applyBorder="1" applyAlignment="1">
      <alignment horizontal="center" vertical="center"/>
    </xf>
    <xf numFmtId="0" fontId="2" fillId="0" borderId="39" xfId="0" applyFont="1" applyBorder="1" applyAlignment="1">
      <alignment horizontal="center" vertical="center" shrinkToFit="1"/>
    </xf>
    <xf numFmtId="2" fontId="5" fillId="0" borderId="117" xfId="0" applyNumberFormat="1" applyFont="1" applyBorder="1" applyAlignment="1">
      <alignment horizontal="center" vertical="center" shrinkToFit="1"/>
    </xf>
    <xf numFmtId="0" fontId="2" fillId="0" borderId="108" xfId="0" applyFont="1" applyBorder="1" applyAlignment="1">
      <alignment horizontal="center" vertical="center" shrinkToFit="1"/>
    </xf>
    <xf numFmtId="0" fontId="5" fillId="0" borderId="109" xfId="0" applyFont="1" applyBorder="1" applyAlignment="1">
      <alignment horizontal="left" vertical="center" shrinkToFit="1"/>
    </xf>
    <xf numFmtId="0" fontId="2" fillId="0" borderId="41" xfId="0" applyFont="1" applyBorder="1" applyAlignment="1">
      <alignment horizontal="left" vertical="center" shrinkToFit="1"/>
    </xf>
    <xf numFmtId="0" fontId="2" fillId="0" borderId="129" xfId="0" applyFont="1" applyBorder="1" applyAlignment="1">
      <alignment horizontal="center" vertical="center" shrinkToFit="1"/>
    </xf>
    <xf numFmtId="0" fontId="2" fillId="0" borderId="109" xfId="0" applyFont="1" applyBorder="1" applyAlignment="1">
      <alignment horizontal="center" vertical="center" shrinkToFit="1"/>
    </xf>
    <xf numFmtId="0" fontId="2" fillId="0" borderId="121" xfId="0" applyFont="1" applyFill="1" applyBorder="1" applyAlignment="1">
      <alignment horizontal="center" vertical="center"/>
    </xf>
    <xf numFmtId="0" fontId="2" fillId="0" borderId="114" xfId="0" quotePrefix="1" applyFont="1" applyFill="1" applyBorder="1" applyAlignment="1">
      <alignment horizontal="center" vertical="center" wrapText="1"/>
    </xf>
    <xf numFmtId="49" fontId="2" fillId="0" borderId="114" xfId="2" applyNumberFormat="1" applyFont="1" applyFill="1" applyBorder="1" applyAlignment="1">
      <alignment horizontal="center" vertical="center"/>
    </xf>
    <xf numFmtId="0" fontId="2" fillId="0" borderId="114" xfId="0" applyFont="1" applyFill="1" applyBorder="1" applyAlignment="1">
      <alignment horizontal="center" vertical="center" shrinkToFit="1"/>
    </xf>
    <xf numFmtId="164" fontId="2" fillId="0" borderId="114" xfId="0" applyNumberFormat="1" applyFont="1" applyFill="1" applyBorder="1" applyAlignment="1">
      <alignment horizontal="center" vertical="center"/>
    </xf>
    <xf numFmtId="1" fontId="2" fillId="0" borderId="114" xfId="0" applyNumberFormat="1" applyFont="1" applyFill="1" applyBorder="1" applyAlignment="1">
      <alignment horizontal="center" vertical="center"/>
    </xf>
    <xf numFmtId="0" fontId="2" fillId="0" borderId="122" xfId="0" quotePrefix="1" applyFont="1" applyFill="1" applyBorder="1" applyAlignment="1">
      <alignment horizontal="center" vertical="center"/>
    </xf>
    <xf numFmtId="0" fontId="7" fillId="13" borderId="25" xfId="0" applyFont="1" applyFill="1" applyBorder="1" applyAlignment="1">
      <alignment horizontal="center" vertical="center" wrapText="1"/>
    </xf>
    <xf numFmtId="49" fontId="7" fillId="13" borderId="26" xfId="0" applyNumberFormat="1" applyFont="1" applyFill="1" applyBorder="1" applyAlignment="1">
      <alignment horizontal="center" vertical="center"/>
    </xf>
    <xf numFmtId="0" fontId="7" fillId="13" borderId="56" xfId="0" applyFont="1" applyFill="1" applyBorder="1" applyAlignment="1">
      <alignment horizontal="center" vertical="center" wrapText="1"/>
    </xf>
    <xf numFmtId="49" fontId="16" fillId="13" borderId="32" xfId="0" applyNumberFormat="1" applyFont="1" applyFill="1" applyBorder="1" applyAlignment="1">
      <alignment horizontal="center" shrinkToFit="1"/>
    </xf>
    <xf numFmtId="0" fontId="65" fillId="0" borderId="1" xfId="0" applyFont="1" applyBorder="1" applyAlignment="1">
      <alignment horizontal="center" shrinkToFit="1"/>
    </xf>
    <xf numFmtId="0" fontId="6" fillId="0" borderId="25" xfId="0" applyFont="1" applyBorder="1" applyAlignment="1">
      <alignment horizontal="center" wrapText="1"/>
    </xf>
    <xf numFmtId="9" fontId="6" fillId="0" borderId="25" xfId="2" applyFont="1" applyFill="1" applyBorder="1" applyAlignment="1">
      <alignment horizontal="center" shrinkToFit="1"/>
    </xf>
    <xf numFmtId="9" fontId="6" fillId="0" borderId="26" xfId="2" applyFont="1" applyBorder="1" applyAlignment="1">
      <alignment horizontal="center" shrinkToFit="1"/>
    </xf>
    <xf numFmtId="0" fontId="6" fillId="0" borderId="26" xfId="2" applyNumberFormat="1" applyFont="1" applyBorder="1" applyAlignment="1">
      <alignment horizontal="center" vertical="center" shrinkToFit="1"/>
    </xf>
    <xf numFmtId="0" fontId="6" fillId="0" borderId="26" xfId="2" applyNumberFormat="1" applyFont="1" applyBorder="1" applyAlignment="1">
      <alignment horizontal="center" shrinkToFit="1"/>
    </xf>
    <xf numFmtId="0" fontId="6" fillId="0" borderId="26" xfId="2" applyNumberFormat="1" applyFont="1" applyFill="1" applyBorder="1" applyAlignment="1">
      <alignment horizontal="center" shrinkToFit="1"/>
    </xf>
    <xf numFmtId="0" fontId="6" fillId="0" borderId="27" xfId="0" applyNumberFormat="1" applyFont="1" applyFill="1" applyBorder="1" applyAlignment="1">
      <alignment horizontal="center" vertical="center" wrapText="1"/>
    </xf>
    <xf numFmtId="9" fontId="6" fillId="0" borderId="25" xfId="2" applyFont="1" applyFill="1" applyBorder="1" applyAlignment="1">
      <alignment horizontal="center" vertical="center" shrinkToFit="1"/>
    </xf>
    <xf numFmtId="9" fontId="6" fillId="0" borderId="26" xfId="2" applyFont="1" applyFill="1" applyBorder="1" applyAlignment="1">
      <alignment horizontal="center" vertical="center" shrinkToFit="1"/>
    </xf>
    <xf numFmtId="0" fontId="6" fillId="0" borderId="26" xfId="0" applyNumberFormat="1" applyFont="1" applyFill="1" applyBorder="1" applyAlignment="1">
      <alignment horizontal="center" vertical="center" shrinkToFit="1"/>
    </xf>
    <xf numFmtId="0" fontId="6" fillId="0" borderId="26" xfId="2" applyNumberFormat="1" applyFont="1" applyFill="1" applyBorder="1" applyAlignment="1">
      <alignment horizontal="center" vertical="center" shrinkToFit="1"/>
    </xf>
    <xf numFmtId="0" fontId="6" fillId="4" borderId="30" xfId="0" applyFont="1" applyFill="1" applyBorder="1" applyAlignment="1">
      <alignment horizontal="right" vertical="center"/>
    </xf>
    <xf numFmtId="3" fontId="7" fillId="0" borderId="12" xfId="0" applyNumberFormat="1" applyFont="1" applyFill="1" applyBorder="1" applyAlignment="1">
      <alignment horizontal="center" vertical="center"/>
    </xf>
    <xf numFmtId="0" fontId="4" fillId="0" borderId="0" xfId="5" applyFont="1" applyAlignment="1">
      <alignment horizontal="right" vertical="center"/>
    </xf>
    <xf numFmtId="0" fontId="4" fillId="0" borderId="0" xfId="5" applyFont="1" applyAlignment="1">
      <alignment horizontal="center" vertical="center"/>
    </xf>
    <xf numFmtId="9" fontId="4" fillId="0" borderId="0" xfId="10" applyFont="1" applyAlignment="1">
      <alignment horizontal="center" vertical="center"/>
    </xf>
    <xf numFmtId="0" fontId="2" fillId="0" borderId="0" xfId="5" applyAlignment="1">
      <alignment vertical="center"/>
    </xf>
    <xf numFmtId="0" fontId="2" fillId="0" borderId="0" xfId="5" applyFont="1" applyAlignment="1">
      <alignment horizontal="right" vertical="center"/>
    </xf>
    <xf numFmtId="0" fontId="2" fillId="0" borderId="0" xfId="5" applyFont="1" applyAlignment="1">
      <alignment horizontal="center" vertical="center"/>
    </xf>
    <xf numFmtId="9" fontId="2" fillId="0" borderId="0" xfId="10" applyAlignment="1">
      <alignment horizontal="center" vertical="center"/>
    </xf>
    <xf numFmtId="1" fontId="2" fillId="0" borderId="0" xfId="5" applyNumberFormat="1" applyAlignment="1">
      <alignment horizontal="center" vertical="center"/>
    </xf>
    <xf numFmtId="1" fontId="2" fillId="0" borderId="0" xfId="5" applyNumberFormat="1" applyFont="1" applyAlignment="1">
      <alignment horizontal="center" vertical="center"/>
    </xf>
    <xf numFmtId="1" fontId="4" fillId="0" borderId="0" xfId="5" applyNumberFormat="1" applyFont="1" applyAlignment="1">
      <alignment horizontal="center" vertical="center"/>
    </xf>
    <xf numFmtId="0" fontId="2" fillId="0" borderId="0" xfId="5" applyFont="1" applyAlignment="1">
      <alignment vertical="center"/>
    </xf>
    <xf numFmtId="0" fontId="2" fillId="0" borderId="0" xfId="5" applyAlignment="1">
      <alignment horizontal="center" vertical="center"/>
    </xf>
    <xf numFmtId="0" fontId="2" fillId="14" borderId="108" xfId="0" applyFont="1" applyFill="1" applyBorder="1" applyAlignment="1">
      <alignment horizontal="center" vertical="center" shrinkToFit="1"/>
    </xf>
    <xf numFmtId="0" fontId="2" fillId="14" borderId="129" xfId="0" applyFont="1" applyFill="1" applyBorder="1" applyAlignment="1">
      <alignment horizontal="center" vertical="center" shrinkToFit="1"/>
    </xf>
    <xf numFmtId="164" fontId="2" fillId="14" borderId="96" xfId="0" applyNumberFormat="1" applyFont="1" applyFill="1" applyBorder="1" applyAlignment="1">
      <alignment horizontal="center" vertical="center" shrinkToFit="1"/>
    </xf>
    <xf numFmtId="0" fontId="2" fillId="14" borderId="96" xfId="0" applyFont="1" applyFill="1" applyBorder="1" applyAlignment="1">
      <alignment horizontal="centerContinuous" vertical="center"/>
    </xf>
    <xf numFmtId="0" fontId="2" fillId="14" borderId="109" xfId="0" applyFont="1" applyFill="1" applyBorder="1" applyAlignment="1">
      <alignment horizontal="centerContinuous" vertical="center" shrinkToFit="1"/>
    </xf>
    <xf numFmtId="1" fontId="2" fillId="14" borderId="117" xfId="0" applyNumberFormat="1" applyFont="1" applyFill="1" applyBorder="1" applyAlignment="1">
      <alignment horizontal="center" vertical="center" shrinkToFit="1"/>
    </xf>
    <xf numFmtId="0" fontId="2" fillId="14" borderId="130" xfId="0" applyFont="1" applyFill="1" applyBorder="1" applyAlignment="1">
      <alignment horizontal="center" vertical="center" shrinkToFit="1"/>
    </xf>
    <xf numFmtId="0" fontId="2" fillId="14" borderId="131" xfId="0" applyFont="1" applyFill="1" applyBorder="1" applyAlignment="1">
      <alignment horizontal="center" vertical="center" shrinkToFit="1"/>
    </xf>
    <xf numFmtId="164" fontId="2" fillId="14" borderId="132" xfId="0" applyNumberFormat="1" applyFont="1" applyFill="1" applyBorder="1" applyAlignment="1">
      <alignment horizontal="center" vertical="center" shrinkToFit="1"/>
    </xf>
    <xf numFmtId="0" fontId="2" fillId="14" borderId="132" xfId="0" applyFont="1" applyFill="1" applyBorder="1" applyAlignment="1">
      <alignment horizontal="centerContinuous" vertical="center"/>
    </xf>
    <xf numFmtId="0" fontId="2" fillId="14" borderId="133" xfId="0" applyFont="1" applyFill="1" applyBorder="1" applyAlignment="1">
      <alignment horizontal="centerContinuous" vertical="center" shrinkToFit="1"/>
    </xf>
    <xf numFmtId="1" fontId="2" fillId="14" borderId="120" xfId="0" applyNumberFormat="1" applyFont="1" applyFill="1" applyBorder="1" applyAlignment="1">
      <alignment horizontal="center" vertical="center" shrinkToFit="1"/>
    </xf>
    <xf numFmtId="0" fontId="2" fillId="14" borderId="134" xfId="0" applyFont="1" applyFill="1" applyBorder="1" applyAlignment="1">
      <alignment horizontal="center" vertical="center" shrinkToFit="1"/>
    </xf>
    <xf numFmtId="0" fontId="2" fillId="14" borderId="135" xfId="0" applyFont="1" applyFill="1" applyBorder="1" applyAlignment="1">
      <alignment horizontal="center" vertical="center" shrinkToFit="1"/>
    </xf>
    <xf numFmtId="164" fontId="5" fillId="14" borderId="136" xfId="0" applyNumberFormat="1" applyFont="1" applyFill="1" applyBorder="1" applyAlignment="1">
      <alignment horizontal="center" vertical="center" shrinkToFit="1"/>
    </xf>
    <xf numFmtId="0" fontId="5" fillId="14" borderId="136" xfId="0" applyFont="1" applyFill="1" applyBorder="1" applyAlignment="1">
      <alignment horizontal="centerContinuous" vertical="center"/>
    </xf>
    <xf numFmtId="0" fontId="2" fillId="14" borderId="137" xfId="0" applyFont="1" applyFill="1" applyBorder="1" applyAlignment="1">
      <alignment horizontal="centerContinuous" vertical="center" shrinkToFit="1"/>
    </xf>
    <xf numFmtId="1" fontId="5" fillId="14" borderId="78" xfId="0" applyNumberFormat="1" applyFont="1" applyFill="1" applyBorder="1" applyAlignment="1">
      <alignment horizontal="center" vertical="center" shrinkToFit="1"/>
    </xf>
    <xf numFmtId="49" fontId="4" fillId="0" borderId="0" xfId="0" applyNumberFormat="1" applyFont="1" applyBorder="1" applyAlignment="1">
      <alignment horizontal="center" vertical="center"/>
    </xf>
    <xf numFmtId="0" fontId="51" fillId="12" borderId="121" xfId="0" applyFont="1" applyFill="1" applyBorder="1" applyAlignment="1">
      <alignment horizontal="center" vertical="center"/>
    </xf>
    <xf numFmtId="0" fontId="51" fillId="12" borderId="114" xfId="0" applyFont="1" applyFill="1" applyBorder="1" applyAlignment="1">
      <alignment horizontal="center" vertical="center"/>
    </xf>
    <xf numFmtId="0" fontId="51" fillId="12" borderId="114" xfId="0" quotePrefix="1" applyFont="1" applyFill="1" applyBorder="1" applyAlignment="1">
      <alignment horizontal="center" vertical="center" wrapText="1"/>
    </xf>
    <xf numFmtId="49" fontId="51" fillId="12" borderId="114" xfId="2" applyNumberFormat="1" applyFont="1" applyFill="1" applyBorder="1" applyAlignment="1">
      <alignment horizontal="center" vertical="center"/>
    </xf>
    <xf numFmtId="0" fontId="51" fillId="12" borderId="114" xfId="0" applyFont="1" applyFill="1" applyBorder="1" applyAlignment="1">
      <alignment horizontal="center" vertical="center" shrinkToFit="1"/>
    </xf>
    <xf numFmtId="164" fontId="51" fillId="12" borderId="114" xfId="0" applyNumberFormat="1" applyFont="1" applyFill="1" applyBorder="1" applyAlignment="1">
      <alignment horizontal="center" vertical="center"/>
    </xf>
    <xf numFmtId="1" fontId="51" fillId="12" borderId="114" xfId="0" applyNumberFormat="1" applyFont="1" applyFill="1" applyBorder="1" applyAlignment="1">
      <alignment horizontal="center" vertical="center"/>
    </xf>
    <xf numFmtId="1" fontId="51" fillId="12" borderId="115" xfId="0" applyNumberFormat="1" applyFont="1" applyFill="1" applyBorder="1" applyAlignment="1">
      <alignment horizontal="center" vertical="center"/>
    </xf>
    <xf numFmtId="0" fontId="51" fillId="12" borderId="122" xfId="0" quotePrefix="1" applyFont="1" applyFill="1" applyBorder="1" applyAlignment="1">
      <alignment horizontal="center" vertical="center"/>
    </xf>
    <xf numFmtId="0" fontId="51" fillId="12" borderId="86" xfId="0" quotePrefix="1" applyFont="1" applyFill="1" applyBorder="1" applyAlignment="1">
      <alignment horizontal="center" vertical="center"/>
    </xf>
    <xf numFmtId="9" fontId="51" fillId="12" borderId="86" xfId="0" applyNumberFormat="1" applyFont="1" applyFill="1" applyBorder="1" applyAlignment="1">
      <alignment horizontal="center" vertical="center"/>
    </xf>
    <xf numFmtId="164" fontId="51" fillId="12" borderId="87" xfId="0" applyNumberFormat="1" applyFont="1" applyFill="1" applyBorder="1" applyAlignment="1">
      <alignment horizontal="centerContinuous" vertical="center"/>
    </xf>
    <xf numFmtId="164" fontId="51" fillId="12" borderId="90" xfId="0" applyNumberFormat="1" applyFont="1" applyFill="1" applyBorder="1" applyAlignment="1">
      <alignment horizontal="centerContinuous" vertical="center"/>
    </xf>
    <xf numFmtId="0" fontId="51" fillId="12" borderId="88" xfId="0" applyFont="1" applyFill="1" applyBorder="1" applyAlignment="1">
      <alignment horizontal="centerContinuous" vertical="center"/>
    </xf>
    <xf numFmtId="0" fontId="51" fillId="12" borderId="14" xfId="0" applyFont="1" applyFill="1" applyBorder="1" applyAlignment="1">
      <alignment horizontal="center" vertical="center"/>
    </xf>
    <xf numFmtId="0" fontId="51" fillId="12" borderId="25" xfId="0" applyFont="1" applyFill="1" applyBorder="1" applyAlignment="1">
      <alignment horizontal="center" vertical="center"/>
    </xf>
    <xf numFmtId="0" fontId="51" fillId="12" borderId="25" xfId="0" quotePrefix="1" applyFont="1" applyFill="1" applyBorder="1" applyAlignment="1">
      <alignment horizontal="center" vertical="center" wrapText="1"/>
    </xf>
    <xf numFmtId="49" fontId="51" fillId="12" borderId="25" xfId="2" applyNumberFormat="1" applyFont="1" applyFill="1" applyBorder="1" applyAlignment="1">
      <alignment horizontal="center" vertical="center"/>
    </xf>
    <xf numFmtId="0" fontId="51" fillId="12" borderId="25" xfId="0" applyFont="1" applyFill="1" applyBorder="1" applyAlignment="1">
      <alignment horizontal="center" vertical="center" shrinkToFit="1"/>
    </xf>
    <xf numFmtId="164" fontId="51" fillId="12" borderId="25" xfId="0" applyNumberFormat="1" applyFont="1" applyFill="1" applyBorder="1" applyAlignment="1">
      <alignment horizontal="center" vertical="center"/>
    </xf>
    <xf numFmtId="1" fontId="66" fillId="15" borderId="114" xfId="0" applyNumberFormat="1" applyFont="1" applyFill="1" applyBorder="1" applyAlignment="1">
      <alignment horizontal="center" vertical="center"/>
    </xf>
    <xf numFmtId="0" fontId="66" fillId="15" borderId="122" xfId="0" quotePrefix="1" applyFont="1" applyFill="1" applyBorder="1" applyAlignment="1">
      <alignment horizontal="center" vertical="center"/>
    </xf>
    <xf numFmtId="1" fontId="2" fillId="0" borderId="34" xfId="0" applyNumberFormat="1" applyFont="1" applyFill="1" applyBorder="1" applyAlignment="1">
      <alignment horizontal="center" vertical="center"/>
    </xf>
    <xf numFmtId="1" fontId="51" fillId="12" borderId="34" xfId="0" applyNumberFormat="1" applyFont="1" applyFill="1" applyBorder="1" applyAlignment="1">
      <alignment horizontal="center" vertical="center"/>
    </xf>
    <xf numFmtId="0" fontId="7" fillId="0" borderId="15" xfId="0" applyFont="1" applyFill="1" applyBorder="1" applyAlignment="1">
      <alignment horizontal="center" vertical="center"/>
    </xf>
    <xf numFmtId="0" fontId="7" fillId="0" borderId="3" xfId="0" quotePrefix="1" applyFont="1" applyFill="1" applyBorder="1" applyAlignment="1">
      <alignment horizontal="center" vertical="center"/>
    </xf>
    <xf numFmtId="0" fontId="67" fillId="16" borderId="139" xfId="0" applyFont="1" applyFill="1" applyBorder="1" applyAlignment="1">
      <alignment horizontal="center" vertical="center" wrapText="1"/>
    </xf>
    <xf numFmtId="0" fontId="67" fillId="16" borderId="140" xfId="0" applyFont="1" applyFill="1" applyBorder="1" applyAlignment="1">
      <alignment horizontal="center" vertical="center" wrapText="1"/>
    </xf>
    <xf numFmtId="0" fontId="4" fillId="10" borderId="140" xfId="0" applyFont="1" applyFill="1" applyBorder="1" applyAlignment="1">
      <alignment horizontal="center" vertical="center" wrapText="1"/>
    </xf>
    <xf numFmtId="0" fontId="4" fillId="10" borderId="141" xfId="0" applyFont="1" applyFill="1" applyBorder="1" applyAlignment="1">
      <alignment horizontal="center" vertical="center" wrapText="1"/>
    </xf>
    <xf numFmtId="1" fontId="2" fillId="0" borderId="135" xfId="0" applyNumberFormat="1" applyFont="1" applyBorder="1" applyAlignment="1">
      <alignment horizontal="center" vertical="center" wrapText="1"/>
    </xf>
    <xf numFmtId="1" fontId="2" fillId="0" borderId="136" xfId="0" applyNumberFormat="1" applyFont="1" applyBorder="1" applyAlignment="1">
      <alignment horizontal="center" vertical="center" wrapText="1"/>
    </xf>
    <xf numFmtId="0" fontId="2" fillId="11" borderId="69" xfId="0" applyFont="1" applyFill="1" applyBorder="1" applyAlignment="1">
      <alignment horizontal="center" vertical="center" wrapText="1"/>
    </xf>
    <xf numFmtId="0" fontId="2" fillId="11" borderId="40" xfId="0" applyFont="1" applyFill="1" applyBorder="1" applyAlignment="1">
      <alignment horizontal="center" vertical="center" wrapText="1"/>
    </xf>
    <xf numFmtId="0" fontId="2" fillId="10" borderId="40" xfId="0" applyFont="1" applyFill="1" applyBorder="1" applyAlignment="1">
      <alignment horizontal="center" vertical="center" wrapText="1"/>
    </xf>
    <xf numFmtId="0" fontId="2" fillId="10" borderId="41" xfId="0" applyFont="1" applyFill="1" applyBorder="1" applyAlignment="1">
      <alignment horizontal="center" vertical="center" wrapText="1"/>
    </xf>
    <xf numFmtId="49" fontId="2" fillId="10" borderId="136" xfId="0" applyNumberFormat="1" applyFont="1" applyFill="1" applyBorder="1" applyAlignment="1">
      <alignment horizontal="center" vertical="center" wrapText="1"/>
    </xf>
    <xf numFmtId="49" fontId="2" fillId="10" borderId="137" xfId="0" applyNumberFormat="1" applyFont="1" applyFill="1" applyBorder="1" applyAlignment="1">
      <alignment horizontal="center" vertical="center" wrapText="1"/>
    </xf>
    <xf numFmtId="0" fontId="6" fillId="0" borderId="138" xfId="0" applyFont="1" applyBorder="1" applyAlignment="1">
      <alignment horizontal="right" vertical="center" wrapText="1"/>
    </xf>
    <xf numFmtId="0" fontId="6" fillId="0" borderId="78" xfId="0" applyFont="1" applyBorder="1" applyAlignment="1">
      <alignment horizontal="right" vertical="center" wrapText="1"/>
    </xf>
    <xf numFmtId="0" fontId="6" fillId="0" borderId="46" xfId="0" applyFont="1" applyBorder="1" applyAlignment="1">
      <alignment horizontal="right" vertical="center" wrapText="1"/>
    </xf>
    <xf numFmtId="0" fontId="2" fillId="15" borderId="109" xfId="0" applyFont="1" applyFill="1" applyBorder="1" applyAlignment="1">
      <alignment horizontal="center" vertical="center" shrinkToFit="1"/>
    </xf>
    <xf numFmtId="0" fontId="2" fillId="0" borderId="116" xfId="0" applyFont="1" applyFill="1" applyBorder="1" applyAlignment="1">
      <alignment vertical="center"/>
    </xf>
  </cellXfs>
  <cellStyles count="12">
    <cellStyle name="Excel Built-in Normal" xfId="6"/>
    <cellStyle name="Hyperlink" xfId="1" builtinId="8"/>
    <cellStyle name="Normal" xfId="0" builtinId="0"/>
    <cellStyle name="Normal 2" xfId="4"/>
    <cellStyle name="Normal 2 2" xfId="5"/>
    <cellStyle name="Normal 2 3" xfId="11"/>
    <cellStyle name="Normal 3" xfId="8"/>
    <cellStyle name="Normal 4" xfId="9"/>
    <cellStyle name="Normal 5" xfId="7"/>
    <cellStyle name="Percent" xfId="2" builtinId="5"/>
    <cellStyle name="Percent 2" xfId="3"/>
    <cellStyle name="Percent 2 2" xfId="10"/>
  </cellStyles>
  <dxfs count="21">
    <dxf>
      <fill>
        <patternFill>
          <bgColor rgb="FF00FF00"/>
        </patternFill>
      </fill>
    </dxf>
    <dxf>
      <fill>
        <patternFill>
          <bgColor rgb="FFFFC000"/>
        </patternFill>
      </fill>
    </dxf>
    <dxf>
      <fill>
        <patternFill>
          <bgColor rgb="FFFF00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6600CC"/>
      <color rgb="FFCCFFCC"/>
      <color rgb="FFCCCCFF"/>
      <color rgb="FF9966FF"/>
      <color rgb="FF0000FF"/>
      <color rgb="FF00FF99"/>
      <color rgb="FF00FF00"/>
      <color rgb="FF009900"/>
      <color rgb="FF00CC66"/>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66675</xdr:colOff>
      <xdr:row>13</xdr:row>
      <xdr:rowOff>85724</xdr:rowOff>
    </xdr:from>
    <xdr:to>
      <xdr:col>6</xdr:col>
      <xdr:colOff>1257300</xdr:colOff>
      <xdr:row>55</xdr:row>
      <xdr:rowOff>152400</xdr:rowOff>
    </xdr:to>
    <xdr:sp macro="" textlink="">
      <xdr:nvSpPr>
        <xdr:cNvPr id="1084" name="Text Box 60"/>
        <xdr:cNvSpPr txBox="1">
          <a:spLocks noChangeArrowheads="1"/>
        </xdr:cNvSpPr>
      </xdr:nvSpPr>
      <xdr:spPr bwMode="auto">
        <a:xfrm>
          <a:off x="66675" y="3448049"/>
          <a:ext cx="6962775" cy="1543051"/>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Physical Description:  </a:t>
          </a:r>
          <a:r>
            <a:rPr lang="en-US" sz="1200">
              <a:effectLst/>
              <a:latin typeface="Times New Roman" panose="02020603050405020304" pitchFamily="18" charset="0"/>
              <a:ea typeface="+mn-ea"/>
              <a:cs typeface="Times New Roman" panose="02020603050405020304" pitchFamily="18" charset="0"/>
            </a:rPr>
            <a:t>Magpie is a shortish, stocky female gnome standing 3’1” and weighing around 44 pounds. She’s dark complected with skin the color of madrone tree bark. Her black hair is pulled back into a tight ponytail and has a white streak that starts at her widow’s peak and runs the length. Her angular features, pointed ears, and pronounced nose give her face an almost avian cast. She dresses for the situation at hand, but tends to value practicality, comfort, and function over flash and fashion.</a:t>
          </a: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As a child, Magpie got her nickname for her inquisitive nature, unusual hair, and relative lack of respect for personal property. She wouldn’t take things that people needed or were actively using, but beyond that, if something caught her attention, she’d take it and hide it away for later perusal. Her parents did their very best to curb her larcenous pursuits, but that just made her more clever about covering her tracks. </a:t>
          </a:r>
        </a:p>
        <a:p>
          <a:pPr algn="just"/>
          <a:r>
            <a:rPr lang="en-US" sz="1200">
              <a:effectLst/>
              <a:latin typeface="Times New Roman" panose="02020603050405020304" pitchFamily="18" charset="0"/>
              <a:ea typeface="+mn-ea"/>
              <a:cs typeface="Times New Roman" panose="02020603050405020304" pitchFamily="18" charset="0"/>
            </a:rPr>
            <a:t>Natural Intelligence combined with mischievous nature made the young Gnome a fine candidate for wizardry training, so she was apprenticed to a Gnomish Illusionist/Shadowcraft Mage. Illusion and Enchantment spells came very naturally to her, but she had very little interest or passion for other schools of magic, and never lost her larcenous impulses. After learning all she cared to from her master, she travelled to the nearest metropolis and joined a Thief’s Guild. Must as with her previous apprenticeships, she found certain pursuits interesting and had little use for others. Cobbling together the best parts of thievery with her knack for illusion and enchantment magics, she developed her own hodgepodge discipline that has served her very well.</a:t>
          </a:r>
        </a:p>
        <a:p>
          <a:pPr algn="just"/>
          <a:r>
            <a:rPr lang="en-US" sz="1200">
              <a:effectLst/>
              <a:latin typeface="Times New Roman" panose="02020603050405020304" pitchFamily="18" charset="0"/>
              <a:ea typeface="+mn-ea"/>
              <a:cs typeface="Times New Roman" panose="02020603050405020304" pitchFamily="18" charset="0"/>
            </a:rPr>
            <a:t>Being a member in good standing with the guild grew to chafe at her nearly as bad as her previous apprenticeship did, so she began looking for a way out. Leaving was difficult because the guild master valued her talents and kept a close eye on her, but she eventually found her opportunity. While burgling a mage’s tower, she found something amazing. It was a portal, the sort she’d read about in musty old tomes. The wizard was a conjurer and a known planar explorer, so the portal probably went somewhere interesting. Impulsively, she grabbed up the wizard’s spare set of exploration gear, put it on, activated the portal, and stepped through.</a:t>
          </a:r>
        </a:p>
        <a:p>
          <a:pPr algn="just"/>
          <a:r>
            <a:rPr lang="en-US" sz="1200">
              <a:effectLst/>
              <a:latin typeface="Times New Roman" panose="02020603050405020304" pitchFamily="18" charset="0"/>
              <a:ea typeface="+mn-ea"/>
              <a:cs typeface="Times New Roman" panose="02020603050405020304" pitchFamily="18" charset="0"/>
            </a:rPr>
            <a:t>Finding herself in Sigil, Magpie had the opportunity she wanted to reinvent herself, to forge her own destiny. It wasn’t long before she found a like-minded group of rugged individualists in the form of The Mind’s Eye. The Seekers (members of the Mind’s Eye) explored the multiverse, seeking challenges to develop themselves and grow into their own finest image. It was amazing to be a part of a group that didn’t seek to define her, but just encourage her to define herself.</a:t>
          </a:r>
        </a:p>
        <a:p>
          <a:pPr algn="just"/>
          <a:r>
            <a:rPr lang="en-US" sz="1200">
              <a:effectLst/>
              <a:latin typeface="Times New Roman" panose="02020603050405020304" pitchFamily="18" charset="0"/>
              <a:ea typeface="+mn-ea"/>
              <a:cs typeface="Times New Roman" panose="02020603050405020304" pitchFamily="18" charset="0"/>
            </a:rPr>
            <a:t> In the couple of decades since becoming a planar traveler, Magpie has explored the infinite worlds at her disposal, travelling as the wind takes her, stealing from some, helping others, and honing her abilities. While avoiding direct conflict, she rarely misses an opportunity to cause slaver’s grief, which has led to conflicts with drow and githyanki in particular.</a:t>
          </a:r>
        </a:p>
        <a:p>
          <a:pPr algn="just"/>
          <a:r>
            <a:rPr lang="en-US" sz="1200" b="1">
              <a:effectLst/>
              <a:latin typeface="Times New Roman" panose="02020603050405020304" pitchFamily="18" charset="0"/>
              <a:ea typeface="+mn-ea"/>
              <a:cs typeface="Times New Roman" panose="02020603050405020304" pitchFamily="18" charset="0"/>
            </a:rPr>
            <a:t>Personality:  </a:t>
          </a:r>
          <a:r>
            <a:rPr lang="en-US" sz="1200">
              <a:effectLst/>
              <a:latin typeface="Times New Roman" panose="02020603050405020304" pitchFamily="18" charset="0"/>
              <a:ea typeface="+mn-ea"/>
              <a:cs typeface="Times New Roman" panose="02020603050405020304" pitchFamily="18" charset="0"/>
            </a:rPr>
            <a:t>Magpie will never claim to be virtuous, but isn’t wicked, and is comfortable with that. A born thief, she takes things she doesn’t feel people need and uses them to enrich herself or, occasionally, help the less fortunate. Her thieving impulses aren’t a compulsion or a mania, but rather a conscious, analytic choice. She values freedom highly, because all being should have the ability to improve themselves, but also recognizes the need for laws, even if she chooses to break many of them. A wanderer by nature, she can’t abide being tied down.</a:t>
          </a:r>
        </a:p>
        <a:p>
          <a:pPr algn="just"/>
          <a:r>
            <a:rPr lang="en-US" sz="1200">
              <a:effectLst/>
              <a:latin typeface="Times New Roman" panose="02020603050405020304" pitchFamily="18" charset="0"/>
              <a:ea typeface="+mn-ea"/>
              <a:cs typeface="Times New Roman" panose="02020603050405020304" pitchFamily="18" charset="0"/>
            </a:rPr>
            <a:t>Although not naturally charismatic, she works hard to be friendly and approachable, firmly believing that it’s easier to catch flies with honey. She’s also not especially religious. Like most Seekers, she believes that deities are simply powerful entities. She respects them because of their power and awareness, but isn’t reverent or faithful, although will pretend if it forwards her aims. She’s also not violent. While sometimes one has no choice, she’d much rather evade or trick trouble than face it head on.</a:t>
          </a:r>
        </a:p>
        <a:p>
          <a:pPr algn="just"/>
          <a:r>
            <a:rPr lang="en-US" sz="1200">
              <a:effectLst/>
              <a:latin typeface="Times New Roman" panose="02020603050405020304" pitchFamily="18" charset="0"/>
              <a:ea typeface="+mn-ea"/>
              <a:cs typeface="Times New Roman" panose="02020603050405020304" pitchFamily="18" charset="0"/>
            </a:rPr>
            <a:t>While powerfully individualistic and not comfortable with authority, she enjoys being part of team. Group dynamics fascinate her and she finds her abilities can be very synergistic with other adventurers. She doesn’t steal from team members, not because of any noble impulse, but simply because it’s counterproductive to anger a skilled specialist who understands your tactics and has the time and freedom to pursue a grudge.</a:t>
          </a:r>
        </a:p>
        <a:p>
          <a:pPr algn="just" rtl="0">
            <a:defRPr sz="1000"/>
          </a:pPr>
          <a:endParaRPr lang="en-US" sz="1200" b="1" i="0" u="none" strike="noStrike" baseline="0">
            <a:solidFill>
              <a:srgbClr val="000000"/>
            </a:solidFill>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6149340" y="0"/>
          <a:ext cx="204978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222885</xdr:colOff>
      <xdr:row>1</xdr:row>
      <xdr:rowOff>123825</xdr:rowOff>
    </xdr:from>
    <xdr:to>
      <xdr:col>4</xdr:col>
      <xdr:colOff>70485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rinthi@yaho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7"/>
  <sheetViews>
    <sheetView showGridLines="0" tabSelected="1" zoomScaleNormal="100" workbookViewId="0">
      <selection activeCell="G7" sqref="G7"/>
    </sheetView>
  </sheetViews>
  <sheetFormatPr defaultColWidth="13" defaultRowHeight="15.6"/>
  <cols>
    <col min="1" max="1" width="14.3984375" style="172" bestFit="1" customWidth="1"/>
    <col min="2" max="2" width="10" style="174" customWidth="1"/>
    <col min="3" max="3" width="5.5" style="174" customWidth="1"/>
    <col min="4" max="4" width="13.69921875" style="172" bestFit="1" customWidth="1"/>
    <col min="5" max="5" width="9.59765625" style="174" bestFit="1" customWidth="1"/>
    <col min="6" max="6" width="14.69921875" style="172" customWidth="1"/>
    <col min="7" max="7" width="17.09765625" style="174" customWidth="1"/>
    <col min="8" max="16384" width="13" style="29"/>
  </cols>
  <sheetData>
    <row r="1" spans="1:7" ht="29.4" thickTop="1" thickBot="1">
      <c r="A1" s="363" t="s">
        <v>184</v>
      </c>
      <c r="B1" s="364" t="s">
        <v>185</v>
      </c>
      <c r="C1" s="177"/>
      <c r="D1" s="178"/>
      <c r="E1" s="179"/>
      <c r="F1" s="178"/>
      <c r="G1" s="180" t="s">
        <v>186</v>
      </c>
    </row>
    <row r="2" spans="1:7" ht="17.399999999999999" thickTop="1">
      <c r="A2" s="181" t="s">
        <v>0</v>
      </c>
      <c r="B2" s="182" t="s">
        <v>95</v>
      </c>
      <c r="C2" s="182"/>
      <c r="D2" s="183" t="s">
        <v>108</v>
      </c>
      <c r="E2" s="184" t="s">
        <v>189</v>
      </c>
      <c r="F2" s="185"/>
      <c r="G2" s="186"/>
    </row>
    <row r="3" spans="1:7" ht="16.8">
      <c r="A3" s="181" t="s">
        <v>63</v>
      </c>
      <c r="B3" s="182" t="s">
        <v>190</v>
      </c>
      <c r="C3" s="182"/>
      <c r="D3" s="183" t="s">
        <v>64</v>
      </c>
      <c r="E3" s="184">
        <v>10</v>
      </c>
      <c r="F3" s="183"/>
      <c r="G3" s="186"/>
    </row>
    <row r="4" spans="1:7" ht="16.8">
      <c r="A4" s="181" t="s">
        <v>63</v>
      </c>
      <c r="B4" s="182" t="s">
        <v>191</v>
      </c>
      <c r="C4" s="182"/>
      <c r="D4" s="183" t="s">
        <v>64</v>
      </c>
      <c r="E4" s="184">
        <v>1</v>
      </c>
      <c r="F4" s="183"/>
      <c r="G4" s="186"/>
    </row>
    <row r="5" spans="1:7" ht="17.399999999999999" thickBot="1">
      <c r="A5" s="181" t="s">
        <v>65</v>
      </c>
      <c r="B5" s="182" t="s">
        <v>188</v>
      </c>
      <c r="C5" s="182"/>
      <c r="D5" s="183" t="s">
        <v>1</v>
      </c>
      <c r="E5" s="184" t="s">
        <v>187</v>
      </c>
      <c r="F5" s="183"/>
      <c r="G5" s="186"/>
    </row>
    <row r="6" spans="1:7" ht="17.399999999999999" thickTop="1">
      <c r="A6" s="187" t="s">
        <v>85</v>
      </c>
      <c r="B6" s="337">
        <f>1+5+0</f>
        <v>6</v>
      </c>
      <c r="C6" s="338"/>
      <c r="D6" s="188" t="s">
        <v>443</v>
      </c>
      <c r="E6" s="189" t="s">
        <v>392</v>
      </c>
      <c r="F6" s="190"/>
      <c r="G6" s="186"/>
    </row>
    <row r="7" spans="1:7" ht="17.399999999999999" thickBot="1">
      <c r="A7" s="191" t="s">
        <v>118</v>
      </c>
      <c r="B7" s="192" t="str">
        <f>C9</f>
        <v>+1</v>
      </c>
      <c r="C7" s="193"/>
      <c r="D7" s="483" t="s">
        <v>407</v>
      </c>
      <c r="E7" s="484">
        <v>66000</v>
      </c>
      <c r="F7" s="190"/>
      <c r="G7" s="186"/>
    </row>
    <row r="8" spans="1:7" ht="17.399999999999999" thickTop="1">
      <c r="A8" s="194" t="s">
        <v>2</v>
      </c>
      <c r="B8" s="540">
        <f>6</f>
        <v>6</v>
      </c>
      <c r="C8" s="195">
        <f>IF(B8&gt;9.9,CONCATENATE("+",ROUNDDOWN((B8-10)/2,0)),ROUNDUP((B8-10)/2,0))</f>
        <v>-2</v>
      </c>
      <c r="D8" s="196" t="s">
        <v>71</v>
      </c>
      <c r="E8" s="470" t="s">
        <v>400</v>
      </c>
      <c r="F8" s="190"/>
      <c r="G8" s="186"/>
    </row>
    <row r="9" spans="1:7" ht="16.8">
      <c r="A9" s="197" t="s">
        <v>3</v>
      </c>
      <c r="B9" s="541">
        <f>12</f>
        <v>12</v>
      </c>
      <c r="C9" s="198" t="str">
        <f t="shared" ref="C9:C13" si="0">IF(B9&gt;9.9,CONCATENATE("+",ROUNDDOWN((B9-10)/2,0)),ROUNDUP((B9-10)/2,0))</f>
        <v>+1</v>
      </c>
      <c r="D9" s="199" t="s">
        <v>72</v>
      </c>
      <c r="E9" s="200">
        <f>SUM(Martial!G5:G21)+SUM(Equipment!C3:C23)+5</f>
        <v>37.25</v>
      </c>
      <c r="F9" s="190"/>
      <c r="G9" s="186"/>
    </row>
    <row r="10" spans="1:7" ht="16.8">
      <c r="A10" s="201" t="s">
        <v>12</v>
      </c>
      <c r="B10" s="259">
        <f>16</f>
        <v>16</v>
      </c>
      <c r="C10" s="203" t="str">
        <f t="shared" si="0"/>
        <v>+3</v>
      </c>
      <c r="D10" s="199" t="s">
        <v>14</v>
      </c>
      <c r="E10" s="204">
        <f>ROUNDUP(((E3*6)*0.75)+((E4*6)*0.75)+((E3+E4)*C10),0)</f>
        <v>83</v>
      </c>
      <c r="F10" s="190"/>
      <c r="G10" s="186"/>
    </row>
    <row r="11" spans="1:7" ht="16.8">
      <c r="A11" s="205" t="s">
        <v>13</v>
      </c>
      <c r="B11" s="366">
        <f>18+2</f>
        <v>20</v>
      </c>
      <c r="C11" s="198" t="str">
        <f t="shared" si="0"/>
        <v>+5</v>
      </c>
      <c r="D11" s="206" t="s">
        <v>86</v>
      </c>
      <c r="E11" s="365">
        <f>11+C9</f>
        <v>12</v>
      </c>
      <c r="F11" s="271"/>
      <c r="G11" s="186"/>
    </row>
    <row r="12" spans="1:7" ht="16.8">
      <c r="A12" s="207" t="s">
        <v>15</v>
      </c>
      <c r="B12" s="202">
        <f>14</f>
        <v>14</v>
      </c>
      <c r="C12" s="198" t="str">
        <f t="shared" si="0"/>
        <v>+2</v>
      </c>
      <c r="D12" s="206" t="s">
        <v>123</v>
      </c>
      <c r="E12" s="365">
        <f>E13-C9</f>
        <v>20</v>
      </c>
      <c r="F12" s="271"/>
      <c r="G12" s="186"/>
    </row>
    <row r="13" spans="1:7" ht="17.399999999999999" thickBot="1">
      <c r="A13" s="208" t="s">
        <v>11</v>
      </c>
      <c r="B13" s="209">
        <f>10</f>
        <v>10</v>
      </c>
      <c r="C13" s="210" t="str">
        <f t="shared" si="0"/>
        <v>+0</v>
      </c>
      <c r="D13" s="211" t="s">
        <v>405</v>
      </c>
      <c r="E13" s="300">
        <f>E11+SUM(Martial!B15:B17)</f>
        <v>21</v>
      </c>
      <c r="F13" s="271"/>
      <c r="G13" s="186"/>
    </row>
    <row r="14" spans="1:7" s="7" customFormat="1" ht="17.399999999999999" thickTop="1">
      <c r="A14" s="212"/>
      <c r="B14" s="213"/>
      <c r="C14" s="213"/>
      <c r="D14" s="213"/>
      <c r="E14" s="213"/>
      <c r="F14" s="213"/>
      <c r="G14" s="214"/>
    </row>
    <row r="15" spans="1:7" s="7" customFormat="1" ht="16.8">
      <c r="A15" s="215"/>
      <c r="B15" s="216"/>
      <c r="C15" s="216"/>
      <c r="D15" s="216"/>
      <c r="E15" s="216"/>
      <c r="F15" s="216"/>
      <c r="G15" s="217"/>
    </row>
    <row r="16" spans="1:7" s="7" customFormat="1" ht="16.8">
      <c r="A16" s="215"/>
      <c r="B16" s="216"/>
      <c r="C16" s="216"/>
      <c r="D16" s="216"/>
      <c r="E16" s="216"/>
      <c r="F16" s="216"/>
      <c r="G16" s="217"/>
    </row>
    <row r="17" spans="1:7" s="7" customFormat="1" ht="16.8">
      <c r="A17" s="215"/>
      <c r="B17" s="216"/>
      <c r="C17" s="216"/>
      <c r="D17" s="216"/>
      <c r="E17" s="216"/>
      <c r="F17" s="216"/>
      <c r="G17" s="217"/>
    </row>
    <row r="18" spans="1:7" s="7" customFormat="1" ht="16.8">
      <c r="A18" s="215"/>
      <c r="B18" s="216"/>
      <c r="C18" s="216"/>
      <c r="D18" s="216"/>
      <c r="E18" s="216"/>
      <c r="F18" s="216"/>
      <c r="G18" s="217"/>
    </row>
    <row r="19" spans="1:7" s="7" customFormat="1" ht="16.8">
      <c r="A19" s="215"/>
      <c r="B19" s="216"/>
      <c r="C19" s="216"/>
      <c r="D19" s="216"/>
      <c r="E19" s="216"/>
      <c r="F19" s="216"/>
      <c r="G19" s="217"/>
    </row>
    <row r="20" spans="1:7" s="7" customFormat="1" ht="16.8">
      <c r="A20" s="215"/>
      <c r="B20" s="216"/>
      <c r="C20" s="216"/>
      <c r="D20" s="216"/>
      <c r="E20" s="216"/>
      <c r="F20" s="216"/>
      <c r="G20" s="217"/>
    </row>
    <row r="21" spans="1:7" s="7" customFormat="1" ht="16.8">
      <c r="A21" s="215"/>
      <c r="B21" s="216"/>
      <c r="C21" s="216"/>
      <c r="D21" s="216"/>
      <c r="E21" s="216"/>
      <c r="F21" s="216"/>
      <c r="G21" s="217"/>
    </row>
    <row r="22" spans="1:7" s="7" customFormat="1" ht="16.8">
      <c r="A22" s="215"/>
      <c r="B22" s="216"/>
      <c r="C22" s="216"/>
      <c r="D22" s="216"/>
      <c r="E22" s="216"/>
      <c r="F22" s="216"/>
      <c r="G22" s="217"/>
    </row>
    <row r="23" spans="1:7" s="7" customFormat="1" ht="16.8">
      <c r="A23" s="215"/>
      <c r="B23" s="216"/>
      <c r="C23" s="216"/>
      <c r="D23" s="216"/>
      <c r="E23" s="216"/>
      <c r="F23" s="216"/>
      <c r="G23" s="217"/>
    </row>
    <row r="24" spans="1:7" s="7" customFormat="1" ht="16.8">
      <c r="A24" s="215"/>
      <c r="B24" s="216"/>
      <c r="C24" s="216"/>
      <c r="D24" s="216"/>
      <c r="E24" s="216"/>
      <c r="F24" s="216"/>
      <c r="G24" s="217"/>
    </row>
    <row r="25" spans="1:7" s="7" customFormat="1" ht="16.8">
      <c r="A25" s="215"/>
      <c r="B25" s="216"/>
      <c r="C25" s="216"/>
      <c r="D25" s="216"/>
      <c r="E25" s="216"/>
      <c r="F25" s="216"/>
      <c r="G25" s="217"/>
    </row>
    <row r="26" spans="1:7" s="7" customFormat="1" ht="16.8">
      <c r="A26" s="215"/>
      <c r="B26" s="216"/>
      <c r="C26" s="216"/>
      <c r="D26" s="216"/>
      <c r="E26" s="216"/>
      <c r="F26" s="216"/>
      <c r="G26" s="217"/>
    </row>
    <row r="27" spans="1:7" s="7" customFormat="1" ht="16.8">
      <c r="A27" s="215"/>
      <c r="B27" s="216"/>
      <c r="C27" s="216"/>
      <c r="D27" s="216"/>
      <c r="E27" s="216"/>
      <c r="F27" s="216"/>
      <c r="G27" s="217"/>
    </row>
    <row r="28" spans="1:7" s="7" customFormat="1" ht="16.8">
      <c r="A28" s="215"/>
      <c r="B28" s="216"/>
      <c r="C28" s="216"/>
      <c r="D28" s="216"/>
      <c r="E28" s="216"/>
      <c r="F28" s="216"/>
      <c r="G28" s="217"/>
    </row>
    <row r="29" spans="1:7" s="7" customFormat="1" ht="16.8">
      <c r="A29" s="215"/>
      <c r="B29" s="216"/>
      <c r="C29" s="216"/>
      <c r="D29" s="216"/>
      <c r="E29" s="216"/>
      <c r="F29" s="216"/>
      <c r="G29" s="217"/>
    </row>
    <row r="30" spans="1:7" s="7" customFormat="1" ht="16.8">
      <c r="A30" s="215"/>
      <c r="B30" s="216"/>
      <c r="C30" s="216"/>
      <c r="D30" s="216"/>
      <c r="E30" s="216"/>
      <c r="F30" s="216"/>
      <c r="G30" s="217"/>
    </row>
    <row r="31" spans="1:7" s="7" customFormat="1" ht="16.8">
      <c r="A31" s="215"/>
      <c r="B31" s="216"/>
      <c r="C31" s="216"/>
      <c r="D31" s="216"/>
      <c r="E31" s="216"/>
      <c r="F31" s="216"/>
      <c r="G31" s="217"/>
    </row>
    <row r="32" spans="1:7" s="7" customFormat="1" ht="16.8">
      <c r="A32" s="215"/>
      <c r="B32" s="216"/>
      <c r="C32" s="216"/>
      <c r="D32" s="216"/>
      <c r="E32" s="216"/>
      <c r="F32" s="216"/>
      <c r="G32" s="217"/>
    </row>
    <row r="33" spans="1:7" s="7" customFormat="1" ht="16.8">
      <c r="A33" s="215"/>
      <c r="B33" s="216"/>
      <c r="C33" s="216"/>
      <c r="D33" s="216"/>
      <c r="E33" s="216"/>
      <c r="F33" s="216"/>
      <c r="G33" s="217"/>
    </row>
    <row r="34" spans="1:7" s="7" customFormat="1" ht="16.8">
      <c r="A34" s="215"/>
      <c r="B34" s="216"/>
      <c r="C34" s="216"/>
      <c r="D34" s="216"/>
      <c r="E34" s="216"/>
      <c r="F34" s="216"/>
      <c r="G34" s="217"/>
    </row>
    <row r="35" spans="1:7" s="7" customFormat="1" ht="16.8">
      <c r="A35" s="215"/>
      <c r="B35" s="216"/>
      <c r="C35" s="216"/>
      <c r="D35" s="216"/>
      <c r="E35" s="216"/>
      <c r="F35" s="216"/>
      <c r="G35" s="217"/>
    </row>
    <row r="36" spans="1:7" s="7" customFormat="1" ht="16.8">
      <c r="A36" s="215"/>
      <c r="B36" s="216"/>
      <c r="C36" s="216"/>
      <c r="D36" s="216"/>
      <c r="E36" s="216"/>
      <c r="F36" s="216"/>
      <c r="G36" s="217"/>
    </row>
    <row r="37" spans="1:7" s="7" customFormat="1" ht="16.8">
      <c r="A37" s="215"/>
      <c r="B37" s="216"/>
      <c r="C37" s="216"/>
      <c r="D37" s="216"/>
      <c r="E37" s="216"/>
      <c r="F37" s="216"/>
      <c r="G37" s="217"/>
    </row>
    <row r="38" spans="1:7" s="7" customFormat="1" ht="16.8">
      <c r="A38" s="215"/>
      <c r="B38" s="216"/>
      <c r="C38" s="216"/>
      <c r="D38" s="216"/>
      <c r="E38" s="216"/>
      <c r="F38" s="216"/>
      <c r="G38" s="217"/>
    </row>
    <row r="39" spans="1:7" s="7" customFormat="1" ht="16.8">
      <c r="A39" s="215"/>
      <c r="B39" s="216"/>
      <c r="C39" s="216"/>
      <c r="D39" s="216"/>
      <c r="E39" s="216"/>
      <c r="F39" s="216"/>
      <c r="G39" s="217"/>
    </row>
    <row r="40" spans="1:7" s="7" customFormat="1" ht="16.8">
      <c r="A40" s="215"/>
      <c r="B40" s="216"/>
      <c r="C40" s="216"/>
      <c r="D40" s="216"/>
      <c r="E40" s="216"/>
      <c r="F40" s="216"/>
      <c r="G40" s="217"/>
    </row>
    <row r="41" spans="1:7" s="7" customFormat="1" ht="16.8">
      <c r="A41" s="215"/>
      <c r="B41" s="216"/>
      <c r="C41" s="216"/>
      <c r="D41" s="216"/>
      <c r="E41" s="216"/>
      <c r="F41" s="216"/>
      <c r="G41" s="217"/>
    </row>
    <row r="42" spans="1:7" s="7" customFormat="1" ht="16.8">
      <c r="A42" s="215"/>
      <c r="B42" s="216"/>
      <c r="C42" s="216"/>
      <c r="D42" s="216"/>
      <c r="E42" s="216"/>
      <c r="F42" s="216"/>
      <c r="G42" s="217"/>
    </row>
    <row r="43" spans="1:7" s="7" customFormat="1" ht="16.8">
      <c r="A43" s="215"/>
      <c r="B43" s="216"/>
      <c r="C43" s="216"/>
      <c r="D43" s="216"/>
      <c r="E43" s="216"/>
      <c r="F43" s="216"/>
      <c r="G43" s="217"/>
    </row>
    <row r="44" spans="1:7" s="7" customFormat="1" ht="16.8">
      <c r="A44" s="215"/>
      <c r="B44" s="216"/>
      <c r="C44" s="216"/>
      <c r="D44" s="216"/>
      <c r="E44" s="216"/>
      <c r="F44" s="216"/>
      <c r="G44" s="217"/>
    </row>
    <row r="45" spans="1:7" s="7" customFormat="1" ht="16.8">
      <c r="A45" s="215"/>
      <c r="B45" s="216"/>
      <c r="C45" s="216"/>
      <c r="D45" s="216"/>
      <c r="E45" s="216"/>
      <c r="F45" s="216"/>
      <c r="G45" s="217"/>
    </row>
    <row r="46" spans="1:7" s="7" customFormat="1" ht="16.8">
      <c r="A46" s="215"/>
      <c r="B46" s="216"/>
      <c r="C46" s="216"/>
      <c r="D46" s="216"/>
      <c r="E46" s="216"/>
      <c r="F46" s="216"/>
      <c r="G46" s="217"/>
    </row>
    <row r="47" spans="1:7" s="7" customFormat="1" ht="16.8">
      <c r="A47" s="215"/>
      <c r="B47" s="216"/>
      <c r="C47" s="216"/>
      <c r="D47" s="216"/>
      <c r="E47" s="216"/>
      <c r="F47" s="216"/>
      <c r="G47" s="217"/>
    </row>
    <row r="48" spans="1:7" s="7" customFormat="1" ht="16.8">
      <c r="A48" s="215"/>
      <c r="B48" s="216"/>
      <c r="C48" s="216"/>
      <c r="D48" s="216"/>
      <c r="E48" s="216"/>
      <c r="F48" s="216"/>
      <c r="G48" s="217"/>
    </row>
    <row r="49" spans="1:7" s="7" customFormat="1" ht="16.8">
      <c r="A49" s="215"/>
      <c r="B49" s="216"/>
      <c r="C49" s="216"/>
      <c r="D49" s="216"/>
      <c r="E49" s="216"/>
      <c r="F49" s="216"/>
      <c r="G49" s="217"/>
    </row>
    <row r="50" spans="1:7" s="7" customFormat="1" ht="16.8">
      <c r="A50" s="215"/>
      <c r="B50" s="216"/>
      <c r="C50" s="216"/>
      <c r="D50" s="216"/>
      <c r="E50" s="216"/>
      <c r="F50" s="216"/>
      <c r="G50" s="217"/>
    </row>
    <row r="51" spans="1:7" s="7" customFormat="1" ht="16.8">
      <c r="A51" s="215"/>
      <c r="B51" s="216"/>
      <c r="C51" s="216"/>
      <c r="D51" s="216"/>
      <c r="E51" s="216"/>
      <c r="F51" s="216"/>
      <c r="G51" s="217"/>
    </row>
    <row r="52" spans="1:7" s="7" customFormat="1" ht="16.8">
      <c r="A52" s="215"/>
      <c r="B52" s="216"/>
      <c r="C52" s="216"/>
      <c r="D52" s="216"/>
      <c r="E52" s="216"/>
      <c r="F52" s="216"/>
      <c r="G52" s="217"/>
    </row>
    <row r="53" spans="1:7" s="7" customFormat="1" ht="16.8">
      <c r="A53" s="215"/>
      <c r="B53" s="216"/>
      <c r="C53" s="216"/>
      <c r="D53" s="216"/>
      <c r="E53" s="216"/>
      <c r="F53" s="216"/>
      <c r="G53" s="217"/>
    </row>
    <row r="54" spans="1:7" s="7" customFormat="1" ht="16.8">
      <c r="A54" s="215"/>
      <c r="B54" s="216"/>
      <c r="C54" s="216"/>
      <c r="D54" s="216"/>
      <c r="E54" s="216"/>
      <c r="F54" s="216"/>
      <c r="G54" s="217"/>
    </row>
    <row r="55" spans="1:7" s="7" customFormat="1" ht="16.8">
      <c r="A55" s="215"/>
      <c r="B55" s="216"/>
      <c r="C55" s="216"/>
      <c r="D55" s="216"/>
      <c r="E55" s="216"/>
      <c r="F55" s="216"/>
      <c r="G55" s="217"/>
    </row>
    <row r="56" spans="1:7" ht="17.399999999999999" thickBot="1">
      <c r="A56" s="218"/>
      <c r="B56" s="219"/>
      <c r="C56" s="219"/>
      <c r="D56" s="219"/>
      <c r="E56" s="219"/>
      <c r="F56" s="219"/>
      <c r="G56" s="220"/>
    </row>
    <row r="57" spans="1:7" ht="16.2" thickTop="1"/>
  </sheetData>
  <phoneticPr fontId="0" type="noConversion"/>
  <conditionalFormatting sqref="E9">
    <cfRule type="cellIs" dxfId="20" priority="1" stopIfTrue="1" operator="greaterThan">
      <formula>60</formula>
    </cfRule>
    <cfRule type="cellIs" dxfId="19" priority="2" stopIfTrue="1" operator="between">
      <formula>30</formula>
      <formula>60</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4"/>
  <sheetViews>
    <sheetView showGridLines="0" workbookViewId="0">
      <pane ySplit="2" topLeftCell="A3" activePane="bottomLeft" state="frozen"/>
      <selection pane="bottomLeft" activeCell="A3" sqref="A3"/>
    </sheetView>
  </sheetViews>
  <sheetFormatPr defaultColWidth="13" defaultRowHeight="15.6"/>
  <cols>
    <col min="1" max="1" width="24.19921875" style="172" bestFit="1" customWidth="1"/>
    <col min="2" max="2" width="5.8984375" style="172" bestFit="1" customWidth="1"/>
    <col min="3" max="3" width="7.59765625" style="174" hidden="1" customWidth="1"/>
    <col min="4" max="4" width="7.19921875" style="174" hidden="1" customWidth="1"/>
    <col min="5" max="5" width="9.19921875" style="174" bestFit="1" customWidth="1"/>
    <col min="6" max="6" width="7.3984375" style="174" customWidth="1"/>
    <col min="7" max="7" width="6" style="175" bestFit="1" customWidth="1"/>
    <col min="8" max="8" width="5.19921875" style="175" bestFit="1" customWidth="1"/>
    <col min="9" max="9" width="7.5" style="175" customWidth="1"/>
    <col min="10" max="10" width="26.59765625" style="172" customWidth="1"/>
    <col min="11" max="16384" width="13" style="29"/>
  </cols>
  <sheetData>
    <row r="1" spans="1:10" ht="23.4" thickBot="1">
      <c r="A1" s="102" t="s">
        <v>10</v>
      </c>
      <c r="B1" s="103"/>
      <c r="C1" s="103"/>
      <c r="D1" s="103"/>
      <c r="E1" s="103"/>
      <c r="F1" s="103"/>
      <c r="G1" s="104"/>
      <c r="H1" s="104"/>
      <c r="I1" s="104"/>
      <c r="J1" s="103"/>
    </row>
    <row r="2" spans="1:10" s="7" customFormat="1" ht="34.200000000000003" thickBot="1">
      <c r="A2" s="1" t="s">
        <v>100</v>
      </c>
      <c r="B2" s="2" t="s">
        <v>29</v>
      </c>
      <c r="C2" s="2" t="s">
        <v>36</v>
      </c>
      <c r="D2" s="2" t="s">
        <v>28</v>
      </c>
      <c r="E2" s="3" t="s">
        <v>61</v>
      </c>
      <c r="F2" s="3" t="s">
        <v>37</v>
      </c>
      <c r="G2" s="4" t="s">
        <v>66</v>
      </c>
      <c r="H2" s="5" t="s">
        <v>92</v>
      </c>
      <c r="I2" s="4" t="s">
        <v>79</v>
      </c>
      <c r="J2" s="6" t="s">
        <v>77</v>
      </c>
    </row>
    <row r="3" spans="1:10" s="7" customFormat="1" ht="16.8">
      <c r="A3" s="244" t="s">
        <v>166</v>
      </c>
      <c r="B3" s="245">
        <f>3+0</f>
        <v>3</v>
      </c>
      <c r="C3" s="98" t="s">
        <v>31</v>
      </c>
      <c r="D3" s="98" t="str">
        <f>IF(C3="Str",'Personal File'!$C$8,IF(C3="Dex",'Personal File'!$C$9,IF(C3="Con",'Personal File'!$C$10,IF(C3="Int",'Personal File'!$C$11,IF(C3="Wis",'Personal File'!$C$12,IF(C3="Cha",'Personal File'!$C$13))))))</f>
        <v>+3</v>
      </c>
      <c r="E3" s="250" t="str">
        <f t="shared" ref="E3" si="0">CONCATENATE(C3," (",D3,")")</f>
        <v>Con (+3)</v>
      </c>
      <c r="F3" s="467">
        <v>2</v>
      </c>
      <c r="G3" s="246">
        <f t="shared" ref="G3:G4" si="1">B3+D3+F3</f>
        <v>8</v>
      </c>
      <c r="H3" s="105">
        <f t="shared" ref="H3:H41" ca="1" si="2">RANDBETWEEN(1,20)</f>
        <v>19</v>
      </c>
      <c r="I3" s="247">
        <f t="shared" ref="I3:I4" ca="1" si="3">SUM(G3:H3)</f>
        <v>27</v>
      </c>
      <c r="J3" s="272"/>
    </row>
    <row r="4" spans="1:10" s="7" customFormat="1" ht="16.8">
      <c r="A4" s="248" t="s">
        <v>167</v>
      </c>
      <c r="B4" s="245">
        <f>3+2</f>
        <v>5</v>
      </c>
      <c r="C4" s="98" t="s">
        <v>34</v>
      </c>
      <c r="D4" s="98" t="str">
        <f>IF(C4="Str",'Personal File'!$C$8,IF(C4="Dex",'Personal File'!$C$9,IF(C4="Con",'Personal File'!$C$10,IF(C4="Int",'Personal File'!$C$11,IF(C4="Wis",'Personal File'!$C$12,IF(C4="Cha",'Personal File'!$C$13))))))</f>
        <v>+1</v>
      </c>
      <c r="E4" s="106" t="str">
        <f t="shared" ref="E4" si="4">CONCATENATE(C4," (",D4,")")</f>
        <v>Dex (+1)</v>
      </c>
      <c r="F4" s="468">
        <v>2</v>
      </c>
      <c r="G4" s="246">
        <f t="shared" si="1"/>
        <v>8</v>
      </c>
      <c r="H4" s="105">
        <f t="shared" ca="1" si="2"/>
        <v>15</v>
      </c>
      <c r="I4" s="247">
        <f t="shared" ca="1" si="3"/>
        <v>23</v>
      </c>
      <c r="J4" s="163"/>
    </row>
    <row r="5" spans="1:10" s="7" customFormat="1" ht="16.8">
      <c r="A5" s="107" t="s">
        <v>68</v>
      </c>
      <c r="B5" s="108">
        <f>7+0</f>
        <v>7</v>
      </c>
      <c r="C5" s="109" t="s">
        <v>33</v>
      </c>
      <c r="D5" s="109" t="str">
        <f>IF(C5="Str",'Personal File'!$C$8,IF(C5="Dex",'Personal File'!$C$9,IF(C5="Con",'Personal File'!$C$10,IF(C5="Int",'Personal File'!$C$11,IF(C5="Wis",'Personal File'!$C$12,IF(C5="Cha",'Personal File'!$C$13))))))</f>
        <v>+2</v>
      </c>
      <c r="E5" s="110" t="str">
        <f t="shared" ref="E5:E6" si="5">CONCATENATE(C5," (",D5,")")</f>
        <v>Wis (+2)</v>
      </c>
      <c r="F5" s="469">
        <v>2</v>
      </c>
      <c r="G5" s="111">
        <f t="shared" ref="G5:G42" si="6">B5+D5+F5</f>
        <v>11</v>
      </c>
      <c r="H5" s="112">
        <f t="shared" ca="1" si="2"/>
        <v>12</v>
      </c>
      <c r="I5" s="113">
        <f t="shared" ref="I5" ca="1" si="7">SUM(G5:H5)</f>
        <v>23</v>
      </c>
      <c r="J5" s="249"/>
    </row>
    <row r="6" spans="1:10" s="121" customFormat="1" ht="16.8">
      <c r="A6" s="139" t="s">
        <v>38</v>
      </c>
      <c r="B6" s="99">
        <v>0</v>
      </c>
      <c r="C6" s="140" t="s">
        <v>32</v>
      </c>
      <c r="D6" s="141" t="str">
        <f>IF(C6="Str",'Personal File'!$C$8,IF(C6="Dex",'Personal File'!$C$9,IF(C6="Con",'Personal File'!$C$10,IF(C6="Int",'Personal File'!$C$11,IF(C6="Wis",'Personal File'!$C$12,IF(C6="Cha",'Personal File'!$C$13))))))</f>
        <v>+5</v>
      </c>
      <c r="E6" s="142" t="str">
        <f t="shared" si="5"/>
        <v>Int (+5)</v>
      </c>
      <c r="F6" s="127" t="s">
        <v>62</v>
      </c>
      <c r="G6" s="127">
        <f t="shared" si="6"/>
        <v>5</v>
      </c>
      <c r="H6" s="266">
        <f t="shared" ca="1" si="2"/>
        <v>20</v>
      </c>
      <c r="I6" s="127">
        <f ca="1">SUM(G6:H6)</f>
        <v>25</v>
      </c>
      <c r="J6" s="163"/>
    </row>
    <row r="7" spans="1:10" s="122" customFormat="1" ht="16.8">
      <c r="A7" s="136" t="s">
        <v>39</v>
      </c>
      <c r="B7" s="99">
        <v>0</v>
      </c>
      <c r="C7" s="137" t="s">
        <v>34</v>
      </c>
      <c r="D7" s="138" t="str">
        <f>IF(C7="Str",'Personal File'!$C$8,IF(C7="Dex",'Personal File'!$C$9,IF(C7="Con",'Personal File'!$C$10,IF(C7="Int",'Personal File'!$C$11,IF(C7="Wis",'Personal File'!$C$12,IF(C7="Cha",'Personal File'!$C$13))))))</f>
        <v>+1</v>
      </c>
      <c r="E7" s="106" t="str">
        <f t="shared" ref="E7:E42" si="8">CONCATENATE(C7," (",D7,")")</f>
        <v>Dex (+1)</v>
      </c>
      <c r="F7" s="127" t="s">
        <v>62</v>
      </c>
      <c r="G7" s="127">
        <f t="shared" si="6"/>
        <v>1</v>
      </c>
      <c r="H7" s="105">
        <f t="shared" ca="1" si="2"/>
        <v>20</v>
      </c>
      <c r="I7" s="127">
        <f t="shared" ref="I7" ca="1" si="9">SUM(G7:H7)</f>
        <v>21</v>
      </c>
      <c r="J7" s="163"/>
    </row>
    <row r="8" spans="1:10" s="129" customFormat="1" ht="16.8">
      <c r="A8" s="285" t="s">
        <v>40</v>
      </c>
      <c r="B8" s="115">
        <v>10</v>
      </c>
      <c r="C8" s="286" t="s">
        <v>30</v>
      </c>
      <c r="D8" s="287" t="str">
        <f>IF(C8="Str",'Personal File'!$C$8,IF(C8="Dex",'Personal File'!$C$9,IF(C8="Con",'Personal File'!$C$10,IF(C8="Int",'Personal File'!$C$11,IF(C8="Wis",'Personal File'!$C$12,IF(C8="Cha",'Personal File'!$C$13))))))</f>
        <v>+0</v>
      </c>
      <c r="E8" s="288" t="str">
        <f t="shared" si="8"/>
        <v>Cha (+0)</v>
      </c>
      <c r="F8" s="119" t="s">
        <v>62</v>
      </c>
      <c r="G8" s="119">
        <f t="shared" si="6"/>
        <v>10</v>
      </c>
      <c r="H8" s="105">
        <f t="shared" ca="1" si="2"/>
        <v>5</v>
      </c>
      <c r="I8" s="119">
        <f t="shared" ref="I8:I42" ca="1" si="10">SUM(G8:H8)</f>
        <v>15</v>
      </c>
      <c r="J8" s="162"/>
    </row>
    <row r="9" spans="1:10" s="130" customFormat="1" ht="16.8">
      <c r="A9" s="154" t="s">
        <v>41</v>
      </c>
      <c r="B9" s="99">
        <v>0</v>
      </c>
      <c r="C9" s="155" t="s">
        <v>35</v>
      </c>
      <c r="D9" s="156">
        <f>IF(C9="Str",'Personal File'!$C$8,IF(C9="Dex",'Personal File'!$C$9,IF(C9="Con",'Personal File'!$C$10,IF(C9="Int",'Personal File'!$C$11,IF(C9="Wis",'Personal File'!$C$12,IF(C9="Cha",'Personal File'!$C$13))))))</f>
        <v>-2</v>
      </c>
      <c r="E9" s="157" t="str">
        <f t="shared" si="8"/>
        <v>Str (-2)</v>
      </c>
      <c r="F9" s="127" t="s">
        <v>62</v>
      </c>
      <c r="G9" s="127">
        <f t="shared" si="6"/>
        <v>-2</v>
      </c>
      <c r="H9" s="105">
        <f t="shared" ca="1" si="2"/>
        <v>7</v>
      </c>
      <c r="I9" s="127">
        <f t="shared" ca="1" si="10"/>
        <v>5</v>
      </c>
      <c r="J9" s="163"/>
    </row>
    <row r="10" spans="1:10" s="130" customFormat="1" ht="16.8">
      <c r="A10" s="131" t="s">
        <v>16</v>
      </c>
      <c r="B10" s="115">
        <v>13</v>
      </c>
      <c r="C10" s="132" t="s">
        <v>31</v>
      </c>
      <c r="D10" s="133" t="str">
        <f>IF(C10="Str",'Personal File'!$C$8,IF(C10="Dex",'Personal File'!$C$9,IF(C10="Con",'Personal File'!$C$10,IF(C10="Int",'Personal File'!$C$11,IF(C10="Wis",'Personal File'!$C$12,IF(C10="Cha",'Personal File'!$C$13))))))</f>
        <v>+3</v>
      </c>
      <c r="E10" s="134" t="str">
        <f t="shared" si="8"/>
        <v>Con (+3)</v>
      </c>
      <c r="F10" s="119" t="s">
        <v>62</v>
      </c>
      <c r="G10" s="119">
        <f t="shared" si="6"/>
        <v>16</v>
      </c>
      <c r="H10" s="105">
        <f t="shared" ca="1" si="2"/>
        <v>10</v>
      </c>
      <c r="I10" s="119">
        <f t="shared" ca="1" si="10"/>
        <v>26</v>
      </c>
      <c r="J10" s="162"/>
    </row>
    <row r="11" spans="1:10" s="121" customFormat="1" ht="16.8">
      <c r="A11" s="139" t="s">
        <v>170</v>
      </c>
      <c r="B11" s="99">
        <v>0</v>
      </c>
      <c r="C11" s="140" t="s">
        <v>32</v>
      </c>
      <c r="D11" s="141" t="str">
        <f>IF(C11="Str",'Personal File'!$C$8,IF(C11="Dex",'Personal File'!$C$9,IF(C11="Con",'Personal File'!$C$10,IF(C11="Int",'Personal File'!$C$11,IF(C11="Wis",'Personal File'!$C$12,IF(C11="Cha",'Personal File'!$C$13))))))</f>
        <v>+5</v>
      </c>
      <c r="E11" s="142" t="str">
        <f t="shared" si="8"/>
        <v>Int (+5)</v>
      </c>
      <c r="F11" s="127" t="s">
        <v>62</v>
      </c>
      <c r="G11" s="127">
        <f t="shared" si="6"/>
        <v>5</v>
      </c>
      <c r="H11" s="105">
        <f t="shared" ca="1" si="2"/>
        <v>9</v>
      </c>
      <c r="I11" s="221">
        <f t="shared" ca="1" si="10"/>
        <v>14</v>
      </c>
      <c r="J11" s="261"/>
    </row>
    <row r="12" spans="1:10" s="135" customFormat="1" ht="16.8">
      <c r="A12" s="158" t="s">
        <v>42</v>
      </c>
      <c r="B12" s="144">
        <v>0</v>
      </c>
      <c r="C12" s="159" t="s">
        <v>32</v>
      </c>
      <c r="D12" s="160" t="str">
        <f>IF(C12="Str",'Personal File'!$C$8,IF(C12="Dex",'Personal File'!$C$9,IF(C12="Con",'Personal File'!$C$10,IF(C12="Int",'Personal File'!$C$11,IF(C12="Wis",'Personal File'!$C$12,IF(C12="Cha",'Personal File'!$C$13))))))</f>
        <v>+5</v>
      </c>
      <c r="E12" s="161" t="str">
        <f t="shared" si="8"/>
        <v>Int (+5)</v>
      </c>
      <c r="F12" s="148" t="s">
        <v>62</v>
      </c>
      <c r="G12" s="148">
        <f t="shared" si="6"/>
        <v>5</v>
      </c>
      <c r="H12" s="105">
        <f t="shared" ca="1" si="2"/>
        <v>12</v>
      </c>
      <c r="I12" s="148">
        <f t="shared" ca="1" si="10"/>
        <v>17</v>
      </c>
      <c r="J12" s="273"/>
    </row>
    <row r="13" spans="1:10" s="122" customFormat="1" ht="16.8">
      <c r="A13" s="285" t="s">
        <v>43</v>
      </c>
      <c r="B13" s="115">
        <v>11</v>
      </c>
      <c r="C13" s="286" t="s">
        <v>30</v>
      </c>
      <c r="D13" s="287" t="str">
        <f>IF(C13="Str",'Personal File'!$C$8,IF(C13="Dex",'Personal File'!$C$9,IF(C13="Con",'Personal File'!$C$10,IF(C13="Int",'Personal File'!$C$11,IF(C13="Wis",'Personal File'!$C$12,IF(C13="Cha",'Personal File'!$C$13))))))</f>
        <v>+0</v>
      </c>
      <c r="E13" s="288" t="str">
        <f t="shared" si="8"/>
        <v>Cha (+0)</v>
      </c>
      <c r="F13" s="119" t="s">
        <v>130</v>
      </c>
      <c r="G13" s="119">
        <f t="shared" si="6"/>
        <v>15</v>
      </c>
      <c r="H13" s="105">
        <f t="shared" ca="1" si="2"/>
        <v>3</v>
      </c>
      <c r="I13" s="119">
        <f t="shared" ca="1" si="10"/>
        <v>18</v>
      </c>
      <c r="J13" s="162"/>
    </row>
    <row r="14" spans="1:10" s="122" customFormat="1" ht="16.8">
      <c r="A14" s="114" t="s">
        <v>44</v>
      </c>
      <c r="B14" s="115">
        <v>11</v>
      </c>
      <c r="C14" s="116" t="s">
        <v>32</v>
      </c>
      <c r="D14" s="117" t="str">
        <f>IF(C14="Str",'Personal File'!$C$8,IF(C14="Dex",'Personal File'!$C$9,IF(C14="Con",'Personal File'!$C$10,IF(C14="Int",'Personal File'!$C$11,IF(C14="Wis",'Personal File'!$C$12,IF(C14="Cha",'Personal File'!$C$13))))))</f>
        <v>+5</v>
      </c>
      <c r="E14" s="118" t="str">
        <f t="shared" si="8"/>
        <v>Int (+5)</v>
      </c>
      <c r="F14" s="119" t="s">
        <v>62</v>
      </c>
      <c r="G14" s="119">
        <f t="shared" si="6"/>
        <v>16</v>
      </c>
      <c r="H14" s="105">
        <f t="shared" ca="1" si="2"/>
        <v>1</v>
      </c>
      <c r="I14" s="119">
        <f t="shared" ca="1" si="10"/>
        <v>17</v>
      </c>
      <c r="J14" s="162"/>
    </row>
    <row r="15" spans="1:10" s="122" customFormat="1" ht="16.8">
      <c r="A15" s="123" t="s">
        <v>45</v>
      </c>
      <c r="B15" s="99">
        <v>0</v>
      </c>
      <c r="C15" s="124" t="s">
        <v>30</v>
      </c>
      <c r="D15" s="125" t="str">
        <f>IF(C15="Str",'Personal File'!$C$8,IF(C15="Dex",'Personal File'!$C$9,IF(C15="Con",'Personal File'!$C$10,IF(C15="Int",'Personal File'!$C$11,IF(C15="Wis",'Personal File'!$C$12,IF(C15="Cha",'Personal File'!$C$13))))))</f>
        <v>+0</v>
      </c>
      <c r="E15" s="126" t="str">
        <f t="shared" si="8"/>
        <v>Cha (+0)</v>
      </c>
      <c r="F15" s="127" t="s">
        <v>62</v>
      </c>
      <c r="G15" s="127">
        <f t="shared" si="6"/>
        <v>0</v>
      </c>
      <c r="H15" s="105">
        <f t="shared" ca="1" si="2"/>
        <v>17</v>
      </c>
      <c r="I15" s="127">
        <f t="shared" ca="1" si="10"/>
        <v>17</v>
      </c>
      <c r="J15" s="163"/>
    </row>
    <row r="16" spans="1:10" s="122" customFormat="1" ht="16.8">
      <c r="A16" s="136" t="s">
        <v>46</v>
      </c>
      <c r="B16" s="99">
        <v>0</v>
      </c>
      <c r="C16" s="137" t="s">
        <v>34</v>
      </c>
      <c r="D16" s="138" t="str">
        <f>IF(C16="Str",'Personal File'!$C$8,IF(C16="Dex",'Personal File'!$C$9,IF(C16="Con",'Personal File'!$C$10,IF(C16="Int",'Personal File'!$C$11,IF(C16="Wis",'Personal File'!$C$12,IF(C16="Cha",'Personal File'!$C$13))))))</f>
        <v>+1</v>
      </c>
      <c r="E16" s="106" t="str">
        <f t="shared" si="8"/>
        <v>Dex (+1)</v>
      </c>
      <c r="F16" s="127" t="s">
        <v>62</v>
      </c>
      <c r="G16" s="127">
        <f t="shared" si="6"/>
        <v>1</v>
      </c>
      <c r="H16" s="105">
        <f t="shared" ca="1" si="2"/>
        <v>11</v>
      </c>
      <c r="I16" s="127">
        <f t="shared" ca="1" si="10"/>
        <v>12</v>
      </c>
      <c r="J16" s="163"/>
    </row>
    <row r="17" spans="1:10" s="122" customFormat="1" ht="16.8">
      <c r="A17" s="139" t="s">
        <v>47</v>
      </c>
      <c r="B17" s="99">
        <v>0</v>
      </c>
      <c r="C17" s="140" t="s">
        <v>32</v>
      </c>
      <c r="D17" s="141" t="str">
        <f>IF(C17="Str",'Personal File'!$C$8,IF(C17="Dex",'Personal File'!$C$9,IF(C17="Con",'Personal File'!$C$10,IF(C17="Int",'Personal File'!$C$11,IF(C17="Wis",'Personal File'!$C$12,IF(C17="Cha",'Personal File'!$C$13))))))</f>
        <v>+5</v>
      </c>
      <c r="E17" s="142" t="str">
        <f t="shared" si="8"/>
        <v>Int (+5)</v>
      </c>
      <c r="F17" s="127" t="s">
        <v>62</v>
      </c>
      <c r="G17" s="127">
        <f t="shared" si="6"/>
        <v>5</v>
      </c>
      <c r="H17" s="105">
        <f t="shared" ca="1" si="2"/>
        <v>19</v>
      </c>
      <c r="I17" s="127">
        <f t="shared" ca="1" si="10"/>
        <v>24</v>
      </c>
      <c r="J17" s="163"/>
    </row>
    <row r="18" spans="1:10" s="122" customFormat="1" ht="16.8">
      <c r="A18" s="123" t="s">
        <v>48</v>
      </c>
      <c r="B18" s="99">
        <v>0</v>
      </c>
      <c r="C18" s="124" t="s">
        <v>30</v>
      </c>
      <c r="D18" s="125" t="str">
        <f>IF(C18="Str",'Personal File'!$C$8,IF(C18="Dex",'Personal File'!$C$9,IF(C18="Con",'Personal File'!$C$10,IF(C18="Int",'Personal File'!$C$11,IF(C18="Wis",'Personal File'!$C$12,IF(C18="Cha",'Personal File'!$C$13))))))</f>
        <v>+0</v>
      </c>
      <c r="E18" s="126" t="str">
        <f t="shared" si="8"/>
        <v>Cha (+0)</v>
      </c>
      <c r="F18" s="127" t="s">
        <v>62</v>
      </c>
      <c r="G18" s="127">
        <f t="shared" si="6"/>
        <v>0</v>
      </c>
      <c r="H18" s="105">
        <f t="shared" ca="1" si="2"/>
        <v>6</v>
      </c>
      <c r="I18" s="127">
        <f t="shared" ca="1" si="10"/>
        <v>6</v>
      </c>
      <c r="J18" s="163"/>
    </row>
    <row r="19" spans="1:10" s="122" customFormat="1" ht="16.8">
      <c r="A19" s="143" t="s">
        <v>18</v>
      </c>
      <c r="B19" s="144">
        <v>0</v>
      </c>
      <c r="C19" s="145" t="s">
        <v>30</v>
      </c>
      <c r="D19" s="146" t="str">
        <f>IF(C19="Str",'Personal File'!$C$8,IF(C19="Dex",'Personal File'!$C$9,IF(C19="Con",'Personal File'!$C$10,IF(C19="Int",'Personal File'!$C$11,IF(C19="Wis",'Personal File'!$C$12,IF(C19="Cha",'Personal File'!$C$13))))))</f>
        <v>+0</v>
      </c>
      <c r="E19" s="147" t="str">
        <f t="shared" si="8"/>
        <v>Cha (+0)</v>
      </c>
      <c r="F19" s="148" t="s">
        <v>62</v>
      </c>
      <c r="G19" s="148">
        <f t="shared" si="6"/>
        <v>0</v>
      </c>
      <c r="H19" s="105">
        <f t="shared" ca="1" si="2"/>
        <v>7</v>
      </c>
      <c r="I19" s="148">
        <f t="shared" ca="1" si="10"/>
        <v>7</v>
      </c>
      <c r="J19" s="273"/>
    </row>
    <row r="20" spans="1:10" s="122" customFormat="1" ht="16.8">
      <c r="A20" s="150" t="s">
        <v>49</v>
      </c>
      <c r="B20" s="99">
        <v>0</v>
      </c>
      <c r="C20" s="151" t="s">
        <v>33</v>
      </c>
      <c r="D20" s="152" t="str">
        <f>IF(C20="Str",'Personal File'!$C$8,IF(C20="Dex",'Personal File'!$C$9,IF(C20="Con",'Personal File'!$C$10,IF(C20="Int",'Personal File'!$C$11,IF(C20="Wis",'Personal File'!$C$12,IF(C20="Cha",'Personal File'!$C$13))))))</f>
        <v>+2</v>
      </c>
      <c r="E20" s="153" t="str">
        <f t="shared" si="8"/>
        <v>Wis (+2)</v>
      </c>
      <c r="F20" s="127" t="s">
        <v>62</v>
      </c>
      <c r="G20" s="127">
        <f t="shared" si="6"/>
        <v>2</v>
      </c>
      <c r="H20" s="105">
        <f t="shared" ca="1" si="2"/>
        <v>18</v>
      </c>
      <c r="I20" s="127">
        <f t="shared" ca="1" si="10"/>
        <v>20</v>
      </c>
      <c r="J20" s="163"/>
    </row>
    <row r="21" spans="1:10" s="122" customFormat="1" ht="16.8">
      <c r="A21" s="267" t="s">
        <v>50</v>
      </c>
      <c r="B21" s="115">
        <v>10</v>
      </c>
      <c r="C21" s="268" t="s">
        <v>34</v>
      </c>
      <c r="D21" s="269" t="str">
        <f>IF(C21="Str",'Personal File'!$C$8,IF(C21="Dex",'Personal File'!$C$9,IF(C21="Con",'Personal File'!$C$10,IF(C21="Int",'Personal File'!$C$11,IF(C21="Wis",'Personal File'!$C$12,IF(C21="Cha",'Personal File'!$C$13))))))</f>
        <v>+1</v>
      </c>
      <c r="E21" s="270" t="str">
        <f t="shared" si="8"/>
        <v>Dex (+1)</v>
      </c>
      <c r="F21" s="119" t="s">
        <v>130</v>
      </c>
      <c r="G21" s="119">
        <f t="shared" si="6"/>
        <v>15</v>
      </c>
      <c r="H21" s="105">
        <f t="shared" ca="1" si="2"/>
        <v>17</v>
      </c>
      <c r="I21" s="119">
        <f t="shared" ca="1" si="10"/>
        <v>32</v>
      </c>
      <c r="J21" s="162"/>
    </row>
    <row r="22" spans="1:10" s="122" customFormat="1" ht="16.8">
      <c r="A22" s="123" t="s">
        <v>51</v>
      </c>
      <c r="B22" s="99">
        <v>0</v>
      </c>
      <c r="C22" s="124" t="s">
        <v>30</v>
      </c>
      <c r="D22" s="125" t="str">
        <f>IF(C22="Str",'Personal File'!$C$8,IF(C22="Dex",'Personal File'!$C$9,IF(C22="Con",'Personal File'!$C$10,IF(C22="Int",'Personal File'!$C$11,IF(C22="Wis",'Personal File'!$C$12,IF(C22="Cha",'Personal File'!$C$13))))))</f>
        <v>+0</v>
      </c>
      <c r="E22" s="126" t="str">
        <f t="shared" si="8"/>
        <v>Cha (+0)</v>
      </c>
      <c r="F22" s="127" t="s">
        <v>62</v>
      </c>
      <c r="G22" s="127">
        <f t="shared" si="6"/>
        <v>0</v>
      </c>
      <c r="H22" s="105">
        <f t="shared" ca="1" si="2"/>
        <v>6</v>
      </c>
      <c r="I22" s="127">
        <f t="shared" ca="1" si="10"/>
        <v>6</v>
      </c>
      <c r="J22" s="163"/>
    </row>
    <row r="23" spans="1:10" s="122" customFormat="1" ht="16.8">
      <c r="A23" s="154" t="s">
        <v>52</v>
      </c>
      <c r="B23" s="99">
        <v>0</v>
      </c>
      <c r="C23" s="155" t="s">
        <v>35</v>
      </c>
      <c r="D23" s="156">
        <f>IF(C23="Str",'Personal File'!$C$8,IF(C23="Dex",'Personal File'!$C$9,IF(C23="Con",'Personal File'!$C$10,IF(C23="Int",'Personal File'!$C$11,IF(C23="Wis",'Personal File'!$C$12,IF(C23="Cha",'Personal File'!$C$13))))))</f>
        <v>-2</v>
      </c>
      <c r="E23" s="157" t="str">
        <f t="shared" si="8"/>
        <v>Str (-2)</v>
      </c>
      <c r="F23" s="127" t="s">
        <v>62</v>
      </c>
      <c r="G23" s="127">
        <f t="shared" si="6"/>
        <v>-2</v>
      </c>
      <c r="H23" s="105">
        <f t="shared" ca="1" si="2"/>
        <v>1</v>
      </c>
      <c r="I23" s="127">
        <f t="shared" ca="1" si="10"/>
        <v>-1</v>
      </c>
      <c r="J23" s="163"/>
    </row>
    <row r="24" spans="1:10" s="122" customFormat="1" ht="16.8">
      <c r="A24" s="114" t="s">
        <v>82</v>
      </c>
      <c r="B24" s="115">
        <v>10</v>
      </c>
      <c r="C24" s="116" t="s">
        <v>32</v>
      </c>
      <c r="D24" s="117" t="str">
        <f>IF(C24="Str",'Personal File'!$C$8,IF(C24="Dex",'Personal File'!$C$9,IF(C24="Con",'Personal File'!$C$10,IF(C24="Int",'Personal File'!$C$11,IF(C24="Wis",'Personal File'!$C$12,IF(C24="Cha",'Personal File'!$C$13))))))</f>
        <v>+5</v>
      </c>
      <c r="E24" s="118" t="str">
        <f t="shared" si="8"/>
        <v>Int (+5)</v>
      </c>
      <c r="F24" s="119" t="s">
        <v>62</v>
      </c>
      <c r="G24" s="119">
        <f t="shared" si="6"/>
        <v>15</v>
      </c>
      <c r="H24" s="105">
        <f t="shared" ca="1" si="2"/>
        <v>2</v>
      </c>
      <c r="I24" s="119">
        <f t="shared" ca="1" si="10"/>
        <v>17</v>
      </c>
      <c r="J24" s="162"/>
    </row>
    <row r="25" spans="1:10" s="122" customFormat="1" ht="16.8">
      <c r="A25" s="114" t="s">
        <v>90</v>
      </c>
      <c r="B25" s="115">
        <v>10</v>
      </c>
      <c r="C25" s="116" t="s">
        <v>32</v>
      </c>
      <c r="D25" s="117" t="str">
        <f>IF(C25="Str",'Personal File'!$C$8,IF(C25="Dex",'Personal File'!$C$9,IF(C25="Con",'Personal File'!$C$10,IF(C25="Int",'Personal File'!$C$11,IF(C25="Wis",'Personal File'!$C$12,IF(C25="Cha",'Personal File'!$C$13))))))</f>
        <v>+5</v>
      </c>
      <c r="E25" s="118" t="str">
        <f t="shared" ref="E25" si="11">CONCATENATE(C25," (",D25,")")</f>
        <v>Int (+5)</v>
      </c>
      <c r="F25" s="119" t="s">
        <v>62</v>
      </c>
      <c r="G25" s="119">
        <f t="shared" si="6"/>
        <v>15</v>
      </c>
      <c r="H25" s="105">
        <f t="shared" ca="1" si="2"/>
        <v>4</v>
      </c>
      <c r="I25" s="119">
        <f t="shared" ref="I25" ca="1" si="12">SUM(G25:H25)</f>
        <v>19</v>
      </c>
      <c r="J25" s="162"/>
    </row>
    <row r="26" spans="1:10" s="122" customFormat="1" ht="16.8">
      <c r="A26" s="369" t="s">
        <v>53</v>
      </c>
      <c r="B26" s="115">
        <v>7</v>
      </c>
      <c r="C26" s="297" t="s">
        <v>33</v>
      </c>
      <c r="D26" s="298" t="str">
        <f>IF(C26="Str",'Personal File'!$C$8,IF(C26="Dex",'Personal File'!$C$9,IF(C26="Con",'Personal File'!$C$10,IF(C26="Int",'Personal File'!$C$11,IF(C26="Wis",'Personal File'!$C$12,IF(C26="Cha",'Personal File'!$C$13))))))</f>
        <v>+2</v>
      </c>
      <c r="E26" s="299" t="str">
        <f t="shared" si="8"/>
        <v>Wis (+2)</v>
      </c>
      <c r="F26" s="119" t="s">
        <v>91</v>
      </c>
      <c r="G26" s="119">
        <f t="shared" si="6"/>
        <v>11</v>
      </c>
      <c r="H26" s="105">
        <f t="shared" ca="1" si="2"/>
        <v>7</v>
      </c>
      <c r="I26" s="119">
        <f t="shared" ca="1" si="10"/>
        <v>18</v>
      </c>
      <c r="J26" s="162"/>
    </row>
    <row r="27" spans="1:10" s="122" customFormat="1" ht="16.8">
      <c r="A27" s="267" t="s">
        <v>19</v>
      </c>
      <c r="B27" s="115">
        <v>10</v>
      </c>
      <c r="C27" s="268" t="s">
        <v>34</v>
      </c>
      <c r="D27" s="269" t="str">
        <f>IF(C27="Str",'Personal File'!$C$8,IF(C27="Dex",'Personal File'!$C$9,IF(C27="Con",'Personal File'!$C$10,IF(C27="Int",'Personal File'!$C$11,IF(C27="Wis",'Personal File'!$C$12,IF(C27="Cha",'Personal File'!$C$13))))))</f>
        <v>+1</v>
      </c>
      <c r="E27" s="270" t="str">
        <f t="shared" si="8"/>
        <v>Dex (+1)</v>
      </c>
      <c r="F27" s="119" t="s">
        <v>130</v>
      </c>
      <c r="G27" s="119">
        <f t="shared" si="6"/>
        <v>15</v>
      </c>
      <c r="H27" s="105">
        <f t="shared" ca="1" si="2"/>
        <v>1</v>
      </c>
      <c r="I27" s="119">
        <f t="shared" ca="1" si="10"/>
        <v>16</v>
      </c>
      <c r="J27" s="162"/>
    </row>
    <row r="28" spans="1:10" s="122" customFormat="1" ht="16.8">
      <c r="A28" s="262" t="s">
        <v>54</v>
      </c>
      <c r="B28" s="144">
        <v>0</v>
      </c>
      <c r="C28" s="263" t="s">
        <v>34</v>
      </c>
      <c r="D28" s="264" t="str">
        <f>IF(C28="Str",'Personal File'!$C$8,IF(C28="Dex",'Personal File'!$C$9,IF(C28="Con",'Personal File'!$C$10,IF(C28="Int",'Personal File'!$C$11,IF(C28="Wis",'Personal File'!$C$12,IF(C28="Cha",'Personal File'!$C$13))))))</f>
        <v>+1</v>
      </c>
      <c r="E28" s="265" t="str">
        <f t="shared" si="8"/>
        <v>Dex (+1)</v>
      </c>
      <c r="F28" s="148" t="s">
        <v>62</v>
      </c>
      <c r="G28" s="148">
        <f t="shared" si="6"/>
        <v>1</v>
      </c>
      <c r="H28" s="105">
        <f t="shared" ca="1" si="2"/>
        <v>14</v>
      </c>
      <c r="I28" s="148">
        <f t="shared" ca="1" si="10"/>
        <v>15</v>
      </c>
      <c r="J28" s="273"/>
    </row>
    <row r="29" spans="1:10" ht="16.8">
      <c r="A29" s="123" t="s">
        <v>207</v>
      </c>
      <c r="B29" s="99">
        <v>0</v>
      </c>
      <c r="C29" s="124" t="s">
        <v>30</v>
      </c>
      <c r="D29" s="125" t="str">
        <f>IF(C29="Str",'Personal File'!$C$8,IF(C29="Dex",'Personal File'!$C$9,IF(C29="Con",'Personal File'!$C$10,IF(C29="Int",'Personal File'!$C$11,IF(C29="Wis",'Personal File'!$C$12,IF(C29="Cha",'Personal File'!$C$13))))))</f>
        <v>+0</v>
      </c>
      <c r="E29" s="126" t="str">
        <f t="shared" si="8"/>
        <v>Cha (+0)</v>
      </c>
      <c r="F29" s="127" t="s">
        <v>62</v>
      </c>
      <c r="G29" s="127">
        <f t="shared" si="6"/>
        <v>0</v>
      </c>
      <c r="H29" s="105">
        <f t="shared" ca="1" si="2"/>
        <v>11</v>
      </c>
      <c r="I29" s="127">
        <f t="shared" ca="1" si="10"/>
        <v>11</v>
      </c>
      <c r="J29" s="163"/>
    </row>
    <row r="30" spans="1:10" ht="16.8">
      <c r="A30" s="143" t="s">
        <v>181</v>
      </c>
      <c r="B30" s="144">
        <v>0</v>
      </c>
      <c r="C30" s="370" t="s">
        <v>33</v>
      </c>
      <c r="D30" s="371" t="str">
        <f>IF(C30="Str",'Personal File'!$C$8,IF(C30="Dex",'Personal File'!$C$9,IF(C30="Con",'Personal File'!$C$10,IF(C30="Int",'Personal File'!$C$11,IF(C30="Wis",'Personal File'!$C$12,IF(C30="Cha",'Personal File'!$C$13))))))</f>
        <v>+2</v>
      </c>
      <c r="E30" s="372" t="str">
        <f t="shared" ref="E30" si="13">CONCATENATE(C30," (",D30,")")</f>
        <v>Wis (+2)</v>
      </c>
      <c r="F30" s="148" t="s">
        <v>62</v>
      </c>
      <c r="G30" s="148">
        <f t="shared" si="6"/>
        <v>2</v>
      </c>
      <c r="H30" s="105">
        <f t="shared" ca="1" si="2"/>
        <v>18</v>
      </c>
      <c r="I30" s="148">
        <f t="shared" ca="1" si="10"/>
        <v>20</v>
      </c>
      <c r="J30" s="273"/>
    </row>
    <row r="31" spans="1:10" ht="16.8">
      <c r="A31" s="262" t="s">
        <v>20</v>
      </c>
      <c r="B31" s="144">
        <v>0</v>
      </c>
      <c r="C31" s="263" t="s">
        <v>34</v>
      </c>
      <c r="D31" s="264" t="str">
        <f>IF(C31="Str",'Personal File'!$C$8,IF(C31="Dex",'Personal File'!$C$9,IF(C31="Con",'Personal File'!$C$10,IF(C31="Int",'Personal File'!$C$11,IF(C31="Wis",'Personal File'!$C$12,IF(C31="Cha",'Personal File'!$C$13))))))</f>
        <v>+1</v>
      </c>
      <c r="E31" s="265" t="str">
        <f t="shared" si="8"/>
        <v>Dex (+1)</v>
      </c>
      <c r="F31" s="148" t="s">
        <v>62</v>
      </c>
      <c r="G31" s="148">
        <f t="shared" si="6"/>
        <v>1</v>
      </c>
      <c r="H31" s="105">
        <f t="shared" ca="1" si="2"/>
        <v>18</v>
      </c>
      <c r="I31" s="148">
        <f t="shared" ca="1" si="10"/>
        <v>19</v>
      </c>
      <c r="J31" s="149"/>
    </row>
    <row r="32" spans="1:10" ht="16.8">
      <c r="A32" s="114" t="s">
        <v>21</v>
      </c>
      <c r="B32" s="115">
        <v>10</v>
      </c>
      <c r="C32" s="116" t="s">
        <v>32</v>
      </c>
      <c r="D32" s="117" t="str">
        <f>IF(C32="Str",'Personal File'!$C$8,IF(C32="Dex",'Personal File'!$C$9,IF(C32="Con",'Personal File'!$C$10,IF(C32="Int",'Personal File'!$C$11,IF(C32="Wis",'Personal File'!$C$12,IF(C32="Cha",'Personal File'!$C$13))))))</f>
        <v>+5</v>
      </c>
      <c r="E32" s="118" t="str">
        <f t="shared" si="8"/>
        <v>Int (+5)</v>
      </c>
      <c r="F32" s="119" t="s">
        <v>62</v>
      </c>
      <c r="G32" s="119">
        <f t="shared" si="6"/>
        <v>15</v>
      </c>
      <c r="H32" s="105">
        <f t="shared" ca="1" si="2"/>
        <v>2</v>
      </c>
      <c r="I32" s="119">
        <f t="shared" ca="1" si="10"/>
        <v>17</v>
      </c>
      <c r="J32" s="120"/>
    </row>
    <row r="33" spans="1:10" ht="16.8">
      <c r="A33" s="150" t="s">
        <v>55</v>
      </c>
      <c r="B33" s="99">
        <v>8</v>
      </c>
      <c r="C33" s="151" t="s">
        <v>33</v>
      </c>
      <c r="D33" s="152" t="str">
        <f>IF(C33="Str",'Personal File'!$C$8,IF(C33="Dex",'Personal File'!$C$9,IF(C33="Con",'Personal File'!$C$10,IF(C33="Int",'Personal File'!$C$11,IF(C33="Wis",'Personal File'!$C$12,IF(C33="Cha",'Personal File'!$C$13))))))</f>
        <v>+2</v>
      </c>
      <c r="E33" s="153" t="str">
        <f t="shared" si="8"/>
        <v>Wis (+2)</v>
      </c>
      <c r="F33" s="127" t="s">
        <v>62</v>
      </c>
      <c r="G33" s="127">
        <f t="shared" si="6"/>
        <v>10</v>
      </c>
      <c r="H33" s="105">
        <f t="shared" ca="1" si="2"/>
        <v>7</v>
      </c>
      <c r="I33" s="127">
        <f t="shared" ca="1" si="10"/>
        <v>17</v>
      </c>
      <c r="J33" s="128"/>
    </row>
    <row r="34" spans="1:10" ht="16.8">
      <c r="A34" s="262" t="s">
        <v>83</v>
      </c>
      <c r="B34" s="144">
        <v>7</v>
      </c>
      <c r="C34" s="263" t="s">
        <v>34</v>
      </c>
      <c r="D34" s="264" t="str">
        <f>IF(C34="Str",'Personal File'!$C$8,IF(C34="Dex",'Personal File'!$C$9,IF(C34="Con",'Personal File'!$C$10,IF(C34="Int",'Personal File'!$C$11,IF(C34="Wis",'Personal File'!$C$12,IF(C34="Cha",'Personal File'!$C$13))))))</f>
        <v>+1</v>
      </c>
      <c r="E34" s="265" t="str">
        <f t="shared" si="8"/>
        <v>Dex (+1)</v>
      </c>
      <c r="F34" s="148" t="s">
        <v>91</v>
      </c>
      <c r="G34" s="148">
        <f t="shared" si="6"/>
        <v>10</v>
      </c>
      <c r="H34" s="105">
        <f t="shared" ca="1" si="2"/>
        <v>9</v>
      </c>
      <c r="I34" s="148">
        <f t="shared" ca="1" si="10"/>
        <v>19</v>
      </c>
      <c r="J34" s="273" t="s">
        <v>206</v>
      </c>
    </row>
    <row r="35" spans="1:10" ht="16.8">
      <c r="A35" s="262" t="s">
        <v>208</v>
      </c>
      <c r="B35" s="144">
        <v>2</v>
      </c>
      <c r="C35" s="263" t="s">
        <v>32</v>
      </c>
      <c r="D35" s="264" t="str">
        <f>IF(C35="Str",'Personal File'!$C$8,IF(C35="Dex",'Personal File'!$C$9,IF(C35="Con",'Personal File'!$C$10,IF(C35="Int",'Personal File'!$C$11,IF(C35="Wis",'Personal File'!$C$12,IF(C35="Cha",'Personal File'!$C$13))))))</f>
        <v>+5</v>
      </c>
      <c r="E35" s="265" t="str">
        <f t="shared" si="8"/>
        <v>Int (+5)</v>
      </c>
      <c r="F35" s="148" t="s">
        <v>62</v>
      </c>
      <c r="G35" s="148">
        <f t="shared" si="6"/>
        <v>7</v>
      </c>
      <c r="H35" s="105">
        <f t="shared" ca="1" si="2"/>
        <v>20</v>
      </c>
      <c r="I35" s="148">
        <f t="shared" ca="1" si="10"/>
        <v>27</v>
      </c>
      <c r="J35" s="273"/>
    </row>
    <row r="36" spans="1:10" ht="16.8">
      <c r="A36" s="114" t="s">
        <v>56</v>
      </c>
      <c r="B36" s="115">
        <v>3</v>
      </c>
      <c r="C36" s="116" t="s">
        <v>32</v>
      </c>
      <c r="D36" s="117" t="str">
        <f>IF(C36="Str",'Personal File'!$C$8,IF(C36="Dex",'Personal File'!$C$9,IF(C36="Con",'Personal File'!$C$10,IF(C36="Int",'Personal File'!$C$11,IF(C36="Wis",'Personal File'!$C$12,IF(C36="Cha",'Personal File'!$C$13))))))</f>
        <v>+5</v>
      </c>
      <c r="E36" s="118" t="str">
        <f t="shared" si="8"/>
        <v>Int (+5)</v>
      </c>
      <c r="F36" s="119" t="s">
        <v>91</v>
      </c>
      <c r="G36" s="119">
        <f t="shared" si="6"/>
        <v>10</v>
      </c>
      <c r="H36" s="105">
        <f t="shared" ca="1" si="2"/>
        <v>16</v>
      </c>
      <c r="I36" s="119">
        <f t="shared" ca="1" si="10"/>
        <v>26</v>
      </c>
      <c r="J36" s="162"/>
    </row>
    <row r="37" spans="1:10" ht="16.8">
      <c r="A37" s="369" t="s">
        <v>57</v>
      </c>
      <c r="B37" s="115">
        <v>9</v>
      </c>
      <c r="C37" s="297" t="s">
        <v>33</v>
      </c>
      <c r="D37" s="298" t="str">
        <f>IF(C37="Str",'Personal File'!$C$8,IF(C37="Dex",'Personal File'!$C$9,IF(C37="Con",'Personal File'!$C$10,IF(C37="Int",'Personal File'!$C$11,IF(C37="Wis",'Personal File'!$C$12,IF(C37="Cha",'Personal File'!$C$13))))))</f>
        <v>+2</v>
      </c>
      <c r="E37" s="299" t="str">
        <f t="shared" si="8"/>
        <v>Wis (+2)</v>
      </c>
      <c r="F37" s="119" t="s">
        <v>91</v>
      </c>
      <c r="G37" s="119">
        <f t="shared" si="6"/>
        <v>13</v>
      </c>
      <c r="H37" s="105">
        <f t="shared" ca="1" si="2"/>
        <v>11</v>
      </c>
      <c r="I37" s="119">
        <f t="shared" ca="1" si="10"/>
        <v>24</v>
      </c>
      <c r="J37" s="120"/>
    </row>
    <row r="38" spans="1:10" ht="16.8">
      <c r="A38" s="150" t="s">
        <v>84</v>
      </c>
      <c r="B38" s="99">
        <v>0</v>
      </c>
      <c r="C38" s="151" t="s">
        <v>33</v>
      </c>
      <c r="D38" s="152" t="str">
        <f>IF(C38="Str",'Personal File'!$C$8,IF(C38="Dex",'Personal File'!$C$9,IF(C38="Con",'Personal File'!$C$10,IF(C38="Int",'Personal File'!$C$11,IF(C38="Wis",'Personal File'!$C$12,IF(C38="Cha",'Personal File'!$C$13))))))</f>
        <v>+2</v>
      </c>
      <c r="E38" s="153" t="str">
        <f t="shared" si="8"/>
        <v>Wis (+2)</v>
      </c>
      <c r="F38" s="127" t="s">
        <v>62</v>
      </c>
      <c r="G38" s="127">
        <f t="shared" si="6"/>
        <v>2</v>
      </c>
      <c r="H38" s="105">
        <f t="shared" ca="1" si="2"/>
        <v>4</v>
      </c>
      <c r="I38" s="127">
        <f t="shared" ca="1" si="10"/>
        <v>6</v>
      </c>
      <c r="J38" s="163"/>
    </row>
    <row r="39" spans="1:10" ht="16.8">
      <c r="A39" s="154" t="s">
        <v>22</v>
      </c>
      <c r="B39" s="99">
        <v>0</v>
      </c>
      <c r="C39" s="155" t="s">
        <v>35</v>
      </c>
      <c r="D39" s="156">
        <f>IF(C39="Str",'Personal File'!$C$8,IF(C39="Dex",'Personal File'!$C$9,IF(C39="Con",'Personal File'!$C$10,IF(C39="Int",'Personal File'!$C$11,IF(C39="Wis",'Personal File'!$C$12,IF(C39="Cha",'Personal File'!$C$13))))))</f>
        <v>-2</v>
      </c>
      <c r="E39" s="157" t="str">
        <f t="shared" si="8"/>
        <v>Str (-2)</v>
      </c>
      <c r="F39" s="127" t="s">
        <v>62</v>
      </c>
      <c r="G39" s="127">
        <f t="shared" si="6"/>
        <v>-2</v>
      </c>
      <c r="H39" s="105">
        <f t="shared" ca="1" si="2"/>
        <v>8</v>
      </c>
      <c r="I39" s="127">
        <f t="shared" ca="1" si="10"/>
        <v>6</v>
      </c>
      <c r="J39" s="128"/>
    </row>
    <row r="40" spans="1:10" ht="16.8">
      <c r="A40" s="262" t="s">
        <v>58</v>
      </c>
      <c r="B40" s="144">
        <v>0</v>
      </c>
      <c r="C40" s="263" t="s">
        <v>34</v>
      </c>
      <c r="D40" s="264" t="str">
        <f>IF(C40="Str",'Personal File'!$C$8,IF(C40="Dex",'Personal File'!$C$9,IF(C40="Con",'Personal File'!$C$10,IF(C40="Int",'Personal File'!$C$11,IF(C40="Wis",'Personal File'!$C$12,IF(C40="Cha",'Personal File'!$C$13))))))</f>
        <v>+1</v>
      </c>
      <c r="E40" s="265" t="str">
        <f t="shared" si="8"/>
        <v>Dex (+1)</v>
      </c>
      <c r="F40" s="148" t="s">
        <v>62</v>
      </c>
      <c r="G40" s="148">
        <f t="shared" si="6"/>
        <v>1</v>
      </c>
      <c r="H40" s="105">
        <f t="shared" ca="1" si="2"/>
        <v>10</v>
      </c>
      <c r="I40" s="148">
        <f t="shared" ca="1" si="10"/>
        <v>11</v>
      </c>
      <c r="J40" s="149"/>
    </row>
    <row r="41" spans="1:10" ht="16.8">
      <c r="A41" s="285" t="s">
        <v>59</v>
      </c>
      <c r="B41" s="115">
        <v>13</v>
      </c>
      <c r="C41" s="286" t="s">
        <v>30</v>
      </c>
      <c r="D41" s="287" t="str">
        <f>IF(C41="Str",'Personal File'!$C$8,IF(C41="Dex",'Personal File'!$C$9,IF(C41="Con",'Personal File'!$C$10,IF(C41="Int",'Personal File'!$C$11,IF(C41="Wis",'Personal File'!$C$12,IF(C41="Cha",'Personal File'!$C$13))))))</f>
        <v>+0</v>
      </c>
      <c r="E41" s="288" t="str">
        <f t="shared" si="8"/>
        <v>Cha (+0)</v>
      </c>
      <c r="F41" s="119" t="s">
        <v>62</v>
      </c>
      <c r="G41" s="119">
        <f t="shared" si="6"/>
        <v>13</v>
      </c>
      <c r="H41" s="105">
        <f t="shared" ca="1" si="2"/>
        <v>14</v>
      </c>
      <c r="I41" s="119">
        <f t="shared" ca="1" si="10"/>
        <v>27</v>
      </c>
      <c r="J41" s="120"/>
    </row>
    <row r="42" spans="1:10" ht="17.399999999999999" thickBot="1">
      <c r="A42" s="164" t="s">
        <v>60</v>
      </c>
      <c r="B42" s="165">
        <v>0</v>
      </c>
      <c r="C42" s="166" t="s">
        <v>34</v>
      </c>
      <c r="D42" s="167" t="str">
        <f>IF(C42="Str",'Personal File'!$C$8,IF(C42="Dex",'Personal File'!$C$9,IF(C42="Con",'Personal File'!$C$10,IF(C42="Int",'Personal File'!$C$11,IF(C42="Wis",'Personal File'!$C$12,IF(C42="Cha",'Personal File'!$C$13))))))</f>
        <v>+1</v>
      </c>
      <c r="E42" s="168" t="str">
        <f t="shared" si="8"/>
        <v>Dex (+1)</v>
      </c>
      <c r="F42" s="169" t="s">
        <v>62</v>
      </c>
      <c r="G42" s="169">
        <f t="shared" si="6"/>
        <v>1</v>
      </c>
      <c r="H42" s="170">
        <f t="shared" ref="H42" ca="1" si="14">RANDBETWEEN(1,20)</f>
        <v>1</v>
      </c>
      <c r="I42" s="169">
        <f t="shared" ca="1" si="10"/>
        <v>2</v>
      </c>
      <c r="J42" s="171"/>
    </row>
    <row r="43" spans="1:10" ht="16.2" thickTop="1">
      <c r="B43" s="173">
        <f>SUM(B6:B42)+B25</f>
        <v>154</v>
      </c>
      <c r="E43" s="515">
        <f>SUM(E44:E55)</f>
        <v>154</v>
      </c>
    </row>
    <row r="44" spans="1:10">
      <c r="B44" s="173"/>
      <c r="E44" s="368">
        <f>4*(6+'Personal File'!$C$11)</f>
        <v>44</v>
      </c>
      <c r="F44" s="176" t="s">
        <v>196</v>
      </c>
    </row>
    <row r="45" spans="1:10">
      <c r="E45" s="367">
        <f>6+'Personal File'!$C$11</f>
        <v>11</v>
      </c>
      <c r="F45" s="176" t="s">
        <v>197</v>
      </c>
    </row>
    <row r="46" spans="1:10">
      <c r="E46" s="367">
        <f>6+'Personal File'!$C$11</f>
        <v>11</v>
      </c>
      <c r="F46" s="176" t="s">
        <v>198</v>
      </c>
    </row>
    <row r="47" spans="1:10">
      <c r="E47" s="367">
        <f>6+'Personal File'!$C$11</f>
        <v>11</v>
      </c>
      <c r="F47" s="176" t="s">
        <v>199</v>
      </c>
    </row>
    <row r="48" spans="1:10">
      <c r="E48" s="367">
        <f>6+'Personal File'!$C$11</f>
        <v>11</v>
      </c>
      <c r="F48" s="176" t="s">
        <v>200</v>
      </c>
    </row>
    <row r="49" spans="5:6">
      <c r="E49" s="367">
        <f>6+'Personal File'!$C$11</f>
        <v>11</v>
      </c>
      <c r="F49" s="176" t="s">
        <v>201</v>
      </c>
    </row>
    <row r="50" spans="5:6">
      <c r="E50" s="367">
        <f>6+'Personal File'!$C$11</f>
        <v>11</v>
      </c>
      <c r="F50" s="176" t="s">
        <v>202</v>
      </c>
    </row>
    <row r="51" spans="5:6">
      <c r="E51" s="367">
        <f>6+'Personal File'!$C$11</f>
        <v>11</v>
      </c>
      <c r="F51" s="176" t="s">
        <v>203</v>
      </c>
    </row>
    <row r="52" spans="5:6">
      <c r="E52" s="367">
        <f>6+'Personal File'!$C$11</f>
        <v>11</v>
      </c>
      <c r="F52" s="176" t="s">
        <v>204</v>
      </c>
    </row>
    <row r="53" spans="5:6">
      <c r="E53" s="367">
        <f>6+'Personal File'!$C$11</f>
        <v>11</v>
      </c>
      <c r="F53" s="176" t="s">
        <v>205</v>
      </c>
    </row>
    <row r="54" spans="5:6">
      <c r="E54" s="367">
        <f>6+'Personal File'!$C$11</f>
        <v>11</v>
      </c>
      <c r="F54" s="176" t="s">
        <v>429</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7"/>
  <sheetViews>
    <sheetView showGridLines="0" workbookViewId="0">
      <pane ySplit="2" topLeftCell="A3" activePane="bottomLeft" state="frozen"/>
      <selection pane="bottomLeft" activeCell="A3" sqref="A3"/>
    </sheetView>
  </sheetViews>
  <sheetFormatPr defaultColWidth="13" defaultRowHeight="16.8"/>
  <cols>
    <col min="1" max="1" width="22.296875" style="355" bestFit="1" customWidth="1"/>
    <col min="2" max="2" width="6.19921875" style="253" bestFit="1" customWidth="1"/>
    <col min="3" max="3" width="13.59765625" style="356" bestFit="1" customWidth="1"/>
    <col min="4" max="4" width="11.296875" style="356" bestFit="1" customWidth="1"/>
    <col min="5" max="5" width="10.5" style="419" bestFit="1" customWidth="1"/>
    <col min="6" max="6" width="13.19921875" style="356" bestFit="1" customWidth="1"/>
    <col min="7" max="7" width="11.3984375" style="356" bestFit="1" customWidth="1"/>
    <col min="8" max="8" width="19" style="355" bestFit="1" customWidth="1"/>
    <col min="9" max="9" width="5.5" style="254" bestFit="1" customWidth="1"/>
    <col min="10" max="16384" width="13" style="341"/>
  </cols>
  <sheetData>
    <row r="1" spans="1:9" ht="23.4" thickBot="1">
      <c r="A1" s="361" t="s">
        <v>209</v>
      </c>
      <c r="B1" s="339"/>
      <c r="C1" s="340"/>
      <c r="D1" s="340"/>
      <c r="E1" s="416"/>
      <c r="F1" s="340"/>
      <c r="G1" s="340"/>
      <c r="H1" s="340"/>
    </row>
    <row r="2" spans="1:9" s="342" customFormat="1">
      <c r="A2" s="357" t="s">
        <v>93</v>
      </c>
      <c r="B2" s="358" t="s">
        <v>96</v>
      </c>
      <c r="C2" s="359" t="s">
        <v>131</v>
      </c>
      <c r="D2" s="360" t="s">
        <v>182</v>
      </c>
      <c r="E2" s="362" t="s">
        <v>132</v>
      </c>
      <c r="F2" s="359" t="s">
        <v>133</v>
      </c>
      <c r="G2" s="359" t="s">
        <v>134</v>
      </c>
      <c r="H2" s="359" t="s">
        <v>228</v>
      </c>
      <c r="I2" s="359" t="s">
        <v>308</v>
      </c>
    </row>
    <row r="3" spans="1:9">
      <c r="A3" s="392" t="s">
        <v>110</v>
      </c>
      <c r="B3" s="393">
        <v>0</v>
      </c>
      <c r="C3" s="347" t="s">
        <v>151</v>
      </c>
      <c r="D3" s="394" t="s">
        <v>136</v>
      </c>
      <c r="E3" s="394" t="s">
        <v>137</v>
      </c>
      <c r="F3" s="243" t="s">
        <v>144</v>
      </c>
      <c r="G3" s="243" t="s">
        <v>147</v>
      </c>
      <c r="H3" s="243" t="s">
        <v>229</v>
      </c>
      <c r="I3" s="395" t="s">
        <v>328</v>
      </c>
    </row>
    <row r="4" spans="1:9">
      <c r="A4" s="392" t="s">
        <v>230</v>
      </c>
      <c r="B4" s="393">
        <v>0</v>
      </c>
      <c r="C4" s="347" t="s">
        <v>231</v>
      </c>
      <c r="D4" s="394" t="s">
        <v>148</v>
      </c>
      <c r="E4" s="394" t="s">
        <v>137</v>
      </c>
      <c r="F4" s="349" t="s">
        <v>138</v>
      </c>
      <c r="G4" s="243" t="s">
        <v>152</v>
      </c>
      <c r="H4" s="243" t="s">
        <v>229</v>
      </c>
      <c r="I4" s="395" t="s">
        <v>329</v>
      </c>
    </row>
    <row r="5" spans="1:9">
      <c r="A5" s="392" t="s">
        <v>232</v>
      </c>
      <c r="B5" s="393">
        <v>0</v>
      </c>
      <c r="C5" s="347" t="s">
        <v>233</v>
      </c>
      <c r="D5" s="394" t="s">
        <v>136</v>
      </c>
      <c r="E5" s="394" t="s">
        <v>137</v>
      </c>
      <c r="F5" s="243" t="s">
        <v>153</v>
      </c>
      <c r="G5" s="243" t="s">
        <v>149</v>
      </c>
      <c r="H5" s="243" t="s">
        <v>229</v>
      </c>
      <c r="I5" s="395" t="s">
        <v>330</v>
      </c>
    </row>
    <row r="6" spans="1:9">
      <c r="A6" s="396" t="s">
        <v>111</v>
      </c>
      <c r="B6" s="343">
        <v>0</v>
      </c>
      <c r="C6" s="347" t="s">
        <v>151</v>
      </c>
      <c r="D6" s="394" t="s">
        <v>148</v>
      </c>
      <c r="E6" s="394" t="s">
        <v>137</v>
      </c>
      <c r="F6" s="349" t="s">
        <v>138</v>
      </c>
      <c r="G6" s="243" t="s">
        <v>150</v>
      </c>
      <c r="H6" s="243" t="s">
        <v>229</v>
      </c>
      <c r="I6" s="395" t="s">
        <v>331</v>
      </c>
    </row>
    <row r="7" spans="1:9">
      <c r="A7" s="396" t="s">
        <v>235</v>
      </c>
      <c r="B7" s="343">
        <v>0</v>
      </c>
      <c r="C7" s="347" t="s">
        <v>141</v>
      </c>
      <c r="D7" s="8" t="s">
        <v>143</v>
      </c>
      <c r="E7" s="8" t="s">
        <v>137</v>
      </c>
      <c r="F7" s="243" t="s">
        <v>144</v>
      </c>
      <c r="G7" s="243" t="s">
        <v>145</v>
      </c>
      <c r="H7" s="243" t="s">
        <v>229</v>
      </c>
      <c r="I7" s="398">
        <v>253</v>
      </c>
    </row>
    <row r="8" spans="1:9">
      <c r="A8" s="396" t="s">
        <v>236</v>
      </c>
      <c r="B8" s="343">
        <v>0</v>
      </c>
      <c r="C8" s="347" t="s">
        <v>141</v>
      </c>
      <c r="D8" s="8" t="s">
        <v>143</v>
      </c>
      <c r="E8" s="8" t="s">
        <v>137</v>
      </c>
      <c r="F8" s="349" t="s">
        <v>138</v>
      </c>
      <c r="G8" s="243" t="s">
        <v>139</v>
      </c>
      <c r="H8" s="243" t="s">
        <v>229</v>
      </c>
      <c r="I8" s="398">
        <v>258</v>
      </c>
    </row>
    <row r="9" spans="1:9">
      <c r="A9" s="399" t="s">
        <v>237</v>
      </c>
      <c r="B9" s="400">
        <v>0</v>
      </c>
      <c r="C9" s="350" t="s">
        <v>233</v>
      </c>
      <c r="D9" s="401" t="s">
        <v>143</v>
      </c>
      <c r="E9" s="401" t="s">
        <v>137</v>
      </c>
      <c r="F9" s="351" t="s">
        <v>155</v>
      </c>
      <c r="G9" s="351" t="s">
        <v>145</v>
      </c>
      <c r="H9" s="351" t="s">
        <v>229</v>
      </c>
      <c r="I9" s="402" t="s">
        <v>309</v>
      </c>
    </row>
    <row r="10" spans="1:9">
      <c r="A10" s="392" t="s">
        <v>238</v>
      </c>
      <c r="B10" s="393">
        <v>1</v>
      </c>
      <c r="C10" s="403" t="s">
        <v>231</v>
      </c>
      <c r="D10" s="394" t="s">
        <v>136</v>
      </c>
      <c r="E10" s="394" t="s">
        <v>137</v>
      </c>
      <c r="F10" s="349" t="s">
        <v>138</v>
      </c>
      <c r="G10" s="349" t="s">
        <v>239</v>
      </c>
      <c r="H10" s="349" t="s">
        <v>229</v>
      </c>
      <c r="I10" s="398">
        <v>209</v>
      </c>
    </row>
    <row r="11" spans="1:9">
      <c r="A11" s="392" t="s">
        <v>240</v>
      </c>
      <c r="B11" s="404">
        <v>1</v>
      </c>
      <c r="C11" s="405" t="s">
        <v>151</v>
      </c>
      <c r="D11" s="406" t="s">
        <v>148</v>
      </c>
      <c r="E11" s="406" t="s">
        <v>137</v>
      </c>
      <c r="F11" s="349" t="s">
        <v>138</v>
      </c>
      <c r="G11" s="243" t="s">
        <v>139</v>
      </c>
      <c r="H11" s="243" t="s">
        <v>229</v>
      </c>
      <c r="I11" s="398">
        <v>210</v>
      </c>
    </row>
    <row r="12" spans="1:9">
      <c r="A12" s="392" t="s">
        <v>312</v>
      </c>
      <c r="B12" s="404">
        <v>1</v>
      </c>
      <c r="C12" s="405" t="s">
        <v>154</v>
      </c>
      <c r="D12" s="394" t="s">
        <v>157</v>
      </c>
      <c r="E12" s="394" t="s">
        <v>137</v>
      </c>
      <c r="F12" s="243" t="s">
        <v>155</v>
      </c>
      <c r="G12" s="243" t="s">
        <v>145</v>
      </c>
      <c r="H12" s="243" t="s">
        <v>229</v>
      </c>
      <c r="I12" s="398">
        <v>212</v>
      </c>
    </row>
    <row r="13" spans="1:9">
      <c r="A13" s="392" t="s">
        <v>241</v>
      </c>
      <c r="B13" s="393">
        <v>1</v>
      </c>
      <c r="C13" s="403" t="s">
        <v>154</v>
      </c>
      <c r="D13" s="406" t="s">
        <v>136</v>
      </c>
      <c r="E13" s="406" t="s">
        <v>137</v>
      </c>
      <c r="F13" s="243" t="s">
        <v>153</v>
      </c>
      <c r="G13" s="349" t="s">
        <v>149</v>
      </c>
      <c r="H13" s="349" t="s">
        <v>229</v>
      </c>
      <c r="I13" s="398">
        <v>220</v>
      </c>
    </row>
    <row r="14" spans="1:9">
      <c r="A14" s="392" t="s">
        <v>242</v>
      </c>
      <c r="B14" s="393">
        <v>1</v>
      </c>
      <c r="C14" s="403" t="s">
        <v>151</v>
      </c>
      <c r="D14" s="406" t="s">
        <v>136</v>
      </c>
      <c r="E14" s="406" t="s">
        <v>137</v>
      </c>
      <c r="F14" s="349" t="s">
        <v>155</v>
      </c>
      <c r="G14" s="349" t="s">
        <v>145</v>
      </c>
      <c r="H14" s="349" t="s">
        <v>229</v>
      </c>
      <c r="I14" s="407">
        <v>222</v>
      </c>
    </row>
    <row r="15" spans="1:9">
      <c r="A15" s="392" t="s">
        <v>243</v>
      </c>
      <c r="B15" s="393">
        <v>1</v>
      </c>
      <c r="C15" s="344" t="s">
        <v>141</v>
      </c>
      <c r="D15" s="348" t="s">
        <v>136</v>
      </c>
      <c r="E15" s="417" t="s">
        <v>137</v>
      </c>
      <c r="F15" s="9" t="s">
        <v>155</v>
      </c>
      <c r="G15" s="345" t="s">
        <v>149</v>
      </c>
      <c r="H15" s="345" t="s">
        <v>229</v>
      </c>
      <c r="I15" s="346">
        <v>228</v>
      </c>
    </row>
    <row r="16" spans="1:9">
      <c r="A16" s="392" t="s">
        <v>244</v>
      </c>
      <c r="B16" s="393">
        <v>1</v>
      </c>
      <c r="C16" s="344" t="s">
        <v>231</v>
      </c>
      <c r="D16" s="348" t="s">
        <v>136</v>
      </c>
      <c r="E16" s="417" t="s">
        <v>137</v>
      </c>
      <c r="F16" s="345" t="s">
        <v>138</v>
      </c>
      <c r="G16" s="345" t="s">
        <v>245</v>
      </c>
      <c r="H16" s="345" t="s">
        <v>229</v>
      </c>
      <c r="I16" s="346">
        <v>242</v>
      </c>
    </row>
    <row r="17" spans="1:9">
      <c r="A17" s="392" t="s">
        <v>125</v>
      </c>
      <c r="B17" s="393">
        <v>1</v>
      </c>
      <c r="C17" s="344" t="s">
        <v>135</v>
      </c>
      <c r="D17" s="8" t="s">
        <v>143</v>
      </c>
      <c r="E17" s="417" t="s">
        <v>137</v>
      </c>
      <c r="F17" s="345" t="s">
        <v>142</v>
      </c>
      <c r="G17" s="345" t="s">
        <v>239</v>
      </c>
      <c r="H17" s="345" t="s">
        <v>229</v>
      </c>
      <c r="I17" s="346">
        <v>249</v>
      </c>
    </row>
    <row r="18" spans="1:9">
      <c r="A18" s="392" t="s">
        <v>246</v>
      </c>
      <c r="B18" s="393">
        <v>1</v>
      </c>
      <c r="C18" s="344" t="s">
        <v>135</v>
      </c>
      <c r="D18" s="348" t="s">
        <v>136</v>
      </c>
      <c r="E18" s="417" t="s">
        <v>137</v>
      </c>
      <c r="F18" s="9" t="s">
        <v>247</v>
      </c>
      <c r="G18" s="345" t="s">
        <v>149</v>
      </c>
      <c r="H18" s="345" t="s">
        <v>229</v>
      </c>
      <c r="I18" s="346">
        <v>258</v>
      </c>
    </row>
    <row r="19" spans="1:9">
      <c r="A19" s="392" t="s">
        <v>248</v>
      </c>
      <c r="B19" s="393">
        <v>1</v>
      </c>
      <c r="C19" s="344" t="s">
        <v>231</v>
      </c>
      <c r="D19" s="348" t="s">
        <v>136</v>
      </c>
      <c r="E19" s="417" t="s">
        <v>137</v>
      </c>
      <c r="F19" s="345" t="s">
        <v>138</v>
      </c>
      <c r="G19" s="345" t="s">
        <v>139</v>
      </c>
      <c r="H19" s="345" t="s">
        <v>310</v>
      </c>
      <c r="I19" s="346">
        <v>123</v>
      </c>
    </row>
    <row r="20" spans="1:9">
      <c r="A20" s="392" t="s">
        <v>249</v>
      </c>
      <c r="B20" s="393">
        <v>1</v>
      </c>
      <c r="C20" s="344" t="s">
        <v>151</v>
      </c>
      <c r="D20" s="8" t="s">
        <v>143</v>
      </c>
      <c r="E20" s="417" t="s">
        <v>137</v>
      </c>
      <c r="F20" s="9" t="s">
        <v>173</v>
      </c>
      <c r="G20" s="345" t="s">
        <v>250</v>
      </c>
      <c r="H20" s="345" t="s">
        <v>229</v>
      </c>
      <c r="I20" s="346">
        <v>279</v>
      </c>
    </row>
    <row r="21" spans="1:9">
      <c r="A21" s="392" t="s">
        <v>251</v>
      </c>
      <c r="B21" s="393">
        <v>1</v>
      </c>
      <c r="C21" s="344" t="s">
        <v>231</v>
      </c>
      <c r="D21" s="348" t="s">
        <v>157</v>
      </c>
      <c r="E21" s="417" t="s">
        <v>137</v>
      </c>
      <c r="F21" s="9" t="s">
        <v>144</v>
      </c>
      <c r="G21" s="345" t="s">
        <v>149</v>
      </c>
      <c r="H21" s="345" t="s">
        <v>229</v>
      </c>
      <c r="I21" s="346">
        <v>280</v>
      </c>
    </row>
    <row r="22" spans="1:9">
      <c r="A22" s="392" t="s">
        <v>313</v>
      </c>
      <c r="B22" s="393">
        <v>1</v>
      </c>
      <c r="C22" s="344" t="s">
        <v>146</v>
      </c>
      <c r="D22" s="348" t="s">
        <v>136</v>
      </c>
      <c r="E22" s="417" t="s">
        <v>137</v>
      </c>
      <c r="F22" s="9" t="s">
        <v>138</v>
      </c>
      <c r="G22" s="345" t="s">
        <v>252</v>
      </c>
      <c r="H22" s="345" t="s">
        <v>229</v>
      </c>
      <c r="I22" s="346">
        <v>297</v>
      </c>
    </row>
    <row r="23" spans="1:9">
      <c r="A23" s="471" t="s">
        <v>332</v>
      </c>
      <c r="B23" s="472">
        <v>1</v>
      </c>
      <c r="C23" s="479" t="s">
        <v>151</v>
      </c>
      <c r="D23" s="480" t="s">
        <v>136</v>
      </c>
      <c r="E23" s="481" t="s">
        <v>137</v>
      </c>
      <c r="F23" s="482" t="s">
        <v>138</v>
      </c>
      <c r="G23" s="482" t="s">
        <v>402</v>
      </c>
      <c r="H23" s="482" t="s">
        <v>311</v>
      </c>
      <c r="I23" s="478">
        <v>147</v>
      </c>
    </row>
    <row r="24" spans="1:9">
      <c r="A24" s="399" t="s">
        <v>253</v>
      </c>
      <c r="B24" s="400">
        <v>1</v>
      </c>
      <c r="C24" s="352" t="s">
        <v>231</v>
      </c>
      <c r="D24" s="353" t="s">
        <v>136</v>
      </c>
      <c r="E24" s="418" t="s">
        <v>137</v>
      </c>
      <c r="F24" s="100" t="s">
        <v>138</v>
      </c>
      <c r="G24" s="354" t="s">
        <v>139</v>
      </c>
      <c r="H24" s="354" t="s">
        <v>310</v>
      </c>
      <c r="I24" s="391">
        <v>128</v>
      </c>
    </row>
    <row r="25" spans="1:9">
      <c r="A25" s="392" t="s">
        <v>254</v>
      </c>
      <c r="B25" s="393">
        <v>2</v>
      </c>
      <c r="C25" s="344" t="s">
        <v>140</v>
      </c>
      <c r="D25" s="8" t="s">
        <v>143</v>
      </c>
      <c r="E25" s="417" t="s">
        <v>137</v>
      </c>
      <c r="F25" s="9" t="s">
        <v>144</v>
      </c>
      <c r="G25" s="9" t="s">
        <v>150</v>
      </c>
      <c r="H25" s="9" t="s">
        <v>310</v>
      </c>
      <c r="I25" s="346">
        <v>104</v>
      </c>
    </row>
    <row r="26" spans="1:9">
      <c r="A26" s="392" t="s">
        <v>255</v>
      </c>
      <c r="B26" s="393">
        <v>2</v>
      </c>
      <c r="C26" s="344" t="s">
        <v>151</v>
      </c>
      <c r="D26" s="348" t="s">
        <v>156</v>
      </c>
      <c r="E26" s="417" t="s">
        <v>137</v>
      </c>
      <c r="F26" s="9" t="s">
        <v>142</v>
      </c>
      <c r="G26" s="345" t="s">
        <v>149</v>
      </c>
      <c r="H26" s="345" t="s">
        <v>229</v>
      </c>
      <c r="I26" s="346">
        <v>206</v>
      </c>
    </row>
    <row r="27" spans="1:9">
      <c r="A27" s="392" t="s">
        <v>256</v>
      </c>
      <c r="B27" s="393">
        <v>2</v>
      </c>
      <c r="C27" s="344" t="s">
        <v>231</v>
      </c>
      <c r="D27" s="8" t="s">
        <v>148</v>
      </c>
      <c r="E27" s="417" t="s">
        <v>137</v>
      </c>
      <c r="F27" s="9" t="s">
        <v>144</v>
      </c>
      <c r="G27" s="345" t="s">
        <v>152</v>
      </c>
      <c r="H27" s="345" t="s">
        <v>229</v>
      </c>
      <c r="I27" s="346">
        <v>217</v>
      </c>
    </row>
    <row r="28" spans="1:9">
      <c r="A28" s="392" t="s">
        <v>257</v>
      </c>
      <c r="B28" s="393">
        <v>2</v>
      </c>
      <c r="C28" s="344" t="s">
        <v>154</v>
      </c>
      <c r="D28" s="348" t="s">
        <v>258</v>
      </c>
      <c r="E28" s="417" t="s">
        <v>137</v>
      </c>
      <c r="F28" s="9" t="s">
        <v>153</v>
      </c>
      <c r="G28" s="345" t="s">
        <v>149</v>
      </c>
      <c r="H28" s="345" t="s">
        <v>229</v>
      </c>
      <c r="I28" s="346">
        <v>220</v>
      </c>
    </row>
    <row r="29" spans="1:9">
      <c r="A29" s="392" t="s">
        <v>259</v>
      </c>
      <c r="B29" s="393">
        <v>2</v>
      </c>
      <c r="C29" s="344" t="s">
        <v>135</v>
      </c>
      <c r="D29" s="8" t="s">
        <v>136</v>
      </c>
      <c r="E29" s="417" t="s">
        <v>137</v>
      </c>
      <c r="F29" s="9" t="s">
        <v>144</v>
      </c>
      <c r="G29" s="345" t="s">
        <v>145</v>
      </c>
      <c r="H29" s="345" t="s">
        <v>229</v>
      </c>
      <c r="I29" s="346">
        <v>232</v>
      </c>
    </row>
    <row r="30" spans="1:9">
      <c r="A30" s="392" t="s">
        <v>260</v>
      </c>
      <c r="B30" s="393">
        <v>2</v>
      </c>
      <c r="C30" s="12" t="s">
        <v>135</v>
      </c>
      <c r="D30" s="8" t="s">
        <v>148</v>
      </c>
      <c r="E30" s="417" t="s">
        <v>137</v>
      </c>
      <c r="F30" s="9" t="s">
        <v>144</v>
      </c>
      <c r="G30" s="9" t="s">
        <v>150</v>
      </c>
      <c r="H30" s="9" t="s">
        <v>229</v>
      </c>
      <c r="I30" s="346">
        <v>236</v>
      </c>
    </row>
    <row r="31" spans="1:9">
      <c r="A31" s="392" t="s">
        <v>261</v>
      </c>
      <c r="B31" s="393">
        <v>2</v>
      </c>
      <c r="C31" s="344" t="s">
        <v>151</v>
      </c>
      <c r="D31" s="8" t="s">
        <v>148</v>
      </c>
      <c r="E31" s="417" t="s">
        <v>137</v>
      </c>
      <c r="F31" s="9" t="s">
        <v>144</v>
      </c>
      <c r="G31" s="345" t="s">
        <v>183</v>
      </c>
      <c r="H31" s="345" t="s">
        <v>229</v>
      </c>
      <c r="I31" s="346">
        <v>242</v>
      </c>
    </row>
    <row r="32" spans="1:9">
      <c r="A32" s="392" t="s">
        <v>262</v>
      </c>
      <c r="B32" s="393">
        <v>2</v>
      </c>
      <c r="C32" s="344" t="s">
        <v>151</v>
      </c>
      <c r="D32" s="348" t="s">
        <v>258</v>
      </c>
      <c r="E32" s="417" t="s">
        <v>137</v>
      </c>
      <c r="F32" s="345" t="s">
        <v>142</v>
      </c>
      <c r="G32" s="345" t="s">
        <v>145</v>
      </c>
      <c r="H32" s="345" t="s">
        <v>229</v>
      </c>
      <c r="I32" s="346">
        <v>245</v>
      </c>
    </row>
    <row r="33" spans="1:9">
      <c r="A33" s="392" t="s">
        <v>263</v>
      </c>
      <c r="B33" s="393">
        <v>2</v>
      </c>
      <c r="C33" s="344" t="s">
        <v>141</v>
      </c>
      <c r="D33" s="8" t="s">
        <v>156</v>
      </c>
      <c r="E33" s="417" t="s">
        <v>137</v>
      </c>
      <c r="F33" s="9" t="s">
        <v>144</v>
      </c>
      <c r="G33" s="345" t="s">
        <v>139</v>
      </c>
      <c r="H33" s="345" t="s">
        <v>229</v>
      </c>
      <c r="I33" s="346">
        <v>246</v>
      </c>
    </row>
    <row r="34" spans="1:9">
      <c r="A34" s="392" t="s">
        <v>264</v>
      </c>
      <c r="B34" s="393">
        <v>2</v>
      </c>
      <c r="C34" s="344" t="s">
        <v>151</v>
      </c>
      <c r="D34" s="8" t="s">
        <v>143</v>
      </c>
      <c r="E34" s="417" t="s">
        <v>137</v>
      </c>
      <c r="F34" s="9" t="s">
        <v>173</v>
      </c>
      <c r="G34" s="345" t="s">
        <v>250</v>
      </c>
      <c r="H34" s="345" t="s">
        <v>229</v>
      </c>
      <c r="I34" s="11">
        <v>254</v>
      </c>
    </row>
    <row r="35" spans="1:9">
      <c r="A35" s="392" t="s">
        <v>265</v>
      </c>
      <c r="B35" s="393">
        <v>2</v>
      </c>
      <c r="C35" s="344" t="s">
        <v>151</v>
      </c>
      <c r="D35" s="348" t="s">
        <v>136</v>
      </c>
      <c r="E35" s="417" t="s">
        <v>137</v>
      </c>
      <c r="F35" s="9" t="s">
        <v>155</v>
      </c>
      <c r="G35" s="345" t="s">
        <v>149</v>
      </c>
      <c r="H35" s="345" t="s">
        <v>229</v>
      </c>
      <c r="I35" s="11">
        <v>254</v>
      </c>
    </row>
    <row r="36" spans="1:9">
      <c r="A36" s="392" t="s">
        <v>266</v>
      </c>
      <c r="B36" s="393">
        <v>2</v>
      </c>
      <c r="C36" s="344" t="s">
        <v>151</v>
      </c>
      <c r="D36" s="348" t="s">
        <v>136</v>
      </c>
      <c r="E36" s="417" t="s">
        <v>137</v>
      </c>
      <c r="F36" s="345" t="s">
        <v>138</v>
      </c>
      <c r="G36" s="9" t="s">
        <v>239</v>
      </c>
      <c r="H36" s="9" t="s">
        <v>229</v>
      </c>
      <c r="I36" s="11">
        <v>254</v>
      </c>
    </row>
    <row r="37" spans="1:9">
      <c r="A37" s="392" t="s">
        <v>314</v>
      </c>
      <c r="B37" s="393">
        <v>2</v>
      </c>
      <c r="C37" s="344" t="s">
        <v>154</v>
      </c>
      <c r="D37" s="348" t="s">
        <v>148</v>
      </c>
      <c r="E37" s="417" t="s">
        <v>137</v>
      </c>
      <c r="F37" s="9" t="s">
        <v>144</v>
      </c>
      <c r="G37" s="345" t="s">
        <v>145</v>
      </c>
      <c r="H37" s="345" t="s">
        <v>229</v>
      </c>
      <c r="I37" s="346">
        <v>275</v>
      </c>
    </row>
    <row r="38" spans="1:9">
      <c r="A38" s="392" t="s">
        <v>267</v>
      </c>
      <c r="B38" s="393">
        <v>2</v>
      </c>
      <c r="C38" s="344" t="s">
        <v>151</v>
      </c>
      <c r="D38" s="348" t="s">
        <v>136</v>
      </c>
      <c r="E38" s="417" t="s">
        <v>137</v>
      </c>
      <c r="F38" s="345" t="s">
        <v>173</v>
      </c>
      <c r="G38" s="345" t="s">
        <v>149</v>
      </c>
      <c r="H38" s="345" t="s">
        <v>229</v>
      </c>
      <c r="I38" s="346">
        <v>279</v>
      </c>
    </row>
    <row r="39" spans="1:9">
      <c r="A39" s="392" t="s">
        <v>268</v>
      </c>
      <c r="B39" s="393">
        <v>2</v>
      </c>
      <c r="C39" s="344" t="s">
        <v>141</v>
      </c>
      <c r="D39" s="348" t="s">
        <v>148</v>
      </c>
      <c r="E39" s="417" t="s">
        <v>137</v>
      </c>
      <c r="F39" s="9" t="s">
        <v>142</v>
      </c>
      <c r="G39" s="9" t="s">
        <v>145</v>
      </c>
      <c r="H39" s="9" t="s">
        <v>229</v>
      </c>
      <c r="I39" s="11">
        <v>283</v>
      </c>
    </row>
    <row r="40" spans="1:9">
      <c r="A40" s="392" t="s">
        <v>269</v>
      </c>
      <c r="B40" s="393">
        <v>2</v>
      </c>
      <c r="C40" s="344" t="s">
        <v>231</v>
      </c>
      <c r="D40" s="348" t="s">
        <v>156</v>
      </c>
      <c r="E40" s="417" t="s">
        <v>137</v>
      </c>
      <c r="F40" s="9" t="s">
        <v>144</v>
      </c>
      <c r="G40" s="345" t="s">
        <v>139</v>
      </c>
      <c r="H40" s="345" t="s">
        <v>310</v>
      </c>
      <c r="I40" s="346">
        <v>126</v>
      </c>
    </row>
    <row r="41" spans="1:9">
      <c r="A41" s="392" t="s">
        <v>270</v>
      </c>
      <c r="B41" s="393">
        <v>2</v>
      </c>
      <c r="C41" s="12" t="s">
        <v>231</v>
      </c>
      <c r="D41" s="8" t="s">
        <v>136</v>
      </c>
      <c r="E41" s="417" t="s">
        <v>137</v>
      </c>
      <c r="F41" s="9" t="s">
        <v>142</v>
      </c>
      <c r="G41" s="9" t="s">
        <v>145</v>
      </c>
      <c r="H41" s="9" t="s">
        <v>229</v>
      </c>
      <c r="I41" s="346">
        <v>294</v>
      </c>
    </row>
    <row r="42" spans="1:9">
      <c r="A42" s="392" t="s">
        <v>271</v>
      </c>
      <c r="B42" s="393">
        <v>2</v>
      </c>
      <c r="C42" s="344" t="s">
        <v>151</v>
      </c>
      <c r="D42" s="348" t="s">
        <v>136</v>
      </c>
      <c r="E42" s="417" t="s">
        <v>137</v>
      </c>
      <c r="F42" s="345" t="s">
        <v>138</v>
      </c>
      <c r="G42" s="9" t="s">
        <v>150</v>
      </c>
      <c r="H42" s="9" t="s">
        <v>310</v>
      </c>
      <c r="I42" s="346">
        <v>127</v>
      </c>
    </row>
    <row r="43" spans="1:9">
      <c r="A43" s="399" t="s">
        <v>437</v>
      </c>
      <c r="B43" s="400">
        <v>2</v>
      </c>
      <c r="C43" s="352" t="s">
        <v>231</v>
      </c>
      <c r="D43" s="353" t="s">
        <v>136</v>
      </c>
      <c r="E43" s="418" t="s">
        <v>137</v>
      </c>
      <c r="F43" s="100" t="s">
        <v>124</v>
      </c>
      <c r="G43" s="354" t="s">
        <v>139</v>
      </c>
      <c r="H43" s="354" t="s">
        <v>310</v>
      </c>
      <c r="I43" s="391">
        <v>128</v>
      </c>
    </row>
    <row r="44" spans="1:9">
      <c r="A44" s="392" t="s">
        <v>272</v>
      </c>
      <c r="B44" s="393">
        <v>3</v>
      </c>
      <c r="C44" s="344" t="s">
        <v>154</v>
      </c>
      <c r="D44" s="348" t="s">
        <v>136</v>
      </c>
      <c r="E44" s="417" t="s">
        <v>137</v>
      </c>
      <c r="F44" s="9" t="s">
        <v>155</v>
      </c>
      <c r="G44" s="345" t="s">
        <v>149</v>
      </c>
      <c r="H44" s="345" t="s">
        <v>229</v>
      </c>
      <c r="I44" s="11">
        <v>200</v>
      </c>
    </row>
    <row r="45" spans="1:9">
      <c r="A45" s="392" t="s">
        <v>273</v>
      </c>
      <c r="B45" s="393">
        <v>3</v>
      </c>
      <c r="C45" s="344" t="s">
        <v>154</v>
      </c>
      <c r="D45" s="348" t="s">
        <v>258</v>
      </c>
      <c r="E45" s="417" t="s">
        <v>137</v>
      </c>
      <c r="F45" s="345" t="s">
        <v>173</v>
      </c>
      <c r="G45" s="345" t="s">
        <v>174</v>
      </c>
      <c r="H45" s="345" t="s">
        <v>229</v>
      </c>
      <c r="I45" s="11">
        <v>209</v>
      </c>
    </row>
    <row r="46" spans="1:9">
      <c r="A46" s="392" t="s">
        <v>274</v>
      </c>
      <c r="B46" s="393">
        <v>3</v>
      </c>
      <c r="C46" s="344" t="s">
        <v>151</v>
      </c>
      <c r="D46" s="8" t="s">
        <v>143</v>
      </c>
      <c r="E46" s="417" t="s">
        <v>137</v>
      </c>
      <c r="F46" s="9" t="s">
        <v>142</v>
      </c>
      <c r="G46" s="345" t="s">
        <v>239</v>
      </c>
      <c r="H46" s="345" t="s">
        <v>310</v>
      </c>
      <c r="I46" s="346">
        <v>108</v>
      </c>
    </row>
    <row r="47" spans="1:9">
      <c r="A47" s="392" t="s">
        <v>275</v>
      </c>
      <c r="B47" s="393">
        <v>3</v>
      </c>
      <c r="C47" s="344" t="s">
        <v>231</v>
      </c>
      <c r="D47" s="348" t="s">
        <v>157</v>
      </c>
      <c r="E47" s="417" t="s">
        <v>137</v>
      </c>
      <c r="F47" s="345" t="s">
        <v>138</v>
      </c>
      <c r="G47" s="345" t="s">
        <v>149</v>
      </c>
      <c r="H47" s="345" t="s">
        <v>229</v>
      </c>
      <c r="I47" s="11">
        <v>217</v>
      </c>
    </row>
    <row r="48" spans="1:9">
      <c r="A48" s="392" t="s">
        <v>276</v>
      </c>
      <c r="B48" s="393">
        <v>3</v>
      </c>
      <c r="C48" s="12" t="s">
        <v>146</v>
      </c>
      <c r="D48" s="8" t="s">
        <v>136</v>
      </c>
      <c r="E48" s="417" t="s">
        <v>137</v>
      </c>
      <c r="F48" s="9" t="s">
        <v>144</v>
      </c>
      <c r="G48" s="9" t="s">
        <v>139</v>
      </c>
      <c r="H48" s="9" t="s">
        <v>229</v>
      </c>
      <c r="I48" s="11">
        <v>223</v>
      </c>
    </row>
    <row r="49" spans="1:9">
      <c r="A49" s="392" t="s">
        <v>277</v>
      </c>
      <c r="B49" s="393">
        <v>3</v>
      </c>
      <c r="C49" s="344" t="s">
        <v>151</v>
      </c>
      <c r="D49" s="8" t="s">
        <v>278</v>
      </c>
      <c r="E49" s="417" t="s">
        <v>137</v>
      </c>
      <c r="F49" s="9" t="s">
        <v>142</v>
      </c>
      <c r="G49" s="345" t="s">
        <v>150</v>
      </c>
      <c r="H49" s="345" t="s">
        <v>229</v>
      </c>
      <c r="I49" s="11">
        <v>223</v>
      </c>
    </row>
    <row r="50" spans="1:9">
      <c r="A50" s="392" t="s">
        <v>279</v>
      </c>
      <c r="B50" s="393">
        <v>3</v>
      </c>
      <c r="C50" s="344" t="s">
        <v>141</v>
      </c>
      <c r="D50" s="348" t="s">
        <v>234</v>
      </c>
      <c r="E50" s="417" t="s">
        <v>137</v>
      </c>
      <c r="F50" s="9" t="s">
        <v>155</v>
      </c>
      <c r="G50" s="345" t="s">
        <v>145</v>
      </c>
      <c r="H50" s="345" t="s">
        <v>229</v>
      </c>
      <c r="I50" s="11">
        <v>235</v>
      </c>
    </row>
    <row r="51" spans="1:9">
      <c r="A51" s="392" t="s">
        <v>280</v>
      </c>
      <c r="B51" s="393">
        <v>3</v>
      </c>
      <c r="C51" s="344" t="s">
        <v>141</v>
      </c>
      <c r="D51" s="348" t="s">
        <v>156</v>
      </c>
      <c r="E51" s="417" t="s">
        <v>281</v>
      </c>
      <c r="F51" s="345" t="s">
        <v>138</v>
      </c>
      <c r="G51" s="345" t="s">
        <v>152</v>
      </c>
      <c r="H51" s="345" t="s">
        <v>310</v>
      </c>
      <c r="I51" s="346">
        <v>114</v>
      </c>
    </row>
    <row r="52" spans="1:9">
      <c r="A52" s="392" t="s">
        <v>282</v>
      </c>
      <c r="B52" s="393">
        <v>3</v>
      </c>
      <c r="C52" s="12" t="s">
        <v>141</v>
      </c>
      <c r="D52" s="8" t="s">
        <v>148</v>
      </c>
      <c r="E52" s="417" t="s">
        <v>137</v>
      </c>
      <c r="F52" s="345" t="s">
        <v>138</v>
      </c>
      <c r="G52" s="9" t="s">
        <v>150</v>
      </c>
      <c r="H52" s="9" t="s">
        <v>229</v>
      </c>
      <c r="I52" s="408">
        <v>239</v>
      </c>
    </row>
    <row r="53" spans="1:9">
      <c r="A53" s="392" t="s">
        <v>283</v>
      </c>
      <c r="B53" s="393">
        <v>3</v>
      </c>
      <c r="C53" s="10" t="s">
        <v>231</v>
      </c>
      <c r="D53" s="348" t="s">
        <v>136</v>
      </c>
      <c r="E53" s="417" t="s">
        <v>281</v>
      </c>
      <c r="F53" s="345" t="s">
        <v>138</v>
      </c>
      <c r="G53" s="9" t="s">
        <v>150</v>
      </c>
      <c r="H53" s="9" t="s">
        <v>310</v>
      </c>
      <c r="I53" s="346">
        <v>114</v>
      </c>
    </row>
    <row r="54" spans="1:9">
      <c r="A54" s="392" t="s">
        <v>284</v>
      </c>
      <c r="B54" s="393">
        <v>3</v>
      </c>
      <c r="C54" s="344" t="s">
        <v>231</v>
      </c>
      <c r="D54" s="348" t="s">
        <v>258</v>
      </c>
      <c r="E54" s="417" t="s">
        <v>137</v>
      </c>
      <c r="F54" s="9" t="s">
        <v>144</v>
      </c>
      <c r="G54" s="9" t="s">
        <v>150</v>
      </c>
      <c r="H54" s="9" t="s">
        <v>229</v>
      </c>
      <c r="I54" s="346">
        <v>241</v>
      </c>
    </row>
    <row r="55" spans="1:9">
      <c r="A55" s="392" t="s">
        <v>285</v>
      </c>
      <c r="B55" s="393">
        <v>3</v>
      </c>
      <c r="C55" s="344" t="s">
        <v>231</v>
      </c>
      <c r="D55" s="348" t="s">
        <v>136</v>
      </c>
      <c r="E55" s="417" t="s">
        <v>281</v>
      </c>
      <c r="F55" s="9" t="s">
        <v>142</v>
      </c>
      <c r="G55" s="9" t="s">
        <v>150</v>
      </c>
      <c r="H55" s="9" t="s">
        <v>310</v>
      </c>
      <c r="I55" s="346">
        <v>115</v>
      </c>
    </row>
    <row r="56" spans="1:9">
      <c r="A56" s="392" t="s">
        <v>286</v>
      </c>
      <c r="B56" s="393">
        <v>3</v>
      </c>
      <c r="C56" s="344" t="s">
        <v>151</v>
      </c>
      <c r="D56" s="348" t="s">
        <v>148</v>
      </c>
      <c r="E56" s="417" t="s">
        <v>137</v>
      </c>
      <c r="F56" s="9" t="s">
        <v>287</v>
      </c>
      <c r="G56" s="345" t="s">
        <v>149</v>
      </c>
      <c r="H56" s="345" t="s">
        <v>229</v>
      </c>
      <c r="I56" s="346">
        <v>245</v>
      </c>
    </row>
    <row r="57" spans="1:9">
      <c r="A57" s="392" t="s">
        <v>288</v>
      </c>
      <c r="B57" s="393">
        <v>3</v>
      </c>
      <c r="C57" s="344" t="s">
        <v>151</v>
      </c>
      <c r="D57" s="8" t="s">
        <v>148</v>
      </c>
      <c r="E57" s="417" t="s">
        <v>137</v>
      </c>
      <c r="F57" s="345" t="s">
        <v>138</v>
      </c>
      <c r="G57" s="9" t="s">
        <v>150</v>
      </c>
      <c r="H57" s="9" t="s">
        <v>310</v>
      </c>
      <c r="I57" s="346">
        <v>116</v>
      </c>
    </row>
    <row r="58" spans="1:9">
      <c r="A58" s="392" t="s">
        <v>289</v>
      </c>
      <c r="B58" s="393">
        <v>3</v>
      </c>
      <c r="C58" s="344" t="s">
        <v>151</v>
      </c>
      <c r="D58" s="8" t="s">
        <v>143</v>
      </c>
      <c r="E58" s="417" t="s">
        <v>137</v>
      </c>
      <c r="F58" s="9" t="s">
        <v>173</v>
      </c>
      <c r="G58" s="345" t="s">
        <v>183</v>
      </c>
      <c r="H58" s="345" t="s">
        <v>229</v>
      </c>
      <c r="I58" s="11">
        <v>252</v>
      </c>
    </row>
    <row r="59" spans="1:9">
      <c r="A59" s="392" t="s">
        <v>290</v>
      </c>
      <c r="B59" s="393">
        <v>3</v>
      </c>
      <c r="C59" s="344" t="s">
        <v>146</v>
      </c>
      <c r="D59" s="8" t="s">
        <v>148</v>
      </c>
      <c r="E59" s="417" t="s">
        <v>137</v>
      </c>
      <c r="F59" s="9" t="s">
        <v>142</v>
      </c>
      <c r="G59" s="9" t="s">
        <v>239</v>
      </c>
      <c r="H59" s="9" t="s">
        <v>229</v>
      </c>
      <c r="I59" s="11">
        <v>257</v>
      </c>
    </row>
    <row r="60" spans="1:9">
      <c r="A60" s="392" t="s">
        <v>291</v>
      </c>
      <c r="B60" s="393">
        <v>3</v>
      </c>
      <c r="C60" s="344" t="s">
        <v>141</v>
      </c>
      <c r="D60" s="8" t="s">
        <v>148</v>
      </c>
      <c r="E60" s="417" t="s">
        <v>137</v>
      </c>
      <c r="F60" s="345" t="s">
        <v>138</v>
      </c>
      <c r="G60" s="345" t="s">
        <v>150</v>
      </c>
      <c r="H60" s="345" t="s">
        <v>229</v>
      </c>
      <c r="I60" s="11">
        <v>280</v>
      </c>
    </row>
    <row r="61" spans="1:9">
      <c r="A61" s="392" t="s">
        <v>292</v>
      </c>
      <c r="B61" s="393">
        <v>3</v>
      </c>
      <c r="C61" s="344" t="s">
        <v>231</v>
      </c>
      <c r="D61" s="348" t="s">
        <v>136</v>
      </c>
      <c r="E61" s="417" t="s">
        <v>137</v>
      </c>
      <c r="F61" s="9" t="s">
        <v>138</v>
      </c>
      <c r="G61" s="345" t="s">
        <v>239</v>
      </c>
      <c r="H61" s="345" t="s">
        <v>229</v>
      </c>
      <c r="I61" s="11">
        <v>285</v>
      </c>
    </row>
    <row r="62" spans="1:9">
      <c r="A62" s="392" t="s">
        <v>293</v>
      </c>
      <c r="B62" s="393">
        <v>3</v>
      </c>
      <c r="C62" s="344" t="s">
        <v>151</v>
      </c>
      <c r="D62" s="348" t="s">
        <v>136</v>
      </c>
      <c r="E62" s="417" t="s">
        <v>137</v>
      </c>
      <c r="F62" s="9" t="s">
        <v>144</v>
      </c>
      <c r="G62" s="9" t="s">
        <v>150</v>
      </c>
      <c r="H62" s="9" t="s">
        <v>310</v>
      </c>
      <c r="I62" s="346">
        <v>128</v>
      </c>
    </row>
    <row r="63" spans="1:9">
      <c r="A63" s="399" t="s">
        <v>294</v>
      </c>
      <c r="B63" s="400">
        <v>3</v>
      </c>
      <c r="C63" s="352" t="s">
        <v>151</v>
      </c>
      <c r="D63" s="353" t="s">
        <v>136</v>
      </c>
      <c r="E63" s="418" t="s">
        <v>172</v>
      </c>
      <c r="F63" s="354" t="s">
        <v>295</v>
      </c>
      <c r="G63" s="354" t="s">
        <v>152</v>
      </c>
      <c r="H63" s="354" t="s">
        <v>229</v>
      </c>
      <c r="I63" s="101">
        <v>303</v>
      </c>
    </row>
    <row r="64" spans="1:9">
      <c r="A64" s="392" t="s">
        <v>296</v>
      </c>
      <c r="B64" s="393">
        <v>4</v>
      </c>
      <c r="C64" s="344" t="s">
        <v>231</v>
      </c>
      <c r="D64" s="348" t="s">
        <v>136</v>
      </c>
      <c r="E64" s="417" t="s">
        <v>137</v>
      </c>
      <c r="F64" s="9" t="s">
        <v>138</v>
      </c>
      <c r="G64" s="345" t="s">
        <v>297</v>
      </c>
      <c r="H64" s="345" t="s">
        <v>229</v>
      </c>
      <c r="I64" s="11">
        <v>209</v>
      </c>
    </row>
    <row r="65" spans="1:9">
      <c r="A65" s="392" t="s">
        <v>298</v>
      </c>
      <c r="B65" s="393">
        <v>4</v>
      </c>
      <c r="C65" s="344" t="s">
        <v>231</v>
      </c>
      <c r="D65" s="8" t="s">
        <v>157</v>
      </c>
      <c r="E65" s="417" t="s">
        <v>137</v>
      </c>
      <c r="F65" s="9" t="s">
        <v>144</v>
      </c>
      <c r="G65" s="345" t="s">
        <v>150</v>
      </c>
      <c r="H65" s="345" t="s">
        <v>229</v>
      </c>
      <c r="I65" s="11">
        <v>212</v>
      </c>
    </row>
    <row r="66" spans="1:9">
      <c r="A66" s="392" t="s">
        <v>299</v>
      </c>
      <c r="B66" s="393">
        <v>4</v>
      </c>
      <c r="C66" s="344" t="s">
        <v>231</v>
      </c>
      <c r="D66" s="348" t="s">
        <v>148</v>
      </c>
      <c r="E66" s="417" t="s">
        <v>137</v>
      </c>
      <c r="F66" s="9" t="s">
        <v>124</v>
      </c>
      <c r="G66" s="345" t="s">
        <v>149</v>
      </c>
      <c r="H66" s="345" t="s">
        <v>229</v>
      </c>
      <c r="I66" s="346">
        <v>215</v>
      </c>
    </row>
    <row r="67" spans="1:9">
      <c r="A67" s="392" t="s">
        <v>315</v>
      </c>
      <c r="B67" s="393">
        <v>4</v>
      </c>
      <c r="C67" s="344" t="s">
        <v>146</v>
      </c>
      <c r="D67" s="8" t="s">
        <v>157</v>
      </c>
      <c r="E67" s="417" t="s">
        <v>137</v>
      </c>
      <c r="F67" s="9" t="s">
        <v>142</v>
      </c>
      <c r="G67" s="345" t="s">
        <v>145</v>
      </c>
      <c r="H67" s="345" t="s">
        <v>229</v>
      </c>
      <c r="I67" s="346">
        <v>233</v>
      </c>
    </row>
    <row r="68" spans="1:9">
      <c r="A68" s="392" t="s">
        <v>300</v>
      </c>
      <c r="B68" s="393">
        <v>4</v>
      </c>
      <c r="C68" s="12" t="s">
        <v>151</v>
      </c>
      <c r="D68" s="8" t="s">
        <v>136</v>
      </c>
      <c r="E68" s="417" t="s">
        <v>137</v>
      </c>
      <c r="F68" s="9" t="s">
        <v>142</v>
      </c>
      <c r="G68" s="9" t="s">
        <v>149</v>
      </c>
      <c r="H68" s="9" t="s">
        <v>229</v>
      </c>
      <c r="I68" s="346">
        <v>245</v>
      </c>
    </row>
    <row r="69" spans="1:9">
      <c r="A69" s="392" t="s">
        <v>301</v>
      </c>
      <c r="B69" s="393">
        <v>4</v>
      </c>
      <c r="C69" s="344" t="s">
        <v>151</v>
      </c>
      <c r="D69" s="348" t="s">
        <v>136</v>
      </c>
      <c r="E69" s="417" t="s">
        <v>281</v>
      </c>
      <c r="F69" s="9" t="s">
        <v>155</v>
      </c>
      <c r="G69" s="345" t="s">
        <v>149</v>
      </c>
      <c r="H69" s="345" t="s">
        <v>310</v>
      </c>
      <c r="I69" s="346">
        <v>120</v>
      </c>
    </row>
    <row r="70" spans="1:9">
      <c r="A70" s="392" t="s">
        <v>302</v>
      </c>
      <c r="B70" s="393">
        <v>4</v>
      </c>
      <c r="C70" s="344" t="s">
        <v>154</v>
      </c>
      <c r="D70" s="348" t="s">
        <v>148</v>
      </c>
      <c r="E70" s="417" t="s">
        <v>137</v>
      </c>
      <c r="F70" s="345" t="s">
        <v>173</v>
      </c>
      <c r="G70" s="9" t="s">
        <v>149</v>
      </c>
      <c r="H70" s="9" t="s">
        <v>229</v>
      </c>
      <c r="I70" s="11">
        <v>249</v>
      </c>
    </row>
    <row r="71" spans="1:9">
      <c r="A71" s="392" t="s">
        <v>303</v>
      </c>
      <c r="B71" s="393">
        <v>4</v>
      </c>
      <c r="C71" s="403" t="s">
        <v>231</v>
      </c>
      <c r="D71" s="406" t="s">
        <v>136</v>
      </c>
      <c r="E71" s="406" t="s">
        <v>137</v>
      </c>
      <c r="F71" s="243" t="s">
        <v>138</v>
      </c>
      <c r="G71" s="349" t="s">
        <v>139</v>
      </c>
      <c r="H71" s="349" t="s">
        <v>310</v>
      </c>
      <c r="I71" s="398">
        <v>128</v>
      </c>
    </row>
    <row r="72" spans="1:9">
      <c r="A72" s="392" t="s">
        <v>304</v>
      </c>
      <c r="B72" s="393">
        <v>4</v>
      </c>
      <c r="C72" s="403" t="s">
        <v>151</v>
      </c>
      <c r="D72" s="406" t="s">
        <v>136</v>
      </c>
      <c r="E72" s="406" t="s">
        <v>137</v>
      </c>
      <c r="F72" s="243" t="s">
        <v>144</v>
      </c>
      <c r="G72" s="349" t="s">
        <v>150</v>
      </c>
      <c r="H72" s="349" t="s">
        <v>310</v>
      </c>
      <c r="I72" s="398">
        <v>120</v>
      </c>
    </row>
    <row r="73" spans="1:9">
      <c r="A73" s="392" t="s">
        <v>305</v>
      </c>
      <c r="B73" s="393">
        <v>4</v>
      </c>
      <c r="C73" s="344" t="s">
        <v>151</v>
      </c>
      <c r="D73" s="348" t="s">
        <v>306</v>
      </c>
      <c r="E73" s="417" t="s">
        <v>137</v>
      </c>
      <c r="F73" s="9" t="s">
        <v>144</v>
      </c>
      <c r="G73" s="345" t="s">
        <v>183</v>
      </c>
      <c r="H73" s="345" t="s">
        <v>229</v>
      </c>
      <c r="I73" s="11">
        <v>268</v>
      </c>
    </row>
    <row r="74" spans="1:9">
      <c r="A74" s="471" t="s">
        <v>333</v>
      </c>
      <c r="B74" s="472">
        <v>4</v>
      </c>
      <c r="C74" s="473" t="s">
        <v>151</v>
      </c>
      <c r="D74" s="474" t="s">
        <v>136</v>
      </c>
      <c r="E74" s="474" t="s">
        <v>137</v>
      </c>
      <c r="F74" s="475" t="s">
        <v>138</v>
      </c>
      <c r="G74" s="476" t="s">
        <v>150</v>
      </c>
      <c r="H74" s="477" t="s">
        <v>311</v>
      </c>
      <c r="I74" s="478">
        <v>186</v>
      </c>
    </row>
    <row r="75" spans="1:9">
      <c r="A75" s="399" t="s">
        <v>307</v>
      </c>
      <c r="B75" s="400">
        <v>4</v>
      </c>
      <c r="C75" s="352" t="s">
        <v>135</v>
      </c>
      <c r="D75" s="353" t="s">
        <v>148</v>
      </c>
      <c r="E75" s="418" t="s">
        <v>137</v>
      </c>
      <c r="F75" s="354" t="s">
        <v>144</v>
      </c>
      <c r="G75" s="354" t="s">
        <v>149</v>
      </c>
      <c r="H75" s="354" t="s">
        <v>229</v>
      </c>
      <c r="I75" s="101">
        <v>281</v>
      </c>
    </row>
    <row r="76" spans="1:9">
      <c r="A76" s="392" t="s">
        <v>316</v>
      </c>
      <c r="B76" s="393">
        <v>5</v>
      </c>
      <c r="C76" s="344" t="s">
        <v>146</v>
      </c>
      <c r="D76" s="348" t="s">
        <v>136</v>
      </c>
      <c r="E76" s="417" t="s">
        <v>147</v>
      </c>
      <c r="F76" s="9" t="s">
        <v>138</v>
      </c>
      <c r="G76" s="345" t="s">
        <v>139</v>
      </c>
      <c r="H76" s="345" t="s">
        <v>229</v>
      </c>
      <c r="I76" s="11">
        <v>207</v>
      </c>
    </row>
    <row r="77" spans="1:9">
      <c r="A77" s="392" t="s">
        <v>317</v>
      </c>
      <c r="B77" s="393">
        <v>5</v>
      </c>
      <c r="C77" s="12" t="s">
        <v>231</v>
      </c>
      <c r="D77" s="390" t="s">
        <v>136</v>
      </c>
      <c r="E77" s="415" t="s">
        <v>172</v>
      </c>
      <c r="F77" s="397" t="s">
        <v>138</v>
      </c>
      <c r="G77" s="9" t="s">
        <v>297</v>
      </c>
      <c r="H77" s="9" t="s">
        <v>229</v>
      </c>
      <c r="I77" s="128">
        <v>224</v>
      </c>
    </row>
    <row r="78" spans="1:9">
      <c r="A78" s="392" t="s">
        <v>318</v>
      </c>
      <c r="B78" s="393">
        <v>5</v>
      </c>
      <c r="C78" s="12" t="s">
        <v>231</v>
      </c>
      <c r="D78" s="390" t="s">
        <v>148</v>
      </c>
      <c r="E78" s="420" t="s">
        <v>137</v>
      </c>
      <c r="F78" s="397" t="s">
        <v>144</v>
      </c>
      <c r="G78" s="9" t="s">
        <v>139</v>
      </c>
      <c r="H78" s="9" t="s">
        <v>229</v>
      </c>
      <c r="I78" s="11">
        <v>229</v>
      </c>
    </row>
    <row r="79" spans="1:9">
      <c r="A79" s="392" t="s">
        <v>319</v>
      </c>
      <c r="B79" s="393">
        <v>5</v>
      </c>
      <c r="C79" s="12" t="s">
        <v>231</v>
      </c>
      <c r="D79" s="390" t="s">
        <v>148</v>
      </c>
      <c r="E79" s="420" t="s">
        <v>137</v>
      </c>
      <c r="F79" s="397" t="s">
        <v>144</v>
      </c>
      <c r="G79" s="9" t="s">
        <v>150</v>
      </c>
      <c r="H79" s="9" t="s">
        <v>310</v>
      </c>
      <c r="I79" s="11">
        <v>114</v>
      </c>
    </row>
    <row r="80" spans="1:9">
      <c r="A80" s="392" t="s">
        <v>320</v>
      </c>
      <c r="B80" s="393">
        <v>5</v>
      </c>
      <c r="C80" s="12" t="s">
        <v>231</v>
      </c>
      <c r="D80" s="8" t="s">
        <v>258</v>
      </c>
      <c r="E80" s="420" t="s">
        <v>137</v>
      </c>
      <c r="F80" s="9" t="s">
        <v>144</v>
      </c>
      <c r="G80" s="9" t="s">
        <v>150</v>
      </c>
      <c r="H80" s="9" t="s">
        <v>229</v>
      </c>
      <c r="I80" s="11">
        <v>241</v>
      </c>
    </row>
    <row r="81" spans="1:9">
      <c r="A81" s="392" t="s">
        <v>321</v>
      </c>
      <c r="B81" s="393">
        <v>5</v>
      </c>
      <c r="C81" s="12" t="s">
        <v>231</v>
      </c>
      <c r="D81" s="8" t="s">
        <v>156</v>
      </c>
      <c r="E81" s="420" t="s">
        <v>137</v>
      </c>
      <c r="F81" s="9" t="s">
        <v>138</v>
      </c>
      <c r="G81" s="9" t="s">
        <v>152</v>
      </c>
      <c r="H81" s="9" t="s">
        <v>310</v>
      </c>
      <c r="I81" s="11">
        <v>115</v>
      </c>
    </row>
    <row r="82" spans="1:9">
      <c r="A82" s="392" t="s">
        <v>322</v>
      </c>
      <c r="B82" s="393">
        <v>5</v>
      </c>
      <c r="C82" s="12" t="s">
        <v>231</v>
      </c>
      <c r="D82" s="8" t="s">
        <v>136</v>
      </c>
      <c r="E82" s="420" t="s">
        <v>137</v>
      </c>
      <c r="F82" s="9" t="s">
        <v>144</v>
      </c>
      <c r="G82" s="9" t="s">
        <v>183</v>
      </c>
      <c r="H82" s="9" t="s">
        <v>229</v>
      </c>
      <c r="I82" s="11">
        <v>253</v>
      </c>
    </row>
    <row r="83" spans="1:9">
      <c r="A83" s="392" t="s">
        <v>323</v>
      </c>
      <c r="B83" s="393">
        <v>5</v>
      </c>
      <c r="C83" s="12" t="s">
        <v>154</v>
      </c>
      <c r="D83" s="390" t="s">
        <v>148</v>
      </c>
      <c r="E83" s="420" t="s">
        <v>137</v>
      </c>
      <c r="F83" s="9" t="s">
        <v>138</v>
      </c>
      <c r="G83" s="9" t="s">
        <v>145</v>
      </c>
      <c r="H83" s="9" t="s">
        <v>229</v>
      </c>
      <c r="I83" s="11">
        <v>268</v>
      </c>
    </row>
    <row r="84" spans="1:9">
      <c r="A84" s="392" t="s">
        <v>324</v>
      </c>
      <c r="B84" s="393">
        <v>5</v>
      </c>
      <c r="C84" s="12" t="s">
        <v>151</v>
      </c>
      <c r="D84" s="8" t="s">
        <v>136</v>
      </c>
      <c r="E84" s="420" t="s">
        <v>137</v>
      </c>
      <c r="F84" s="9" t="s">
        <v>138</v>
      </c>
      <c r="G84" s="9" t="s">
        <v>174</v>
      </c>
      <c r="H84" s="9" t="s">
        <v>229</v>
      </c>
      <c r="I84" s="11">
        <v>275</v>
      </c>
    </row>
    <row r="85" spans="1:9">
      <c r="A85" s="392" t="s">
        <v>325</v>
      </c>
      <c r="B85" s="393">
        <v>5</v>
      </c>
      <c r="C85" s="12" t="s">
        <v>140</v>
      </c>
      <c r="D85" s="8" t="s">
        <v>157</v>
      </c>
      <c r="E85" s="420" t="s">
        <v>174</v>
      </c>
      <c r="F85" s="9" t="s">
        <v>138</v>
      </c>
      <c r="G85" s="9" t="s">
        <v>327</v>
      </c>
      <c r="H85" s="9" t="s">
        <v>229</v>
      </c>
      <c r="I85" s="11">
        <v>275</v>
      </c>
    </row>
    <row r="86" spans="1:9" ht="17.399999999999999" thickBot="1">
      <c r="A86" s="409" t="s">
        <v>326</v>
      </c>
      <c r="B86" s="410">
        <v>5</v>
      </c>
      <c r="C86" s="411" t="s">
        <v>141</v>
      </c>
      <c r="D86" s="412" t="s">
        <v>136</v>
      </c>
      <c r="E86" s="412" t="s">
        <v>137</v>
      </c>
      <c r="F86" s="413" t="s">
        <v>138</v>
      </c>
      <c r="G86" s="413" t="s">
        <v>152</v>
      </c>
      <c r="H86" s="413" t="s">
        <v>310</v>
      </c>
      <c r="I86" s="414">
        <v>113</v>
      </c>
    </row>
    <row r="87" spans="1:9" ht="17.399999999999999" thickTop="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showGridLines="0" workbookViewId="0"/>
  </sheetViews>
  <sheetFormatPr defaultColWidth="9.8984375" defaultRowHeight="16.8"/>
  <cols>
    <col min="1" max="1" width="18.69921875" style="94" bestFit="1" customWidth="1"/>
    <col min="2" max="2" width="3.5" style="94" bestFit="1" customWidth="1"/>
    <col min="3" max="3" width="6.19921875" style="94" bestFit="1" customWidth="1"/>
    <col min="4" max="4" width="4.09765625" style="94" bestFit="1" customWidth="1"/>
    <col min="5" max="5" width="6.296875" style="94" bestFit="1" customWidth="1"/>
    <col min="6" max="6" width="2.8984375" style="94" customWidth="1"/>
    <col min="7" max="7" width="18.5" style="94" bestFit="1" customWidth="1"/>
    <col min="8" max="8" width="3.8984375" style="94" customWidth="1"/>
    <col min="9" max="9" width="4" style="94" customWidth="1"/>
    <col min="10" max="10" width="4.3984375" style="94" bestFit="1" customWidth="1"/>
    <col min="11" max="11" width="4.09765625" style="94" bestFit="1" customWidth="1"/>
    <col min="12" max="15" width="3.8984375" style="94" bestFit="1" customWidth="1"/>
    <col min="16" max="16384" width="9.8984375" style="94"/>
  </cols>
  <sheetData>
    <row r="1" spans="1:15" ht="22.2" thickTop="1" thickBot="1">
      <c r="A1" s="335" t="s">
        <v>211</v>
      </c>
      <c r="B1" s="322"/>
      <c r="C1" s="323"/>
      <c r="D1" s="323"/>
      <c r="E1" s="324"/>
      <c r="G1" s="305"/>
      <c r="H1" s="306" t="s">
        <v>210</v>
      </c>
      <c r="I1" s="307"/>
      <c r="J1" s="308"/>
      <c r="K1" s="308"/>
      <c r="L1" s="308"/>
      <c r="M1" s="308"/>
      <c r="N1" s="308"/>
      <c r="O1" s="309"/>
    </row>
    <row r="2" spans="1:15" ht="18" thickTop="1" thickBot="1">
      <c r="A2" s="331" t="s">
        <v>93</v>
      </c>
      <c r="B2" s="332" t="s">
        <v>178</v>
      </c>
      <c r="C2" s="332" t="s">
        <v>96</v>
      </c>
      <c r="D2" s="333" t="s">
        <v>97</v>
      </c>
      <c r="E2" s="334" t="s">
        <v>98</v>
      </c>
      <c r="G2" s="305"/>
      <c r="H2" s="310" t="s">
        <v>109</v>
      </c>
      <c r="I2" s="311" t="s">
        <v>101</v>
      </c>
      <c r="J2" s="311" t="s">
        <v>102</v>
      </c>
      <c r="K2" s="311" t="s">
        <v>103</v>
      </c>
      <c r="L2" s="311" t="s">
        <v>104</v>
      </c>
      <c r="M2" s="311" t="s">
        <v>105</v>
      </c>
      <c r="N2" s="311" t="s">
        <v>106</v>
      </c>
      <c r="O2" s="312" t="s">
        <v>107</v>
      </c>
    </row>
    <row r="3" spans="1:15" ht="17.399999999999999" thickTop="1">
      <c r="A3" s="325" t="s">
        <v>110</v>
      </c>
      <c r="B3" s="326">
        <v>0</v>
      </c>
      <c r="C3" s="326">
        <v>0</v>
      </c>
      <c r="D3" s="327">
        <f>10+B3+C3+'Personal File'!$C$13+1</f>
        <v>11</v>
      </c>
      <c r="E3" s="328" t="s">
        <v>99</v>
      </c>
      <c r="G3" s="313" t="s">
        <v>209</v>
      </c>
      <c r="H3" s="314">
        <v>6</v>
      </c>
      <c r="I3" s="315">
        <v>6</v>
      </c>
      <c r="J3" s="315">
        <v>6</v>
      </c>
      <c r="K3" s="315">
        <v>6</v>
      </c>
      <c r="L3" s="315">
        <v>6</v>
      </c>
      <c r="M3" s="315">
        <v>4</v>
      </c>
      <c r="N3" s="316">
        <v>0</v>
      </c>
      <c r="O3" s="317">
        <v>0</v>
      </c>
    </row>
    <row r="4" spans="1:15">
      <c r="A4" s="329" t="s">
        <v>111</v>
      </c>
      <c r="B4" s="98">
        <v>0</v>
      </c>
      <c r="C4" s="98">
        <v>0</v>
      </c>
      <c r="D4" s="221">
        <f>10+B4+C4+'Personal File'!$C$13+1</f>
        <v>11</v>
      </c>
      <c r="E4" s="301" t="s">
        <v>99</v>
      </c>
      <c r="G4" s="318" t="s">
        <v>171</v>
      </c>
      <c r="H4" s="319">
        <v>0</v>
      </c>
      <c r="I4" s="319">
        <v>1</v>
      </c>
      <c r="J4" s="319">
        <v>1</v>
      </c>
      <c r="K4" s="319">
        <v>1</v>
      </c>
      <c r="L4" s="319">
        <v>1</v>
      </c>
      <c r="M4" s="319">
        <v>0</v>
      </c>
      <c r="N4" s="320">
        <v>0</v>
      </c>
      <c r="O4" s="321">
        <v>0</v>
      </c>
    </row>
    <row r="5" spans="1:15">
      <c r="A5" s="329" t="s">
        <v>212</v>
      </c>
      <c r="B5" s="98">
        <v>0</v>
      </c>
      <c r="C5" s="98">
        <v>0</v>
      </c>
      <c r="D5" s="221">
        <f>10+B5+C5+'Personal File'!$C$13+1</f>
        <v>11</v>
      </c>
      <c r="E5" s="301" t="s">
        <v>99</v>
      </c>
      <c r="G5" s="554" t="s">
        <v>116</v>
      </c>
      <c r="H5" s="542">
        <f>SUM(H3:H4)</f>
        <v>6</v>
      </c>
      <c r="I5" s="543">
        <f>SUM(I3:I4)</f>
        <v>7</v>
      </c>
      <c r="J5" s="543">
        <f>SUM(J3:J4)</f>
        <v>7</v>
      </c>
      <c r="K5" s="543">
        <f t="shared" ref="K5:L5" si="0">SUM(K3:K4)</f>
        <v>7</v>
      </c>
      <c r="L5" s="544">
        <f t="shared" si="0"/>
        <v>7</v>
      </c>
      <c r="M5" s="544">
        <f t="shared" ref="M5" si="1">SUM(M3:M4)</f>
        <v>4</v>
      </c>
      <c r="N5" s="544">
        <v>0</v>
      </c>
      <c r="O5" s="545">
        <v>0</v>
      </c>
    </row>
    <row r="6" spans="1:15" ht="17.399999999999999" thickBot="1">
      <c r="A6" s="330" t="s">
        <v>112</v>
      </c>
      <c r="B6" s="302">
        <v>0</v>
      </c>
      <c r="C6" s="302">
        <v>2</v>
      </c>
      <c r="D6" s="303">
        <f>10+B6+C6+'Personal File'!$C$13+1</f>
        <v>13</v>
      </c>
      <c r="E6" s="304" t="s">
        <v>99</v>
      </c>
      <c r="G6" s="555" t="s">
        <v>97</v>
      </c>
      <c r="H6" s="546">
        <f>10+(LEFT(H2,1)+'Personal File'!$C$11)</f>
        <v>15</v>
      </c>
      <c r="I6" s="547">
        <f>10+(LEFT(I2,1)+'Personal File'!$C$11)</f>
        <v>16</v>
      </c>
      <c r="J6" s="547">
        <f>10+(LEFT(J2,1)+'Personal File'!$C$11)</f>
        <v>17</v>
      </c>
      <c r="K6" s="547">
        <f>10+(LEFT(K2,1)+'Personal File'!$C$11)</f>
        <v>18</v>
      </c>
      <c r="L6" s="547">
        <f>10+(LEFT(L2,1)+'Personal File'!$C$11)</f>
        <v>19</v>
      </c>
      <c r="M6" s="547">
        <f>10+(LEFT(M2,1)+'Personal File'!$C$11)</f>
        <v>20</v>
      </c>
      <c r="N6" s="552" t="s">
        <v>94</v>
      </c>
      <c r="O6" s="553" t="s">
        <v>94</v>
      </c>
    </row>
    <row r="7" spans="1:15" ht="18" thickTop="1" thickBot="1">
      <c r="G7" s="556" t="s">
        <v>98</v>
      </c>
      <c r="H7" s="548">
        <v>0</v>
      </c>
      <c r="I7" s="549">
        <v>1</v>
      </c>
      <c r="J7" s="549">
        <v>0</v>
      </c>
      <c r="K7" s="549">
        <v>0</v>
      </c>
      <c r="L7" s="549">
        <v>0</v>
      </c>
      <c r="M7" s="549">
        <v>0</v>
      </c>
      <c r="N7" s="550" t="s">
        <v>94</v>
      </c>
      <c r="O7" s="551" t="s">
        <v>94</v>
      </c>
    </row>
    <row r="8" spans="1:15" ht="17.399999999999999" thickTop="1"/>
    <row r="9" spans="1:15">
      <c r="G9" s="389" t="s">
        <v>227</v>
      </c>
      <c r="H9" s="421">
        <f>'Personal File'!E3+ROUNDUP('Personal File'!E4/2,0)</f>
        <v>11</v>
      </c>
    </row>
  </sheetData>
  <printOptions gridLinesSet="0"/>
  <pageMargins left="0.62" right="0.33" top="0.5" bottom="0.63" header="0.5" footer="0.5"/>
  <pageSetup orientation="portrait" horizontalDpi="120" verticalDpi="144"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9"/>
  <sheetViews>
    <sheetView showGridLines="0" workbookViewId="0"/>
  </sheetViews>
  <sheetFormatPr defaultColWidth="10.59765625" defaultRowHeight="16.8"/>
  <cols>
    <col min="1" max="1" width="31.5" style="95" bestFit="1" customWidth="1"/>
    <col min="2" max="2" width="2.59765625" style="93" customWidth="1"/>
    <col min="3" max="3" width="36.69921875" style="94" bestFit="1" customWidth="1"/>
    <col min="4" max="16384" width="10.59765625" style="94"/>
  </cols>
  <sheetData>
    <row r="1" spans="1:3" ht="22.2" thickTop="1" thickBot="1">
      <c r="A1" s="386" t="s">
        <v>87</v>
      </c>
      <c r="C1" s="385" t="s">
        <v>89</v>
      </c>
    </row>
    <row r="2" spans="1:3">
      <c r="A2" s="96" t="s">
        <v>334</v>
      </c>
      <c r="C2" s="260" t="s">
        <v>194</v>
      </c>
    </row>
    <row r="3" spans="1:3">
      <c r="A3" s="375" t="s">
        <v>335</v>
      </c>
      <c r="C3" s="228" t="s">
        <v>192</v>
      </c>
    </row>
    <row r="4" spans="1:3">
      <c r="A4" s="375" t="s">
        <v>336</v>
      </c>
      <c r="C4" s="228" t="s">
        <v>193</v>
      </c>
    </row>
    <row r="5" spans="1:3" ht="17.399999999999999" thickBot="1">
      <c r="A5" s="378" t="s">
        <v>217</v>
      </c>
      <c r="C5" s="290" t="s">
        <v>195</v>
      </c>
    </row>
    <row r="6" spans="1:3" ht="18" thickTop="1" thickBot="1">
      <c r="A6" s="379" t="s">
        <v>434</v>
      </c>
    </row>
    <row r="7" spans="1:3" ht="22.2" thickTop="1" thickBot="1">
      <c r="C7" s="384" t="s">
        <v>219</v>
      </c>
    </row>
    <row r="8" spans="1:3" ht="22.2" thickTop="1" thickBot="1">
      <c r="A8" s="373" t="s">
        <v>113</v>
      </c>
      <c r="C8" s="380" t="s">
        <v>220</v>
      </c>
    </row>
    <row r="9" spans="1:3">
      <c r="A9" s="374" t="s">
        <v>214</v>
      </c>
      <c r="C9" s="381" t="s">
        <v>218</v>
      </c>
    </row>
    <row r="10" spans="1:3">
      <c r="A10" s="375" t="s">
        <v>216</v>
      </c>
      <c r="C10" s="381" t="s">
        <v>221</v>
      </c>
    </row>
    <row r="11" spans="1:3">
      <c r="A11" s="376" t="s">
        <v>114</v>
      </c>
      <c r="C11" s="381" t="s">
        <v>222</v>
      </c>
    </row>
    <row r="12" spans="1:3">
      <c r="A12" s="376" t="s">
        <v>115</v>
      </c>
      <c r="C12" s="381" t="s">
        <v>223</v>
      </c>
    </row>
    <row r="13" spans="1:3" ht="17.399999999999999" thickBot="1">
      <c r="A13" s="377" t="s">
        <v>215</v>
      </c>
      <c r="C13" s="382" t="s">
        <v>224</v>
      </c>
    </row>
    <row r="14" spans="1:3" ht="18" thickTop="1" thickBot="1">
      <c r="C14" s="383" t="s">
        <v>225</v>
      </c>
    </row>
    <row r="15" spans="1:3" ht="22.2" thickTop="1" thickBot="1">
      <c r="A15" s="387" t="s">
        <v>73</v>
      </c>
    </row>
    <row r="16" spans="1:3" ht="22.2" thickTop="1" thickBot="1">
      <c r="A16" s="97" t="s">
        <v>430</v>
      </c>
      <c r="C16" s="388" t="s">
        <v>213</v>
      </c>
    </row>
    <row r="17" spans="1:3">
      <c r="A17" s="376" t="s">
        <v>432</v>
      </c>
      <c r="C17" s="228" t="s">
        <v>226</v>
      </c>
    </row>
    <row r="18" spans="1:3" ht="17.399999999999999" thickBot="1">
      <c r="A18" s="377" t="s">
        <v>431</v>
      </c>
      <c r="C18" s="284"/>
    </row>
    <row r="19" spans="1:3" ht="17.399999999999999" thickTop="1"/>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2"/>
  <sheetViews>
    <sheetView showGridLines="0" workbookViewId="0"/>
  </sheetViews>
  <sheetFormatPr defaultColWidth="13" defaultRowHeight="15.6"/>
  <cols>
    <col min="1" max="1" width="20.8984375" style="34" bestFit="1" customWidth="1"/>
    <col min="2" max="2" width="8.59765625" style="34" customWidth="1"/>
    <col min="3" max="3" width="4.3984375" style="34" bestFit="1" customWidth="1"/>
    <col min="4" max="4" width="6.69921875" style="34" customWidth="1"/>
    <col min="5" max="5" width="8.5" style="34" bestFit="1" customWidth="1"/>
    <col min="6" max="6" width="8.8984375" style="34" bestFit="1" customWidth="1"/>
    <col min="7" max="7" width="4.5" style="34" bestFit="1" customWidth="1"/>
    <col min="8" max="8" width="5.59765625" style="34" bestFit="1" customWidth="1"/>
    <col min="9" max="9" width="5.5" style="34" bestFit="1" customWidth="1"/>
    <col min="10" max="10" width="6.19921875" style="34" bestFit="1" customWidth="1"/>
    <col min="11" max="11" width="24.19921875" style="34" bestFit="1" customWidth="1"/>
    <col min="12" max="12" width="3.3984375" style="29" customWidth="1"/>
    <col min="13" max="13" width="7.3984375" style="236" bestFit="1" customWidth="1"/>
    <col min="14" max="14" width="7.69921875" style="34" bestFit="1" customWidth="1"/>
    <col min="15" max="16384" width="13" style="29"/>
  </cols>
  <sheetData>
    <row r="1" spans="1:14" ht="23.4" thickBot="1">
      <c r="A1" s="27" t="s">
        <v>23</v>
      </c>
      <c r="B1" s="27"/>
      <c r="C1" s="27"/>
      <c r="D1" s="27"/>
      <c r="E1" s="27"/>
      <c r="F1" s="27"/>
      <c r="G1" s="27"/>
      <c r="H1" s="27"/>
      <c r="I1" s="27"/>
      <c r="J1" s="27"/>
      <c r="K1" s="27"/>
    </row>
    <row r="2" spans="1:14" ht="16.8" thickTop="1" thickBot="1">
      <c r="A2" s="59" t="s">
        <v>4</v>
      </c>
      <c r="B2" s="60" t="s">
        <v>5</v>
      </c>
      <c r="C2" s="60" t="s">
        <v>25</v>
      </c>
      <c r="D2" s="60" t="s">
        <v>26</v>
      </c>
      <c r="E2" s="61" t="s">
        <v>67</v>
      </c>
      <c r="F2" s="60" t="s">
        <v>24</v>
      </c>
      <c r="G2" s="60" t="s">
        <v>27</v>
      </c>
      <c r="H2" s="62" t="s">
        <v>88</v>
      </c>
      <c r="I2" s="63" t="s">
        <v>92</v>
      </c>
      <c r="J2" s="62" t="s">
        <v>79</v>
      </c>
      <c r="K2" s="64" t="s">
        <v>77</v>
      </c>
      <c r="M2" s="237" t="s">
        <v>161</v>
      </c>
    </row>
    <row r="3" spans="1:14">
      <c r="A3" s="242" t="s">
        <v>175</v>
      </c>
      <c r="B3" s="13" t="s">
        <v>121</v>
      </c>
      <c r="C3" s="14">
        <v>0</v>
      </c>
      <c r="D3" s="15" t="s">
        <v>62</v>
      </c>
      <c r="E3" s="15" t="s">
        <v>176</v>
      </c>
      <c r="F3" s="16" t="s">
        <v>177</v>
      </c>
      <c r="G3" s="17">
        <v>0.25</v>
      </c>
      <c r="H3" s="233">
        <f>'Personal File'!$B$6+'Personal File'!$C$8+D3</f>
        <v>4</v>
      </c>
      <c r="I3" s="234">
        <f t="shared" ref="I3:I5" ca="1" si="0">RANDBETWEEN(1,20)</f>
        <v>14</v>
      </c>
      <c r="J3" s="235">
        <f t="shared" ref="J3:J4" ca="1" si="1">I3+H3</f>
        <v>18</v>
      </c>
      <c r="K3" s="24"/>
      <c r="L3" s="227"/>
      <c r="M3" s="238">
        <v>2</v>
      </c>
    </row>
    <row r="4" spans="1:14">
      <c r="A4" s="422" t="s">
        <v>384</v>
      </c>
      <c r="B4" s="423" t="s">
        <v>385</v>
      </c>
      <c r="C4" s="424">
        <v>0</v>
      </c>
      <c r="D4" s="425" t="s">
        <v>62</v>
      </c>
      <c r="E4" s="425" t="s">
        <v>386</v>
      </c>
      <c r="F4" s="426" t="s">
        <v>387</v>
      </c>
      <c r="G4" s="427">
        <v>1.5</v>
      </c>
      <c r="H4" s="428">
        <f>'Personal File'!$B$6+'Personal File'!$C$8+D4</f>
        <v>4</v>
      </c>
      <c r="I4" s="432">
        <f t="shared" ca="1" si="0"/>
        <v>15</v>
      </c>
      <c r="J4" s="429">
        <f t="shared" ca="1" si="1"/>
        <v>19</v>
      </c>
      <c r="K4" s="430"/>
      <c r="L4" s="227"/>
      <c r="M4" s="431">
        <v>6</v>
      </c>
    </row>
    <row r="5" spans="1:14" ht="16.2" thickBot="1">
      <c r="A5" s="18" t="s">
        <v>159</v>
      </c>
      <c r="B5" s="19" t="s">
        <v>121</v>
      </c>
      <c r="C5" s="20">
        <f>'Personal File'!$C$8</f>
        <v>-2</v>
      </c>
      <c r="D5" s="21" t="s">
        <v>62</v>
      </c>
      <c r="E5" s="21" t="s">
        <v>160</v>
      </c>
      <c r="F5" s="22" t="s">
        <v>119</v>
      </c>
      <c r="G5" s="23" t="s">
        <v>94</v>
      </c>
      <c r="H5" s="25">
        <f>'Personal File'!$B$6+'Personal File'!$C$8+D5</f>
        <v>4</v>
      </c>
      <c r="I5" s="65">
        <f t="shared" ca="1" si="0"/>
        <v>12</v>
      </c>
      <c r="J5" s="66">
        <f t="shared" ref="J5" ca="1" si="2">I5+H5</f>
        <v>16</v>
      </c>
      <c r="K5" s="26" t="s">
        <v>114</v>
      </c>
      <c r="M5" s="252" t="s">
        <v>94</v>
      </c>
    </row>
    <row r="6" spans="1:14" ht="6" customHeight="1" thickTop="1" thickBot="1">
      <c r="I6" s="67"/>
      <c r="J6" s="67"/>
      <c r="M6" s="241"/>
    </row>
    <row r="7" spans="1:14" ht="16.8" thickTop="1" thickBot="1">
      <c r="A7" s="59" t="s">
        <v>7</v>
      </c>
      <c r="B7" s="60" t="s">
        <v>8</v>
      </c>
      <c r="C7" s="60" t="s">
        <v>25</v>
      </c>
      <c r="D7" s="60" t="s">
        <v>26</v>
      </c>
      <c r="E7" s="61" t="s">
        <v>67</v>
      </c>
      <c r="F7" s="60" t="s">
        <v>9</v>
      </c>
      <c r="G7" s="60" t="s">
        <v>27</v>
      </c>
      <c r="H7" s="62" t="s">
        <v>88</v>
      </c>
      <c r="I7" s="63" t="s">
        <v>92</v>
      </c>
      <c r="J7" s="62" t="s">
        <v>79</v>
      </c>
      <c r="K7" s="64" t="s">
        <v>77</v>
      </c>
      <c r="M7" s="237" t="s">
        <v>161</v>
      </c>
    </row>
    <row r="8" spans="1:14">
      <c r="A8" s="242" t="s">
        <v>337</v>
      </c>
      <c r="B8" s="13" t="s">
        <v>383</v>
      </c>
      <c r="C8" s="14">
        <v>0</v>
      </c>
      <c r="D8" s="15" t="s">
        <v>338</v>
      </c>
      <c r="E8" s="15" t="s">
        <v>381</v>
      </c>
      <c r="F8" s="16" t="s">
        <v>382</v>
      </c>
      <c r="G8" s="17">
        <v>2</v>
      </c>
      <c r="H8" s="433">
        <f>'Personal File'!$B$6+'Personal File'!$C$9+D8</f>
        <v>8</v>
      </c>
      <c r="I8" s="432">
        <f t="shared" ref="I8:I11" ca="1" si="3">RANDBETWEEN(1,20)</f>
        <v>13</v>
      </c>
      <c r="J8" s="434">
        <f t="shared" ref="J8:J9" ca="1" si="4">I8+H8</f>
        <v>21</v>
      </c>
      <c r="K8" s="435" t="s">
        <v>114</v>
      </c>
      <c r="L8" s="275"/>
      <c r="M8" s="238">
        <v>325</v>
      </c>
    </row>
    <row r="9" spans="1:14">
      <c r="A9" s="460" t="s">
        <v>403</v>
      </c>
      <c r="B9" s="225" t="s">
        <v>388</v>
      </c>
      <c r="C9" s="461">
        <v>0</v>
      </c>
      <c r="D9" s="462" t="s">
        <v>62</v>
      </c>
      <c r="E9" s="462" t="s">
        <v>160</v>
      </c>
      <c r="F9" s="463" t="s">
        <v>389</v>
      </c>
      <c r="G9" s="464">
        <v>3</v>
      </c>
      <c r="H9" s="465">
        <f>'Personal File'!$B$6+'Personal File'!$C$9+D9</f>
        <v>7</v>
      </c>
      <c r="I9" s="432">
        <f t="shared" ca="1" si="3"/>
        <v>18</v>
      </c>
      <c r="J9" s="429">
        <f t="shared" ca="1" si="4"/>
        <v>25</v>
      </c>
      <c r="K9" s="466" t="s">
        <v>114</v>
      </c>
      <c r="L9" s="275"/>
      <c r="M9" s="538">
        <v>10</v>
      </c>
    </row>
    <row r="10" spans="1:14">
      <c r="A10" s="516" t="s">
        <v>120</v>
      </c>
      <c r="B10" s="517" t="s">
        <v>94</v>
      </c>
      <c r="C10" s="518" t="s">
        <v>94</v>
      </c>
      <c r="D10" s="519" t="s">
        <v>62</v>
      </c>
      <c r="E10" s="519" t="s">
        <v>94</v>
      </c>
      <c r="F10" s="520" t="s">
        <v>94</v>
      </c>
      <c r="G10" s="521" t="s">
        <v>94</v>
      </c>
      <c r="H10" s="522">
        <f>'Personal File'!$B$6+'Personal File'!$C$9+D10</f>
        <v>7</v>
      </c>
      <c r="I10" s="522">
        <f t="shared" ca="1" si="3"/>
        <v>8</v>
      </c>
      <c r="J10" s="523">
        <f t="shared" ref="J10" ca="1" si="5">I10+H10</f>
        <v>15</v>
      </c>
      <c r="K10" s="524" t="s">
        <v>114</v>
      </c>
      <c r="L10" s="275"/>
      <c r="M10" s="539" t="s">
        <v>94</v>
      </c>
    </row>
    <row r="11" spans="1:14">
      <c r="A11" s="530" t="s">
        <v>276</v>
      </c>
      <c r="B11" s="531" t="s">
        <v>435</v>
      </c>
      <c r="C11" s="532" t="s">
        <v>94</v>
      </c>
      <c r="D11" s="533" t="s">
        <v>62</v>
      </c>
      <c r="E11" s="533" t="s">
        <v>94</v>
      </c>
      <c r="F11" s="534" t="s">
        <v>94</v>
      </c>
      <c r="G11" s="535" t="s">
        <v>94</v>
      </c>
      <c r="H11" s="536">
        <f>SUM('Personal File'!$E$3:$E$4)</f>
        <v>11</v>
      </c>
      <c r="I11" s="522">
        <f t="shared" ca="1" si="3"/>
        <v>14</v>
      </c>
      <c r="J11" s="523">
        <f t="shared" ref="J11" ca="1" si="6">I11+H11</f>
        <v>25</v>
      </c>
      <c r="K11" s="537" t="s">
        <v>436</v>
      </c>
      <c r="L11" s="275"/>
      <c r="M11" s="539" t="s">
        <v>94</v>
      </c>
    </row>
    <row r="12" spans="1:14" ht="16.2" thickBot="1">
      <c r="A12" s="277" t="s">
        <v>179</v>
      </c>
      <c r="B12" s="278" t="s">
        <v>94</v>
      </c>
      <c r="C12" s="279" t="s">
        <v>94</v>
      </c>
      <c r="D12" s="279" t="s">
        <v>91</v>
      </c>
      <c r="E12" s="278" t="s">
        <v>94</v>
      </c>
      <c r="F12" s="279" t="s">
        <v>94</v>
      </c>
      <c r="G12" s="280" t="s">
        <v>94</v>
      </c>
      <c r="H12" s="281">
        <f>Spells!H9+D12</f>
        <v>13</v>
      </c>
      <c r="I12" s="276">
        <f t="shared" ref="I12" ca="1" si="7">RANDBETWEEN(1,20)</f>
        <v>4</v>
      </c>
      <c r="J12" s="281">
        <f t="shared" ref="J12" ca="1" si="8">I12+H12</f>
        <v>17</v>
      </c>
      <c r="K12" s="282"/>
      <c r="L12" s="275"/>
      <c r="M12" s="283" t="s">
        <v>94</v>
      </c>
    </row>
    <row r="13" spans="1:14" ht="6" customHeight="1" thickTop="1" thickBot="1">
      <c r="D13" s="68"/>
      <c r="E13" s="68"/>
      <c r="G13" s="58"/>
      <c r="H13" s="58"/>
      <c r="I13" s="67"/>
      <c r="J13" s="58"/>
      <c r="M13" s="241"/>
    </row>
    <row r="14" spans="1:14" ht="16.8" thickTop="1" thickBot="1">
      <c r="A14" s="59" t="s">
        <v>69</v>
      </c>
      <c r="B14" s="60" t="s">
        <v>17</v>
      </c>
      <c r="C14" s="60" t="s">
        <v>34</v>
      </c>
      <c r="D14" s="60" t="s">
        <v>79</v>
      </c>
      <c r="E14" s="60" t="s">
        <v>80</v>
      </c>
      <c r="F14" s="60" t="s">
        <v>81</v>
      </c>
      <c r="G14" s="60" t="s">
        <v>27</v>
      </c>
      <c r="H14" s="69" t="s">
        <v>77</v>
      </c>
      <c r="I14" s="70"/>
      <c r="J14" s="70"/>
      <c r="K14" s="71"/>
      <c r="M14" s="237" t="s">
        <v>161</v>
      </c>
    </row>
    <row r="15" spans="1:14">
      <c r="A15" s="443" t="s">
        <v>390</v>
      </c>
      <c r="B15" s="444">
        <f>5+2</f>
        <v>7</v>
      </c>
      <c r="C15" s="445">
        <f>3+2</f>
        <v>5</v>
      </c>
      <c r="D15" s="444">
        <f>-4+3</f>
        <v>-1</v>
      </c>
      <c r="E15" s="446">
        <f>0.25-0.1</f>
        <v>0.15</v>
      </c>
      <c r="F15" s="447" t="s">
        <v>392</v>
      </c>
      <c r="G15" s="448">
        <v>7.5</v>
      </c>
      <c r="H15" s="449"/>
      <c r="I15" s="450"/>
      <c r="J15" s="450"/>
      <c r="K15" s="451"/>
      <c r="M15" s="452">
        <v>8200</v>
      </c>
      <c r="N15" s="251"/>
    </row>
    <row r="16" spans="1:14">
      <c r="A16" s="436" t="s">
        <v>391</v>
      </c>
      <c r="B16" s="423">
        <f>1+1</f>
        <v>2</v>
      </c>
      <c r="C16" s="437" t="s">
        <v>94</v>
      </c>
      <c r="D16" s="423">
        <v>0</v>
      </c>
      <c r="E16" s="438">
        <v>0</v>
      </c>
      <c r="F16" s="439" t="s">
        <v>94</v>
      </c>
      <c r="G16" s="427">
        <v>1.25</v>
      </c>
      <c r="H16" s="440"/>
      <c r="I16" s="441"/>
      <c r="J16" s="441"/>
      <c r="K16" s="442"/>
      <c r="M16" s="431">
        <v>2000</v>
      </c>
      <c r="N16" s="251"/>
    </row>
    <row r="17" spans="1:14" ht="16.2" thickBot="1">
      <c r="A17" s="277" t="s">
        <v>125</v>
      </c>
      <c r="B17" s="278" t="s">
        <v>428</v>
      </c>
      <c r="C17" s="525" t="s">
        <v>94</v>
      </c>
      <c r="D17" s="278" t="s">
        <v>94</v>
      </c>
      <c r="E17" s="526" t="s">
        <v>94</v>
      </c>
      <c r="F17" s="278" t="s">
        <v>94</v>
      </c>
      <c r="G17" s="280" t="s">
        <v>94</v>
      </c>
      <c r="H17" s="527"/>
      <c r="I17" s="528"/>
      <c r="J17" s="528"/>
      <c r="K17" s="529"/>
      <c r="M17" s="283" t="s">
        <v>94</v>
      </c>
    </row>
    <row r="18" spans="1:14" ht="6.75" customHeight="1" thickTop="1" thickBot="1">
      <c r="M18" s="241"/>
    </row>
    <row r="19" spans="1:14" ht="16.8" thickTop="1" thickBot="1">
      <c r="A19" s="73"/>
      <c r="B19" s="58"/>
      <c r="D19" s="74" t="s">
        <v>70</v>
      </c>
      <c r="E19" s="75"/>
      <c r="F19" s="69" t="s">
        <v>6</v>
      </c>
      <c r="G19" s="60" t="s">
        <v>27</v>
      </c>
      <c r="H19" s="62" t="s">
        <v>88</v>
      </c>
      <c r="I19" s="69" t="s">
        <v>77</v>
      </c>
      <c r="J19" s="70"/>
      <c r="K19" s="71"/>
      <c r="M19" s="237" t="s">
        <v>161</v>
      </c>
    </row>
    <row r="20" spans="1:14">
      <c r="A20" s="73"/>
      <c r="B20" s="289"/>
      <c r="D20" s="76" t="s">
        <v>401</v>
      </c>
      <c r="E20" s="77"/>
      <c r="F20" s="78">
        <v>20</v>
      </c>
      <c r="G20" s="17">
        <f>F20*0.1</f>
        <v>2</v>
      </c>
      <c r="H20" s="79" t="s">
        <v>62</v>
      </c>
      <c r="I20" s="80"/>
      <c r="J20" s="81"/>
      <c r="K20" s="82"/>
      <c r="M20" s="238">
        <v>0</v>
      </c>
    </row>
    <row r="21" spans="1:14" ht="16.2" thickBot="1">
      <c r="A21" s="73"/>
      <c r="B21" s="289"/>
      <c r="D21" s="85"/>
      <c r="E21" s="86"/>
      <c r="F21" s="87"/>
      <c r="G21" s="23"/>
      <c r="H21" s="88"/>
      <c r="I21" s="89"/>
      <c r="J21" s="90"/>
      <c r="K21" s="72"/>
      <c r="M21" s="240"/>
    </row>
    <row r="22" spans="1:14" ht="16.8" thickTop="1" thickBot="1">
      <c r="B22" s="29"/>
    </row>
    <row r="23" spans="1:14" ht="16.8" thickTop="1" thickBot="1">
      <c r="B23" s="29"/>
      <c r="D23" s="74" t="s">
        <v>158</v>
      </c>
      <c r="E23" s="70"/>
      <c r="F23" s="70"/>
      <c r="G23" s="91" t="s">
        <v>6</v>
      </c>
      <c r="H23" s="91" t="s">
        <v>96</v>
      </c>
      <c r="I23" s="91" t="s">
        <v>122</v>
      </c>
      <c r="J23" s="92" t="s">
        <v>77</v>
      </c>
      <c r="K23" s="71"/>
      <c r="M23" s="237" t="s">
        <v>161</v>
      </c>
    </row>
    <row r="24" spans="1:14">
      <c r="B24" s="29"/>
      <c r="D24" s="223" t="s">
        <v>380</v>
      </c>
      <c r="E24" s="224"/>
      <c r="F24" s="224"/>
      <c r="G24" s="225">
        <v>1</v>
      </c>
      <c r="H24" s="225">
        <v>3</v>
      </c>
      <c r="I24" s="225">
        <v>6</v>
      </c>
      <c r="J24" s="226">
        <v>50</v>
      </c>
      <c r="K24" s="558" t="s">
        <v>433</v>
      </c>
      <c r="L24" s="227"/>
      <c r="M24" s="239">
        <f>750*J24/50</f>
        <v>750</v>
      </c>
      <c r="N24" s="67"/>
    </row>
    <row r="25" spans="1:14">
      <c r="A25" s="29"/>
      <c r="B25" s="29"/>
      <c r="D25" s="255"/>
      <c r="E25" s="256"/>
      <c r="F25" s="256"/>
      <c r="G25" s="257"/>
      <c r="H25" s="257"/>
      <c r="I25" s="257"/>
      <c r="J25" s="83"/>
      <c r="K25" s="84"/>
      <c r="L25" s="258"/>
      <c r="M25" s="239"/>
      <c r="N25" s="67"/>
    </row>
    <row r="26" spans="1:14" ht="16.2" thickBot="1">
      <c r="A26" s="29"/>
      <c r="B26" s="29"/>
      <c r="D26" s="229"/>
      <c r="E26" s="230"/>
      <c r="F26" s="230"/>
      <c r="G26" s="19"/>
      <c r="H26" s="19"/>
      <c r="I26" s="19"/>
      <c r="J26" s="231"/>
      <c r="K26" s="232"/>
      <c r="M26" s="240"/>
      <c r="N26" s="67"/>
    </row>
    <row r="27" spans="1:14" ht="16.2" thickTop="1">
      <c r="A27" s="29"/>
      <c r="B27" s="29"/>
    </row>
    <row r="28" spans="1:14">
      <c r="A28" s="29"/>
      <c r="B28" s="29"/>
    </row>
    <row r="29" spans="1:14">
      <c r="A29" s="29"/>
      <c r="B29" s="29"/>
    </row>
    <row r="30" spans="1:14">
      <c r="A30" s="29"/>
      <c r="B30" s="29"/>
    </row>
    <row r="31" spans="1:14">
      <c r="A31" s="29"/>
      <c r="B31" s="29"/>
    </row>
    <row r="32" spans="1:14">
      <c r="A32" s="29"/>
      <c r="B32" s="29"/>
    </row>
  </sheetData>
  <sortState ref="D19:K39">
    <sortCondition ref="I19:I39"/>
    <sortCondition ref="D19:D39"/>
  </sortState>
  <phoneticPr fontId="0" type="noConversion"/>
  <conditionalFormatting sqref="I5">
    <cfRule type="cellIs" dxfId="18" priority="23" operator="equal">
      <formula>20</formula>
    </cfRule>
    <cfRule type="cellIs" dxfId="17" priority="24" operator="equal">
      <formula>1</formula>
    </cfRule>
  </conditionalFormatting>
  <conditionalFormatting sqref="I12">
    <cfRule type="cellIs" dxfId="16" priority="19" operator="equal">
      <formula>20</formula>
    </cfRule>
    <cfRule type="cellIs" dxfId="15" priority="20" operator="equal">
      <formula>1</formula>
    </cfRule>
  </conditionalFormatting>
  <conditionalFormatting sqref="I3">
    <cfRule type="cellIs" dxfId="14" priority="13" operator="equal">
      <formula>20</formula>
    </cfRule>
    <cfRule type="cellIs" dxfId="13" priority="14" operator="equal">
      <formula>1</formula>
    </cfRule>
  </conditionalFormatting>
  <conditionalFormatting sqref="I10">
    <cfRule type="cellIs" dxfId="12" priority="9" operator="equal">
      <formula>20</formula>
    </cfRule>
    <cfRule type="cellIs" dxfId="11" priority="10" operator="equal">
      <formula>1</formula>
    </cfRule>
  </conditionalFormatting>
  <conditionalFormatting sqref="I8">
    <cfRule type="cellIs" dxfId="10" priority="7" operator="equal">
      <formula>20</formula>
    </cfRule>
    <cfRule type="cellIs" dxfId="9" priority="8" operator="equal">
      <formula>1</formula>
    </cfRule>
  </conditionalFormatting>
  <conditionalFormatting sqref="I9">
    <cfRule type="cellIs" dxfId="8" priority="5" operator="equal">
      <formula>20</formula>
    </cfRule>
    <cfRule type="cellIs" dxfId="7" priority="6" operator="equal">
      <formula>1</formula>
    </cfRule>
  </conditionalFormatting>
  <conditionalFormatting sqref="I4">
    <cfRule type="cellIs" dxfId="6" priority="3" operator="equal">
      <formula>20</formula>
    </cfRule>
    <cfRule type="cellIs" dxfId="5" priority="4" operator="equal">
      <formula>1</formula>
    </cfRule>
  </conditionalFormatting>
  <conditionalFormatting sqref="I11">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0"/>
  <sheetViews>
    <sheetView showGridLines="0" workbookViewId="0"/>
  </sheetViews>
  <sheetFormatPr defaultColWidth="8.59765625" defaultRowHeight="15.6"/>
  <cols>
    <col min="1" max="1" width="24" style="34" bestFit="1" customWidth="1"/>
    <col min="2" max="2" width="4.296875" style="34" customWidth="1"/>
    <col min="3" max="3" width="4.59765625" style="58" bestFit="1" customWidth="1"/>
    <col min="4" max="4" width="7.59765625" style="29" bestFit="1" customWidth="1"/>
    <col min="5" max="5" width="56.8984375" style="29" bestFit="1" customWidth="1"/>
    <col min="6" max="6" width="2.3984375" style="29" customWidth="1"/>
    <col min="7" max="7" width="8.296875" style="29" bestFit="1" customWidth="1"/>
    <col min="8" max="16384" width="8.59765625" style="29"/>
  </cols>
  <sheetData>
    <row r="1" spans="1:8" ht="23.4" thickBot="1">
      <c r="A1" s="27" t="s">
        <v>74</v>
      </c>
      <c r="B1" s="27"/>
      <c r="C1" s="28"/>
      <c r="D1" s="27"/>
      <c r="E1" s="27"/>
    </row>
    <row r="2" spans="1:8" s="34" customFormat="1" ht="16.8" thickTop="1" thickBot="1">
      <c r="A2" s="30" t="s">
        <v>75</v>
      </c>
      <c r="B2" s="30" t="s">
        <v>6</v>
      </c>
      <c r="C2" s="31" t="s">
        <v>27</v>
      </c>
      <c r="D2" s="32" t="s">
        <v>76</v>
      </c>
      <c r="E2" s="33" t="s">
        <v>77</v>
      </c>
      <c r="G2" s="291" t="s">
        <v>161</v>
      </c>
    </row>
    <row r="3" spans="1:8">
      <c r="A3" s="35" t="s">
        <v>127</v>
      </c>
      <c r="B3" s="36">
        <v>1</v>
      </c>
      <c r="C3" s="37" t="s">
        <v>404</v>
      </c>
      <c r="D3" s="38"/>
      <c r="E3" s="39"/>
      <c r="F3" s="34"/>
      <c r="G3" s="292" t="s">
        <v>94</v>
      </c>
    </row>
    <row r="4" spans="1:8">
      <c r="A4" s="497" t="s">
        <v>342</v>
      </c>
      <c r="B4" s="498">
        <v>1</v>
      </c>
      <c r="C4" s="499">
        <v>0</v>
      </c>
      <c r="D4" s="500" t="s">
        <v>395</v>
      </c>
      <c r="E4" s="501" t="s">
        <v>396</v>
      </c>
      <c r="F4" s="34"/>
      <c r="G4" s="502">
        <v>1100</v>
      </c>
    </row>
    <row r="5" spans="1:8">
      <c r="A5" s="503" t="s">
        <v>343</v>
      </c>
      <c r="B5" s="504">
        <v>1</v>
      </c>
      <c r="C5" s="505">
        <v>0</v>
      </c>
      <c r="D5" s="506" t="s">
        <v>339</v>
      </c>
      <c r="E5" s="507" t="s">
        <v>397</v>
      </c>
      <c r="F5" s="34"/>
      <c r="G5" s="508">
        <v>4000</v>
      </c>
      <c r="H5" s="227"/>
    </row>
    <row r="6" spans="1:8">
      <c r="A6" s="503" t="s">
        <v>344</v>
      </c>
      <c r="B6" s="504">
        <v>1</v>
      </c>
      <c r="C6" s="505">
        <v>0</v>
      </c>
      <c r="D6" s="506" t="s">
        <v>341</v>
      </c>
      <c r="E6" s="507" t="s">
        <v>398</v>
      </c>
      <c r="F6" s="34"/>
      <c r="G6" s="508">
        <v>6000</v>
      </c>
      <c r="H6" s="227"/>
    </row>
    <row r="7" spans="1:8">
      <c r="A7" s="509" t="s">
        <v>345</v>
      </c>
      <c r="B7" s="510">
        <v>1</v>
      </c>
      <c r="C7" s="511">
        <v>0</v>
      </c>
      <c r="D7" s="512" t="s">
        <v>340</v>
      </c>
      <c r="E7" s="513" t="s">
        <v>399</v>
      </c>
      <c r="F7" s="34"/>
      <c r="G7" s="514">
        <v>8000</v>
      </c>
    </row>
    <row r="8" spans="1:8">
      <c r="A8" s="52" t="s">
        <v>376</v>
      </c>
      <c r="B8" s="458">
        <v>1</v>
      </c>
      <c r="C8" s="54">
        <v>1</v>
      </c>
      <c r="D8" s="55"/>
      <c r="E8" s="459"/>
      <c r="F8" s="34"/>
      <c r="G8" s="296">
        <v>4000</v>
      </c>
    </row>
    <row r="9" spans="1:8">
      <c r="A9" s="52" t="s">
        <v>406</v>
      </c>
      <c r="B9" s="458">
        <v>1</v>
      </c>
      <c r="C9" s="54">
        <v>0</v>
      </c>
      <c r="D9" s="55"/>
      <c r="E9" s="459"/>
      <c r="G9" s="296">
        <v>4000</v>
      </c>
    </row>
    <row r="10" spans="1:8">
      <c r="A10" s="52" t="s">
        <v>377</v>
      </c>
      <c r="B10" s="458">
        <v>1</v>
      </c>
      <c r="C10" s="54">
        <v>0</v>
      </c>
      <c r="D10" s="55"/>
      <c r="E10" s="459"/>
      <c r="G10" s="296">
        <v>5</v>
      </c>
    </row>
    <row r="11" spans="1:8">
      <c r="A11" s="52" t="s">
        <v>378</v>
      </c>
      <c r="B11" s="458">
        <v>1</v>
      </c>
      <c r="C11" s="54">
        <v>5</v>
      </c>
      <c r="D11" s="55"/>
      <c r="E11" s="459"/>
      <c r="G11" s="296">
        <v>5000</v>
      </c>
    </row>
    <row r="12" spans="1:8">
      <c r="A12" s="52" t="s">
        <v>375</v>
      </c>
      <c r="B12" s="458">
        <v>1</v>
      </c>
      <c r="C12" s="54">
        <v>0</v>
      </c>
      <c r="D12" s="55"/>
      <c r="E12" s="459"/>
      <c r="G12" s="296">
        <v>0</v>
      </c>
    </row>
    <row r="13" spans="1:8">
      <c r="A13" s="52" t="s">
        <v>128</v>
      </c>
      <c r="B13" s="458">
        <v>2</v>
      </c>
      <c r="C13" s="54">
        <f>B13/2</f>
        <v>1</v>
      </c>
      <c r="D13" s="55"/>
      <c r="E13" s="459"/>
      <c r="G13" s="296">
        <f>B13</f>
        <v>2</v>
      </c>
    </row>
    <row r="14" spans="1:8" ht="16.2" thickBot="1">
      <c r="A14" s="45" t="s">
        <v>129</v>
      </c>
      <c r="B14" s="46">
        <v>1</v>
      </c>
      <c r="C14" s="47">
        <v>1</v>
      </c>
      <c r="D14" s="48"/>
      <c r="E14" s="49"/>
      <c r="G14" s="295">
        <v>2</v>
      </c>
    </row>
    <row r="15" spans="1:8" ht="24" thickTop="1" thickBot="1">
      <c r="A15" s="27" t="s">
        <v>78</v>
      </c>
      <c r="B15" s="27"/>
      <c r="C15" s="50"/>
      <c r="D15" s="27"/>
      <c r="E15" s="51"/>
      <c r="G15" s="50"/>
    </row>
    <row r="16" spans="1:8" ht="16.8" thickTop="1" thickBot="1">
      <c r="A16" s="30" t="s">
        <v>75</v>
      </c>
      <c r="B16" s="30" t="s">
        <v>6</v>
      </c>
      <c r="C16" s="31" t="s">
        <v>27</v>
      </c>
      <c r="D16" s="32" t="s">
        <v>76</v>
      </c>
      <c r="E16" s="33" t="s">
        <v>77</v>
      </c>
      <c r="G16" s="291" t="s">
        <v>161</v>
      </c>
    </row>
    <row r="17" spans="1:7">
      <c r="A17" s="35" t="s">
        <v>370</v>
      </c>
      <c r="B17" s="36">
        <v>2</v>
      </c>
      <c r="C17" s="37">
        <v>0.5</v>
      </c>
      <c r="D17" s="38"/>
      <c r="E17" s="39"/>
      <c r="G17" s="292">
        <v>100</v>
      </c>
    </row>
    <row r="18" spans="1:7">
      <c r="A18" s="40" t="s">
        <v>369</v>
      </c>
      <c r="B18" s="41">
        <v>1</v>
      </c>
      <c r="C18" s="42">
        <v>2</v>
      </c>
      <c r="D18" s="43"/>
      <c r="E18" s="453"/>
      <c r="G18" s="293">
        <v>1</v>
      </c>
    </row>
    <row r="19" spans="1:7">
      <c r="A19" s="40" t="s">
        <v>373</v>
      </c>
      <c r="B19" s="41">
        <v>1</v>
      </c>
      <c r="C19" s="42">
        <f>B19</f>
        <v>1</v>
      </c>
      <c r="D19" s="222"/>
      <c r="E19" s="453"/>
      <c r="G19" s="293">
        <v>110</v>
      </c>
    </row>
    <row r="20" spans="1:7">
      <c r="A20" s="40" t="s">
        <v>372</v>
      </c>
      <c r="B20" s="41">
        <v>2</v>
      </c>
      <c r="C20" s="44">
        <f>B20/2</f>
        <v>1</v>
      </c>
      <c r="D20" s="43"/>
      <c r="E20" s="453"/>
      <c r="G20" s="294">
        <f>B20</f>
        <v>2</v>
      </c>
    </row>
    <row r="21" spans="1:7">
      <c r="A21" s="52" t="s">
        <v>440</v>
      </c>
      <c r="B21" s="458">
        <v>1</v>
      </c>
      <c r="C21" s="54"/>
      <c r="D21" s="55"/>
      <c r="E21" s="557" t="s">
        <v>441</v>
      </c>
      <c r="G21" s="294">
        <v>3500</v>
      </c>
    </row>
    <row r="22" spans="1:7">
      <c r="A22" s="52" t="s">
        <v>439</v>
      </c>
      <c r="B22" s="458">
        <v>1</v>
      </c>
      <c r="C22" s="54"/>
      <c r="D22" s="55"/>
      <c r="E22" s="557" t="s">
        <v>442</v>
      </c>
      <c r="G22" s="294">
        <v>1500</v>
      </c>
    </row>
    <row r="23" spans="1:7" ht="16.2" thickBot="1">
      <c r="A23" s="45" t="s">
        <v>371</v>
      </c>
      <c r="B23" s="46">
        <v>1</v>
      </c>
      <c r="C23" s="47">
        <v>4</v>
      </c>
      <c r="D23" s="48"/>
      <c r="E23" s="49"/>
      <c r="G23" s="294">
        <v>1</v>
      </c>
    </row>
    <row r="24" spans="1:7" ht="24" thickTop="1" thickBot="1">
      <c r="A24" s="27" t="s">
        <v>168</v>
      </c>
      <c r="B24" s="27"/>
      <c r="C24" s="50"/>
      <c r="D24" s="27"/>
      <c r="E24" s="51"/>
      <c r="F24" s="254"/>
      <c r="G24" s="295">
        <v>2000</v>
      </c>
    </row>
    <row r="25" spans="1:7" ht="16.8" thickTop="1" thickBot="1">
      <c r="A25" s="30" t="s">
        <v>75</v>
      </c>
      <c r="B25" s="30" t="s">
        <v>6</v>
      </c>
      <c r="C25" s="31" t="s">
        <v>27</v>
      </c>
      <c r="D25" s="32" t="s">
        <v>76</v>
      </c>
      <c r="E25" s="33" t="s">
        <v>77</v>
      </c>
      <c r="F25" s="227"/>
      <c r="G25" s="291" t="s">
        <v>161</v>
      </c>
    </row>
    <row r="26" spans="1:7">
      <c r="A26" s="52" t="s">
        <v>346</v>
      </c>
      <c r="B26" s="53">
        <v>1</v>
      </c>
      <c r="C26" s="54">
        <v>8</v>
      </c>
      <c r="D26" s="55"/>
      <c r="E26" s="56"/>
      <c r="G26" s="296">
        <v>0</v>
      </c>
    </row>
    <row r="27" spans="1:7">
      <c r="A27" s="52" t="s">
        <v>347</v>
      </c>
      <c r="B27" s="53">
        <v>1</v>
      </c>
      <c r="C27" s="54">
        <v>2.5</v>
      </c>
      <c r="D27" s="55"/>
      <c r="E27" s="56"/>
      <c r="G27" s="296">
        <v>0</v>
      </c>
    </row>
    <row r="28" spans="1:7">
      <c r="A28" s="52" t="s">
        <v>348</v>
      </c>
      <c r="B28" s="53">
        <v>1</v>
      </c>
      <c r="C28" s="54">
        <v>2.5</v>
      </c>
      <c r="D28" s="55"/>
      <c r="E28" s="56"/>
      <c r="G28" s="296">
        <v>5</v>
      </c>
    </row>
    <row r="29" spans="1:7">
      <c r="A29" s="52" t="s">
        <v>349</v>
      </c>
      <c r="B29" s="53">
        <v>1</v>
      </c>
      <c r="C29" s="54">
        <v>1</v>
      </c>
      <c r="D29" s="55"/>
      <c r="E29" s="56"/>
      <c r="G29" s="296">
        <v>0</v>
      </c>
    </row>
    <row r="30" spans="1:7">
      <c r="A30" s="52" t="s">
        <v>350</v>
      </c>
      <c r="B30" s="53">
        <v>1</v>
      </c>
      <c r="C30" s="54">
        <v>0</v>
      </c>
      <c r="D30" s="55"/>
      <c r="E30" s="56"/>
      <c r="G30" s="296">
        <v>0</v>
      </c>
    </row>
    <row r="31" spans="1:7">
      <c r="A31" s="52" t="s">
        <v>366</v>
      </c>
      <c r="B31" s="53">
        <v>1</v>
      </c>
      <c r="C31" s="54">
        <v>1.5</v>
      </c>
      <c r="D31" s="55"/>
      <c r="E31" s="56"/>
      <c r="G31" s="296">
        <v>30</v>
      </c>
    </row>
    <row r="32" spans="1:7">
      <c r="A32" s="52" t="s">
        <v>351</v>
      </c>
      <c r="B32" s="53">
        <v>1</v>
      </c>
      <c r="C32" s="54">
        <v>2.5</v>
      </c>
      <c r="D32" s="55"/>
      <c r="E32" s="56"/>
      <c r="G32" s="296">
        <v>2</v>
      </c>
    </row>
    <row r="33" spans="1:7">
      <c r="A33" s="455" t="s">
        <v>126</v>
      </c>
      <c r="B33" s="53">
        <v>4</v>
      </c>
      <c r="C33" s="54">
        <f>B33/10</f>
        <v>0.4</v>
      </c>
      <c r="D33" s="55"/>
      <c r="E33" s="456"/>
      <c r="G33" s="296">
        <f>B33</f>
        <v>4</v>
      </c>
    </row>
    <row r="34" spans="1:7">
      <c r="A34" s="52" t="s">
        <v>374</v>
      </c>
      <c r="B34" s="458">
        <v>1</v>
      </c>
      <c r="C34" s="54">
        <v>10</v>
      </c>
      <c r="D34" s="55"/>
      <c r="E34" s="459"/>
      <c r="G34" s="296">
        <v>8</v>
      </c>
    </row>
    <row r="35" spans="1:7">
      <c r="A35" s="52" t="s">
        <v>352</v>
      </c>
      <c r="B35" s="53">
        <v>1</v>
      </c>
      <c r="C35" s="54">
        <v>0</v>
      </c>
      <c r="D35" s="55"/>
      <c r="E35" s="56"/>
      <c r="G35" s="296">
        <v>0</v>
      </c>
    </row>
    <row r="36" spans="1:7">
      <c r="A36" s="52" t="s">
        <v>367</v>
      </c>
      <c r="B36" s="53">
        <v>1</v>
      </c>
      <c r="C36" s="54">
        <v>2.5</v>
      </c>
      <c r="D36" s="55"/>
      <c r="E36" s="56"/>
      <c r="G36" s="296">
        <v>4</v>
      </c>
    </row>
    <row r="37" spans="1:7">
      <c r="A37" s="52" t="s">
        <v>117</v>
      </c>
      <c r="B37" s="53">
        <v>1</v>
      </c>
      <c r="C37" s="54">
        <v>0</v>
      </c>
      <c r="D37" s="55"/>
      <c r="E37" s="56"/>
      <c r="G37" s="296">
        <v>1</v>
      </c>
    </row>
    <row r="38" spans="1:7">
      <c r="A38" s="52" t="s">
        <v>165</v>
      </c>
      <c r="B38" s="53">
        <v>1</v>
      </c>
      <c r="C38" s="54">
        <v>2</v>
      </c>
      <c r="D38" s="55"/>
      <c r="E38" s="56"/>
      <c r="G38" s="296">
        <v>1</v>
      </c>
    </row>
    <row r="39" spans="1:7">
      <c r="A39" s="52" t="s">
        <v>353</v>
      </c>
      <c r="B39" s="53">
        <v>1</v>
      </c>
      <c r="C39" s="54">
        <v>5</v>
      </c>
      <c r="D39" s="55"/>
      <c r="E39" s="56"/>
      <c r="G39" s="296">
        <v>1</v>
      </c>
    </row>
    <row r="40" spans="1:7">
      <c r="A40" s="52" t="s">
        <v>364</v>
      </c>
      <c r="B40" s="53">
        <v>1</v>
      </c>
      <c r="C40" s="54">
        <v>2</v>
      </c>
      <c r="D40" s="55"/>
      <c r="E40" s="56"/>
      <c r="G40" s="296">
        <v>3000</v>
      </c>
    </row>
    <row r="41" spans="1:7">
      <c r="A41" s="52" t="s">
        <v>354</v>
      </c>
      <c r="B41" s="53">
        <v>1</v>
      </c>
      <c r="C41" s="54">
        <v>5</v>
      </c>
      <c r="D41" s="55"/>
      <c r="E41" s="56"/>
      <c r="G41" s="296">
        <v>0</v>
      </c>
    </row>
    <row r="42" spans="1:7">
      <c r="A42" s="52" t="s">
        <v>393</v>
      </c>
      <c r="B42" s="53">
        <v>1</v>
      </c>
      <c r="C42" s="54">
        <v>1</v>
      </c>
      <c r="D42" s="55"/>
      <c r="E42" s="56"/>
      <c r="G42" s="296">
        <v>7</v>
      </c>
    </row>
    <row r="43" spans="1:7">
      <c r="A43" s="52" t="s">
        <v>355</v>
      </c>
      <c r="B43" s="53">
        <v>1</v>
      </c>
      <c r="C43" s="54">
        <v>1.5</v>
      </c>
      <c r="D43" s="55"/>
      <c r="E43" s="56"/>
      <c r="G43" s="296">
        <v>12</v>
      </c>
    </row>
    <row r="44" spans="1:7">
      <c r="A44" s="52" t="s">
        <v>379</v>
      </c>
      <c r="B44" s="53">
        <v>1</v>
      </c>
      <c r="C44" s="54">
        <v>5</v>
      </c>
      <c r="D44" s="55"/>
      <c r="E44" s="56"/>
      <c r="G44" s="296">
        <v>3</v>
      </c>
    </row>
    <row r="45" spans="1:7">
      <c r="A45" s="52" t="s">
        <v>362</v>
      </c>
      <c r="B45" s="53">
        <v>1</v>
      </c>
      <c r="C45" s="54">
        <v>0.5</v>
      </c>
      <c r="D45" s="55"/>
      <c r="E45" s="56"/>
      <c r="G45" s="296">
        <v>330</v>
      </c>
    </row>
    <row r="46" spans="1:7">
      <c r="A46" s="52" t="s">
        <v>394</v>
      </c>
      <c r="B46" s="53">
        <v>7</v>
      </c>
      <c r="C46" s="54">
        <f>B46/2</f>
        <v>3.5</v>
      </c>
      <c r="D46" s="55"/>
      <c r="E46" s="56"/>
      <c r="G46" s="454">
        <f>B46/20</f>
        <v>0.35</v>
      </c>
    </row>
    <row r="47" spans="1:7">
      <c r="A47" s="52" t="s">
        <v>368</v>
      </c>
      <c r="B47" s="53">
        <v>6</v>
      </c>
      <c r="C47" s="54">
        <f>B47/2</f>
        <v>3</v>
      </c>
      <c r="D47" s="55"/>
      <c r="E47" s="56"/>
      <c r="G47" s="454">
        <f>B47/4</f>
        <v>1.5</v>
      </c>
    </row>
    <row r="48" spans="1:7">
      <c r="A48" s="52" t="s">
        <v>356</v>
      </c>
      <c r="B48" s="53">
        <v>1</v>
      </c>
      <c r="C48" s="54">
        <v>0</v>
      </c>
      <c r="D48" s="55"/>
      <c r="E48" s="56"/>
      <c r="G48" s="454">
        <f>B48/20</f>
        <v>0.05</v>
      </c>
    </row>
    <row r="49" spans="1:7">
      <c r="A49" s="52" t="s">
        <v>357</v>
      </c>
      <c r="B49" s="53">
        <v>1</v>
      </c>
      <c r="C49" s="54">
        <v>3</v>
      </c>
      <c r="D49" s="55"/>
      <c r="E49" s="56"/>
      <c r="G49" s="296">
        <v>1</v>
      </c>
    </row>
    <row r="50" spans="1:7">
      <c r="A50" s="52" t="s">
        <v>164</v>
      </c>
      <c r="B50" s="53">
        <v>1</v>
      </c>
      <c r="C50" s="54">
        <v>2.5</v>
      </c>
      <c r="D50" s="55"/>
      <c r="E50" s="56"/>
      <c r="G50" s="296">
        <v>10</v>
      </c>
    </row>
    <row r="51" spans="1:7">
      <c r="A51" s="52" t="s">
        <v>358</v>
      </c>
      <c r="B51" s="53">
        <v>1</v>
      </c>
      <c r="C51" s="54">
        <v>5</v>
      </c>
      <c r="D51" s="55"/>
      <c r="E51" s="56"/>
      <c r="G51" s="296">
        <v>1</v>
      </c>
    </row>
    <row r="52" spans="1:7">
      <c r="A52" s="52" t="s">
        <v>365</v>
      </c>
      <c r="B52" s="53">
        <v>1</v>
      </c>
      <c r="C52" s="54">
        <v>0.5</v>
      </c>
      <c r="D52" s="55"/>
      <c r="E52" s="56"/>
      <c r="G52" s="454">
        <v>0.05</v>
      </c>
    </row>
    <row r="53" spans="1:7">
      <c r="A53" s="52" t="s">
        <v>363</v>
      </c>
      <c r="B53" s="53">
        <v>3</v>
      </c>
      <c r="C53" s="54">
        <f>B53</f>
        <v>3</v>
      </c>
      <c r="D53" s="55"/>
      <c r="E53" s="56"/>
      <c r="G53" s="296">
        <f>2*B53</f>
        <v>6</v>
      </c>
    </row>
    <row r="54" spans="1:7">
      <c r="A54" s="52" t="s">
        <v>359</v>
      </c>
      <c r="B54" s="53">
        <v>1</v>
      </c>
      <c r="C54" s="54">
        <v>1.25</v>
      </c>
      <c r="D54" s="55"/>
      <c r="E54" s="56"/>
      <c r="G54" s="296">
        <v>1</v>
      </c>
    </row>
    <row r="55" spans="1:7">
      <c r="A55" s="52" t="s">
        <v>360</v>
      </c>
      <c r="B55" s="53">
        <v>1</v>
      </c>
      <c r="C55" s="54">
        <v>0.5</v>
      </c>
      <c r="D55" s="55"/>
      <c r="E55" s="56"/>
      <c r="G55" s="296">
        <v>0</v>
      </c>
    </row>
    <row r="56" spans="1:7" ht="16.2" thickBot="1">
      <c r="A56" s="45" t="s">
        <v>361</v>
      </c>
      <c r="B56" s="57">
        <v>1</v>
      </c>
      <c r="C56" s="47">
        <v>3</v>
      </c>
      <c r="D56" s="48"/>
      <c r="E56" s="457"/>
      <c r="G56" s="295">
        <v>20</v>
      </c>
    </row>
    <row r="57" spans="1:7" ht="16.2" thickTop="1">
      <c r="B57" s="253" t="s">
        <v>169</v>
      </c>
      <c r="C57" s="274">
        <f>SUM(C26:C56)/100</f>
        <v>0.78150000000000008</v>
      </c>
    </row>
    <row r="58" spans="1:7">
      <c r="A58" s="29"/>
      <c r="E58" s="172" t="s">
        <v>162</v>
      </c>
      <c r="F58" s="227"/>
      <c r="G58" s="336">
        <f>SUM(G3:G56,Martial!M3:M26)</f>
        <v>54064.950000000004</v>
      </c>
    </row>
    <row r="59" spans="1:7">
      <c r="E59" s="172" t="s">
        <v>163</v>
      </c>
      <c r="F59" s="227"/>
      <c r="G59" s="336">
        <v>49000</v>
      </c>
    </row>
    <row r="60" spans="1:7">
      <c r="E60" s="172" t="s">
        <v>180</v>
      </c>
      <c r="F60" s="227"/>
      <c r="G60" s="336">
        <f>G59-G58</f>
        <v>-5064.9500000000044</v>
      </c>
    </row>
  </sheetData>
  <sortState ref="A15:G43">
    <sortCondition ref="A15:A43"/>
  </sortState>
  <phoneticPr fontId="0" type="noConversion"/>
  <conditionalFormatting sqref="C57">
    <cfRule type="cellIs" dxfId="2" priority="1" operator="greaterThan">
      <formula>75</formula>
    </cfRule>
    <cfRule type="cellIs" dxfId="1" priority="2" operator="between">
      <formula>50</formula>
      <formula>75</formula>
    </cfRule>
    <cfRule type="cellIs" dxfId="0" priority="3" operator="lessThan">
      <formula>50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ColWidth="9" defaultRowHeight="15.6"/>
  <cols>
    <col min="1" max="1" width="62.796875" style="488" bestFit="1" customWidth="1"/>
    <col min="2" max="2" width="9.5" style="496" customWidth="1"/>
    <col min="3" max="3" width="6.3984375" style="488" customWidth="1"/>
    <col min="4" max="16384" width="9" style="488"/>
  </cols>
  <sheetData>
    <row r="1" spans="1:3">
      <c r="A1" s="485" t="s">
        <v>408</v>
      </c>
      <c r="B1" s="486" t="str">
        <f>'Personal File'!A1</f>
        <v>Magpie</v>
      </c>
      <c r="C1" s="487" t="s">
        <v>409</v>
      </c>
    </row>
    <row r="2" spans="1:3">
      <c r="A2" s="489" t="s">
        <v>410</v>
      </c>
      <c r="B2" s="490" t="s">
        <v>411</v>
      </c>
      <c r="C2" s="491">
        <v>0.1</v>
      </c>
    </row>
    <row r="3" spans="1:3">
      <c r="A3" s="489" t="s">
        <v>438</v>
      </c>
      <c r="B3" s="490" t="s">
        <v>411</v>
      </c>
      <c r="C3" s="491">
        <v>0.1</v>
      </c>
    </row>
    <row r="4" spans="1:3">
      <c r="A4" s="489" t="s">
        <v>413</v>
      </c>
      <c r="B4" s="490" t="s">
        <v>411</v>
      </c>
      <c r="C4" s="491">
        <v>0.1</v>
      </c>
    </row>
    <row r="5" spans="1:3">
      <c r="A5" s="489" t="s">
        <v>414</v>
      </c>
      <c r="B5" s="490" t="s">
        <v>412</v>
      </c>
      <c r="C5" s="491">
        <v>0.08</v>
      </c>
    </row>
    <row r="6" spans="1:3">
      <c r="A6" s="489" t="s">
        <v>415</v>
      </c>
      <c r="B6" s="490" t="s">
        <v>412</v>
      </c>
      <c r="C6" s="491">
        <v>0.08</v>
      </c>
    </row>
    <row r="7" spans="1:3">
      <c r="A7" s="489" t="s">
        <v>416</v>
      </c>
      <c r="B7" s="490" t="s">
        <v>411</v>
      </c>
      <c r="C7" s="491">
        <v>0.1</v>
      </c>
    </row>
    <row r="8" spans="1:3">
      <c r="A8" s="489" t="s">
        <v>417</v>
      </c>
      <c r="B8" s="490" t="s">
        <v>411</v>
      </c>
      <c r="C8" s="491">
        <v>0.1</v>
      </c>
    </row>
    <row r="9" spans="1:3">
      <c r="A9" s="489" t="s">
        <v>418</v>
      </c>
      <c r="B9" s="490" t="s">
        <v>411</v>
      </c>
      <c r="C9" s="491">
        <v>0.1</v>
      </c>
    </row>
    <row r="10" spans="1:3">
      <c r="A10" s="489" t="s">
        <v>419</v>
      </c>
      <c r="B10" s="490" t="s">
        <v>412</v>
      </c>
      <c r="C10" s="491">
        <v>0.08</v>
      </c>
    </row>
    <row r="11" spans="1:3">
      <c r="A11" s="489" t="s">
        <v>420</v>
      </c>
      <c r="B11" s="490" t="s">
        <v>412</v>
      </c>
      <c r="C11" s="491">
        <v>0.08</v>
      </c>
    </row>
    <row r="12" spans="1:3">
      <c r="A12" s="485" t="s">
        <v>66</v>
      </c>
      <c r="B12" s="486"/>
      <c r="C12" s="487">
        <f>SUM(C2:C11)</f>
        <v>0.91999999999999993</v>
      </c>
    </row>
    <row r="13" spans="1:3">
      <c r="A13" s="485"/>
      <c r="B13" s="486"/>
      <c r="C13" s="487"/>
    </row>
    <row r="14" spans="1:3">
      <c r="A14" s="485" t="s">
        <v>421</v>
      </c>
      <c r="B14" s="492">
        <v>0</v>
      </c>
    </row>
    <row r="15" spans="1:3">
      <c r="A15" s="485" t="s">
        <v>422</v>
      </c>
      <c r="B15" s="492"/>
    </row>
    <row r="16" spans="1:3">
      <c r="A16" s="485" t="s">
        <v>423</v>
      </c>
      <c r="B16" s="493">
        <f>B15*C12/(1+B14)</f>
        <v>0</v>
      </c>
    </row>
    <row r="17" spans="1:2">
      <c r="A17" s="485" t="s">
        <v>424</v>
      </c>
      <c r="B17" s="493"/>
    </row>
    <row r="18" spans="1:2">
      <c r="A18" s="485" t="s">
        <v>66</v>
      </c>
      <c r="B18" s="494">
        <f>SUM(B16:B17)</f>
        <v>0</v>
      </c>
    </row>
    <row r="19" spans="1:2">
      <c r="A19" s="485" t="s">
        <v>425</v>
      </c>
      <c r="B19" s="492"/>
    </row>
    <row r="20" spans="1:2">
      <c r="A20" s="485" t="s">
        <v>426</v>
      </c>
      <c r="B20" s="494">
        <f>SUM(B18:B19)</f>
        <v>0</v>
      </c>
    </row>
    <row r="22" spans="1:2">
      <c r="A22" s="495" t="s">
        <v>427</v>
      </c>
    </row>
    <row r="24" spans="1:2">
      <c r="A24" s="495"/>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Personal File</vt:lpstr>
      <vt:lpstr>Skills</vt:lpstr>
      <vt:lpstr>Beguiler</vt:lpstr>
      <vt:lpstr>Spells</vt:lpstr>
      <vt:lpstr>Feats</vt:lpstr>
      <vt:lpstr>Martial</vt:lpstr>
      <vt:lpstr>Equipment</vt:lpstr>
      <vt:lpstr>XP Awards</vt:lpstr>
      <vt:lpstr>Beguiler!Print_Area</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2017-12-08T22:53:11Z</dcterms:modified>
</cp:coreProperties>
</file>