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10224"/>
  </bookViews>
  <sheets>
    <sheet name="Initiative" sheetId="1" r:id="rId1"/>
    <sheet name="Spells" sheetId="8" r:id="rId2"/>
    <sheet name="Attacks" sheetId="6" r:id="rId3"/>
    <sheet name="Saves (allies)" sheetId="3" r:id="rId4"/>
    <sheet name="Saves (foes)" sheetId="7" r:id="rId5"/>
    <sheet name="hps" sheetId="5" r:id="rId6"/>
    <sheet name="Rolls" sheetId="4" r:id="rId7"/>
  </sheets>
  <externalReferences>
    <externalReference r:id="rId8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E11" i="8" l="1"/>
  <c r="F4" i="8" l="1"/>
  <c r="H4" i="8" s="1"/>
  <c r="I12" i="1" l="1"/>
  <c r="D17" i="1"/>
  <c r="D16" i="1"/>
  <c r="D15" i="1"/>
  <c r="D14" i="1"/>
  <c r="D13" i="1"/>
  <c r="D9" i="1"/>
  <c r="D8" i="1"/>
  <c r="D7" i="1"/>
  <c r="D6" i="1"/>
  <c r="D5" i="1"/>
  <c r="D4" i="1"/>
  <c r="D3" i="1"/>
  <c r="D2" i="1"/>
  <c r="I39" i="6" l="1"/>
  <c r="J39" i="6" s="1"/>
  <c r="I40" i="6"/>
  <c r="K40" i="6" s="1"/>
  <c r="I38" i="6"/>
  <c r="K38" i="6" s="1"/>
  <c r="I37" i="6"/>
  <c r="K37" i="6" s="1"/>
  <c r="K39" i="6" l="1"/>
  <c r="J38" i="6"/>
  <c r="J37" i="6"/>
  <c r="J40" i="6"/>
  <c r="E21" i="8"/>
  <c r="F21" i="8" l="1"/>
  <c r="H21" i="8" s="1"/>
  <c r="Z3" i="5" l="1"/>
  <c r="V3" i="5"/>
  <c r="AA3" i="5" s="1"/>
  <c r="AB3" i="5" s="1"/>
  <c r="D3" i="5"/>
  <c r="C3" i="5"/>
  <c r="B3" i="5"/>
  <c r="D5" i="5" l="1"/>
  <c r="C5" i="5"/>
  <c r="E9" i="8"/>
  <c r="F9" i="8" l="1"/>
  <c r="H9" i="8" s="1"/>
  <c r="X5" i="5"/>
  <c r="E13" i="8" l="1"/>
  <c r="F13" i="8" s="1"/>
  <c r="H13" i="8" s="1"/>
  <c r="E5" i="1"/>
  <c r="E20" i="8" l="1"/>
  <c r="F20" i="8" s="1"/>
  <c r="H20" i="8" s="1"/>
  <c r="E12" i="8" l="1"/>
  <c r="F12" i="8" s="1"/>
  <c r="H12" i="8" s="1"/>
  <c r="I16" i="6" l="1"/>
  <c r="E36" i="8" l="1"/>
  <c r="F36" i="8" s="1"/>
  <c r="H36" i="8" s="1"/>
  <c r="D17" i="7" l="1"/>
  <c r="E17" i="7" s="1"/>
  <c r="I35" i="6"/>
  <c r="K35" i="6" s="1"/>
  <c r="E35" i="6"/>
  <c r="I34" i="6"/>
  <c r="K34" i="6" s="1"/>
  <c r="I33" i="6"/>
  <c r="K33" i="6" s="1"/>
  <c r="I27" i="6"/>
  <c r="K27" i="6" s="1"/>
  <c r="E27" i="6"/>
  <c r="I26" i="6"/>
  <c r="K26" i="6" s="1"/>
  <c r="I25" i="6"/>
  <c r="K25" i="6" s="1"/>
  <c r="I31" i="6"/>
  <c r="K31" i="6" s="1"/>
  <c r="E31" i="6"/>
  <c r="I30" i="6"/>
  <c r="K30" i="6" s="1"/>
  <c r="I29" i="6"/>
  <c r="K29" i="6" s="1"/>
  <c r="J27" i="6" l="1"/>
  <c r="J31" i="6"/>
  <c r="J35" i="6"/>
  <c r="E35" i="8"/>
  <c r="F35" i="8" s="1"/>
  <c r="H35" i="8" s="1"/>
  <c r="Z13" i="5" l="1"/>
  <c r="Z14" i="5"/>
  <c r="Z12" i="5"/>
  <c r="D8" i="5" l="1"/>
  <c r="C8" i="5"/>
  <c r="B8" i="5"/>
  <c r="E10" i="8" l="1"/>
  <c r="F10" i="8" s="1"/>
  <c r="H10" i="8" s="1"/>
  <c r="E8" i="8"/>
  <c r="F8" i="8" l="1"/>
  <c r="H8" i="8" s="1"/>
  <c r="E29" i="8" l="1"/>
  <c r="E28" i="8"/>
  <c r="F28" i="8" s="1"/>
  <c r="H28" i="8" s="1"/>
  <c r="E24" i="6" l="1"/>
  <c r="E25" i="6" s="1"/>
  <c r="E28" i="6"/>
  <c r="E29" i="6" s="1"/>
  <c r="E32" i="6"/>
  <c r="E33" i="6" s="1"/>
  <c r="E36" i="6"/>
  <c r="E19" i="6"/>
  <c r="E20" i="6"/>
  <c r="E21" i="6"/>
  <c r="E22" i="6"/>
  <c r="E23" i="6"/>
  <c r="E34" i="6" l="1"/>
  <c r="J34" i="6" s="1"/>
  <c r="J33" i="6"/>
  <c r="E30" i="6"/>
  <c r="J30" i="6" s="1"/>
  <c r="J29" i="6"/>
  <c r="E26" i="6"/>
  <c r="J26" i="6" s="1"/>
  <c r="J25" i="6"/>
  <c r="D15" i="5"/>
  <c r="B15" i="5"/>
  <c r="E38" i="8"/>
  <c r="F38" i="8" s="1"/>
  <c r="H38" i="8" s="1"/>
  <c r="D12" i="5" l="1"/>
  <c r="B12" i="5"/>
  <c r="B11" i="5"/>
  <c r="D11" i="5"/>
  <c r="D10" i="5"/>
  <c r="B10" i="5"/>
  <c r="C12" i="7"/>
  <c r="E18" i="6"/>
  <c r="E14" i="6"/>
  <c r="E15" i="6"/>
  <c r="E16" i="6"/>
  <c r="E13" i="6"/>
  <c r="E12" i="6"/>
  <c r="E11" i="6"/>
  <c r="E10" i="6"/>
  <c r="E9" i="6"/>
  <c r="E8" i="6"/>
  <c r="E7" i="6"/>
  <c r="E6" i="6"/>
  <c r="E5" i="6"/>
  <c r="E2" i="6"/>
  <c r="F8" i="6"/>
  <c r="F6" i="6"/>
  <c r="F5" i="6"/>
  <c r="F4" i="6"/>
  <c r="F3" i="6"/>
  <c r="F2" i="6"/>
  <c r="E32" i="8"/>
  <c r="F32" i="8" s="1"/>
  <c r="H32" i="8" s="1"/>
  <c r="C11" i="5" l="1"/>
  <c r="E16" i="8" l="1"/>
  <c r="E17" i="8"/>
  <c r="F17" i="8" s="1"/>
  <c r="H17" i="8" s="1"/>
  <c r="E19" i="8"/>
  <c r="F19" i="8" s="1"/>
  <c r="E18" i="8"/>
  <c r="F18" i="8" s="1"/>
  <c r="H18" i="8" s="1"/>
  <c r="E30" i="8" l="1"/>
  <c r="E33" i="8"/>
  <c r="F33" i="8" s="1"/>
  <c r="H33" i="8" s="1"/>
  <c r="E31" i="8"/>
  <c r="F18" i="6" l="1"/>
  <c r="F17" i="6"/>
  <c r="F16" i="6"/>
  <c r="F15" i="6"/>
  <c r="F14" i="6"/>
  <c r="B13" i="5"/>
  <c r="E26" i="8"/>
  <c r="E27" i="8"/>
  <c r="F27" i="8" s="1"/>
  <c r="H27" i="8" s="1"/>
  <c r="E34" i="8"/>
  <c r="E22" i="8"/>
  <c r="E25" i="8"/>
  <c r="E24" i="8"/>
  <c r="E23" i="8"/>
  <c r="F22" i="8" l="1"/>
  <c r="H22" i="8" s="1"/>
  <c r="F23" i="8"/>
  <c r="H23" i="8" s="1"/>
  <c r="F24" i="8"/>
  <c r="H24" i="8" s="1"/>
  <c r="F25" i="8"/>
  <c r="H25" i="8" s="1"/>
  <c r="C10" i="5"/>
  <c r="Z10" i="5"/>
  <c r="D13" i="5"/>
  <c r="C13" i="5"/>
  <c r="D14" i="5"/>
  <c r="C14" i="5"/>
  <c r="B14" i="5"/>
  <c r="E3" i="6"/>
  <c r="E4" i="6" s="1"/>
  <c r="I36" i="6" l="1"/>
  <c r="K36" i="6" s="1"/>
  <c r="I32" i="6"/>
  <c r="K32" i="6" s="1"/>
  <c r="I28" i="6"/>
  <c r="K28" i="6" s="1"/>
  <c r="I24" i="6"/>
  <c r="K24" i="6" s="1"/>
  <c r="C3" i="7"/>
  <c r="C10" i="7"/>
  <c r="C8" i="7"/>
  <c r="C9" i="7"/>
  <c r="C15" i="7"/>
  <c r="D16" i="7"/>
  <c r="D15" i="7"/>
  <c r="E15" i="7" s="1"/>
  <c r="D14" i="7"/>
  <c r="V15" i="5"/>
  <c r="AA15" i="5" s="1"/>
  <c r="AB15" i="5" s="1"/>
  <c r="E41" i="8"/>
  <c r="F41" i="8" s="1"/>
  <c r="H41" i="8" s="1"/>
  <c r="E40" i="8"/>
  <c r="F40" i="8" s="1"/>
  <c r="H40" i="8" s="1"/>
  <c r="F34" i="8"/>
  <c r="H34" i="8" s="1"/>
  <c r="F31" i="8"/>
  <c r="H31" i="8" s="1"/>
  <c r="F16" i="8"/>
  <c r="H16" i="8" s="1"/>
  <c r="H19" i="8"/>
  <c r="E37" i="8"/>
  <c r="F37" i="8" s="1"/>
  <c r="H37" i="8" s="1"/>
  <c r="E2" i="1"/>
  <c r="E8" i="1"/>
  <c r="E14" i="1"/>
  <c r="D11" i="1"/>
  <c r="E4" i="1"/>
  <c r="E3" i="1"/>
  <c r="E7" i="1"/>
  <c r="J24" i="6" l="1"/>
  <c r="J28" i="6"/>
  <c r="J32" i="6"/>
  <c r="J36" i="6"/>
  <c r="E14" i="7"/>
  <c r="E16" i="7"/>
  <c r="I23" i="6" l="1"/>
  <c r="K23" i="6" s="1"/>
  <c r="I22" i="6"/>
  <c r="K22" i="6" s="1"/>
  <c r="I21" i="6"/>
  <c r="K21" i="6" s="1"/>
  <c r="I20" i="6"/>
  <c r="K20" i="6" s="1"/>
  <c r="I19" i="6"/>
  <c r="K19" i="6" s="1"/>
  <c r="I18" i="6"/>
  <c r="K18" i="6" s="1"/>
  <c r="I17" i="6"/>
  <c r="K17" i="6" s="1"/>
  <c r="K16" i="6"/>
  <c r="I15" i="6"/>
  <c r="K15" i="6" s="1"/>
  <c r="I14" i="6"/>
  <c r="K14" i="6" s="1"/>
  <c r="I13" i="6"/>
  <c r="K13" i="6" s="1"/>
  <c r="F13" i="6"/>
  <c r="I12" i="6"/>
  <c r="K12" i="6" s="1"/>
  <c r="I11" i="6"/>
  <c r="K11" i="6" s="1"/>
  <c r="F11" i="6"/>
  <c r="I10" i="6"/>
  <c r="K10" i="6" s="1"/>
  <c r="F10" i="6"/>
  <c r="I9" i="6"/>
  <c r="K9" i="6" s="1"/>
  <c r="F9" i="6"/>
  <c r="I8" i="6"/>
  <c r="K8" i="6" s="1"/>
  <c r="I7" i="6"/>
  <c r="K7" i="6" s="1"/>
  <c r="F7" i="6"/>
  <c r="I6" i="6"/>
  <c r="K6" i="6" s="1"/>
  <c r="I5" i="6"/>
  <c r="K5" i="6" s="1"/>
  <c r="I4" i="6"/>
  <c r="K4" i="6" s="1"/>
  <c r="I3" i="6"/>
  <c r="K3" i="6" s="1"/>
  <c r="I2" i="6"/>
  <c r="K2" i="6" s="1"/>
  <c r="C13" i="7"/>
  <c r="C11" i="7"/>
  <c r="C7" i="7"/>
  <c r="C6" i="7"/>
  <c r="C5" i="7"/>
  <c r="C4" i="7"/>
  <c r="C2" i="7"/>
  <c r="D13" i="7"/>
  <c r="E13" i="7" s="1"/>
  <c r="D12" i="7"/>
  <c r="E12" i="7" s="1"/>
  <c r="D11" i="7"/>
  <c r="E11" i="7" s="1"/>
  <c r="V14" i="5"/>
  <c r="V13" i="5"/>
  <c r="V12" i="5"/>
  <c r="C12" i="5"/>
  <c r="V11" i="5"/>
  <c r="Z11" i="5"/>
  <c r="V10" i="5"/>
  <c r="J2" i="6" l="1"/>
  <c r="J16" i="6"/>
  <c r="J17" i="6"/>
  <c r="J21" i="6"/>
  <c r="J11" i="6"/>
  <c r="J22" i="6"/>
  <c r="J14" i="6"/>
  <c r="J18" i="6"/>
  <c r="J15" i="6"/>
  <c r="J19" i="6"/>
  <c r="J23" i="6"/>
  <c r="J20" i="6"/>
  <c r="J8" i="6"/>
  <c r="AA12" i="5"/>
  <c r="AA13" i="5"/>
  <c r="AB13" i="5" s="1"/>
  <c r="AA14" i="5"/>
  <c r="AB14" i="5" s="1"/>
  <c r="J5" i="6"/>
  <c r="J9" i="6"/>
  <c r="J7" i="6"/>
  <c r="J6" i="6"/>
  <c r="J10" i="6"/>
  <c r="J12" i="6"/>
  <c r="J13" i="6"/>
  <c r="J3" i="6"/>
  <c r="J4" i="6"/>
  <c r="AA10" i="5"/>
  <c r="AB10" i="5" s="1"/>
  <c r="AB12" i="5"/>
  <c r="AA11" i="5"/>
  <c r="AB11" i="5" s="1"/>
  <c r="B5" i="5" l="1"/>
  <c r="C7" i="5" l="1"/>
  <c r="D7" i="5"/>
  <c r="B7" i="5" l="1"/>
  <c r="D2" i="7" l="1"/>
  <c r="E2" i="7" s="1"/>
  <c r="D3" i="7"/>
  <c r="E3" i="7" s="1"/>
  <c r="D4" i="7"/>
  <c r="E4" i="7" s="1"/>
  <c r="D5" i="7"/>
  <c r="E5" i="7" s="1"/>
  <c r="D6" i="7"/>
  <c r="E6" i="7" s="1"/>
  <c r="D7" i="7"/>
  <c r="E7" i="7" s="1"/>
  <c r="D8" i="7"/>
  <c r="E8" i="7" s="1"/>
  <c r="D9" i="7"/>
  <c r="E9" i="7" s="1"/>
  <c r="D10" i="7"/>
  <c r="E10" i="7" s="1"/>
  <c r="Z5" i="5" l="1"/>
  <c r="Z4" i="5"/>
  <c r="Z2" i="5"/>
  <c r="E7" i="8"/>
  <c r="F11" i="8" l="1"/>
  <c r="H11" i="8" s="1"/>
  <c r="F30" i="8"/>
  <c r="H30" i="8" s="1"/>
  <c r="F26" i="8"/>
  <c r="H26" i="8" s="1"/>
  <c r="F29" i="8"/>
  <c r="H29" i="8" s="1"/>
  <c r="D2" i="5" l="1"/>
  <c r="B2" i="5"/>
  <c r="V6" i="5" l="1"/>
  <c r="AA6" i="5" s="1"/>
  <c r="AB6" i="5" s="1"/>
  <c r="F7" i="8" l="1"/>
  <c r="H7" i="8" s="1"/>
  <c r="F6" i="8"/>
  <c r="H6" i="8" s="1"/>
  <c r="E5" i="8"/>
  <c r="F5" i="8" s="1"/>
  <c r="H5" i="8" s="1"/>
  <c r="E3" i="8"/>
  <c r="F3" i="8" s="1"/>
  <c r="H3" i="8" s="1"/>
  <c r="E2" i="8"/>
  <c r="F2" i="8" s="1"/>
  <c r="H2" i="8" s="1"/>
  <c r="M9" i="1" l="1"/>
  <c r="J11" i="3" l="1"/>
  <c r="K11" i="3" s="1"/>
  <c r="J2" i="3" l="1"/>
  <c r="K2" i="3" s="1"/>
  <c r="Z7" i="5" l="1"/>
  <c r="V8" i="5" l="1"/>
  <c r="AA8" i="5" s="1"/>
  <c r="AB8" i="5" s="1"/>
  <c r="D4" i="3" l="1"/>
  <c r="E4" i="3" s="1"/>
  <c r="D3" i="3"/>
  <c r="E3" i="3" s="1"/>
  <c r="D2" i="3"/>
  <c r="E2" i="3" l="1"/>
  <c r="J10" i="3" l="1"/>
  <c r="K10" i="3" s="1"/>
  <c r="E16" i="1" l="1"/>
  <c r="M10" i="1" l="1"/>
  <c r="M8" i="1"/>
  <c r="M16" i="1" s="1"/>
  <c r="J8" i="3" l="1"/>
  <c r="K8" i="3" s="1"/>
  <c r="J4" i="3"/>
  <c r="K4" i="3" s="1"/>
  <c r="J6" i="3"/>
  <c r="K6" i="3" s="1"/>
  <c r="H6" i="4" l="1"/>
  <c r="B4" i="5" l="1"/>
  <c r="D4" i="5"/>
  <c r="C4" i="5"/>
  <c r="J3" i="3" l="1"/>
  <c r="K3" i="3" s="1"/>
  <c r="D4" i="4" l="1"/>
  <c r="V9" i="5" l="1"/>
  <c r="AA9" i="5" s="1"/>
  <c r="AB9" i="5" s="1"/>
  <c r="J9" i="3" l="1"/>
  <c r="K9" i="3" s="1"/>
  <c r="E9" i="1" l="1"/>
  <c r="E17" i="1"/>
  <c r="E13" i="1"/>
  <c r="E15" i="1"/>
  <c r="E6" i="1"/>
  <c r="V5" i="5"/>
  <c r="AA5" i="5" s="1"/>
  <c r="AB5" i="5" s="1"/>
  <c r="V4" i="5"/>
  <c r="AA4" i="5" s="1"/>
  <c r="AB4" i="5" s="1"/>
  <c r="V7" i="5"/>
  <c r="AA7" i="5" s="1"/>
  <c r="AB7" i="5" s="1"/>
  <c r="V2" i="5"/>
  <c r="AA2" i="5" s="1"/>
  <c r="AB2" i="5" s="1"/>
  <c r="C2" i="5"/>
  <c r="J7" i="3" l="1"/>
  <c r="K7" i="3" s="1"/>
  <c r="J5" i="3" l="1"/>
  <c r="K5" i="3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1" i="1"/>
  <c r="I13" i="1" s="1"/>
  <c r="I10" i="1"/>
  <c r="M12" i="1" l="1"/>
  <c r="I14" i="1"/>
  <c r="M13" i="1" s="1"/>
  <c r="M14" i="1"/>
</calcChain>
</file>

<file path=xl/comments1.xml><?xml version="1.0" encoding="utf-8"?>
<comments xmlns="http://schemas.openxmlformats.org/spreadsheetml/2006/main">
  <authors>
    <author>Alexis Álvarez</author>
  </authors>
  <commentList>
    <comment ref="C14" authorId="0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E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2" authorId="0">
      <text>
        <r>
          <rPr>
            <i/>
            <sz val="12"/>
            <color theme="1"/>
            <rFont val="Times New Roman"/>
            <family val="1"/>
          </rPr>
          <t>bull’s strength +2
enlarge person +1</t>
        </r>
      </text>
    </comment>
    <comment ref="E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3" authorId="0">
      <text>
        <r>
          <rPr>
            <i/>
            <sz val="12"/>
            <color theme="1"/>
            <rFont val="Times New Roman"/>
            <family val="1"/>
          </rPr>
          <t>bull’s strength +2
enlarge person +1</t>
        </r>
      </text>
    </comment>
    <comment ref="E4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4" authorId="0">
      <text>
        <r>
          <rPr>
            <i/>
            <sz val="12"/>
            <color theme="1"/>
            <rFont val="Times New Roman"/>
            <family val="1"/>
          </rPr>
          <t>bull’s strength +2
enlarge person +1</t>
        </r>
      </text>
    </comment>
    <comment ref="E5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5" authorId="0">
      <text>
        <r>
          <rPr>
            <i/>
            <sz val="12"/>
            <color theme="1"/>
            <rFont val="Times New Roman"/>
            <family val="1"/>
          </rPr>
          <t>bull’s strength +2
enlarge person +1</t>
        </r>
      </text>
    </comment>
    <comment ref="E6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6" authorId="0">
      <text>
        <r>
          <rPr>
            <i/>
            <sz val="12"/>
            <color theme="1"/>
            <rFont val="Times New Roman"/>
            <family val="1"/>
          </rPr>
          <t>bull’s strength +2
enlarge person +1</t>
        </r>
      </text>
    </comment>
    <comment ref="E7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7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E8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8" authorId="0">
      <text>
        <r>
          <rPr>
            <i/>
            <sz val="12"/>
            <color theme="1"/>
            <rFont val="Times New Roman"/>
            <family val="1"/>
          </rPr>
          <t>bull’s strength +2
enlarge person +1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E9" authorId="0">
      <text>
        <r>
          <rPr>
            <i/>
            <sz val="12"/>
            <color theme="1"/>
            <rFont val="Times New Roman"/>
            <family val="1"/>
          </rPr>
          <t>enhance familiar +2
haste +1</t>
        </r>
      </text>
    </comment>
    <comment ref="F9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E10" authorId="0">
      <text>
        <r>
          <rPr>
            <i/>
            <sz val="12"/>
            <color theme="1"/>
            <rFont val="Times New Roman"/>
            <family val="1"/>
          </rPr>
          <t>enhance familiar +2
haste +1</t>
        </r>
      </text>
    </comment>
    <comment ref="F10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11" authorId="0">
      <text>
        <r>
          <rPr>
            <i/>
            <sz val="12"/>
            <color theme="1"/>
            <rFont val="Times New Roman"/>
            <family val="1"/>
          </rPr>
          <t>enhance familiar +2
haste +1</t>
        </r>
      </text>
    </comment>
    <comment ref="F11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12" authorId="0">
      <text>
        <r>
          <rPr>
            <i/>
            <sz val="12"/>
            <color theme="1"/>
            <rFont val="Times New Roman"/>
            <family val="1"/>
          </rPr>
          <t>enhance familiar +2
haste +1</t>
        </r>
      </text>
    </comment>
    <comment ref="F1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E13" authorId="0">
      <text>
        <r>
          <rPr>
            <i/>
            <sz val="12"/>
            <color theme="1"/>
            <rFont val="Times New Roman"/>
            <family val="1"/>
          </rPr>
          <t>enhance familiar +2
haste +1</t>
        </r>
      </text>
    </comment>
    <comment ref="F13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14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14" authorId="0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E15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15" authorId="0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E16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16" authorId="0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F17" authorId="0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E18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18" authorId="0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E19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E20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E21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E2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E2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E24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24" authorId="0">
      <text>
        <r>
          <rPr>
            <i/>
            <sz val="12"/>
            <color theme="1"/>
            <rFont val="Times New Roman"/>
            <family val="1"/>
          </rPr>
          <t>weapon finesse</t>
        </r>
      </text>
    </comment>
    <comment ref="E25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25" authorId="0">
      <text>
        <r>
          <rPr>
            <i/>
            <sz val="12"/>
            <color theme="1"/>
            <rFont val="Times New Roman"/>
            <family val="1"/>
          </rPr>
          <t>weapon finesse</t>
        </r>
      </text>
    </comment>
    <comment ref="E26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26" authorId="0">
      <text>
        <r>
          <rPr>
            <i/>
            <sz val="12"/>
            <color theme="1"/>
            <rFont val="Times New Roman"/>
            <family val="1"/>
          </rPr>
          <t>weapon finesse</t>
        </r>
      </text>
    </comment>
    <comment ref="E27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27" authorId="0">
      <text>
        <r>
          <rPr>
            <i/>
            <sz val="12"/>
            <color theme="1"/>
            <rFont val="Times New Roman"/>
            <family val="1"/>
          </rPr>
          <t>weapon finesse</t>
        </r>
      </text>
    </comment>
    <comment ref="E28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28" authorId="0">
      <text>
        <r>
          <rPr>
            <i/>
            <sz val="12"/>
            <color theme="1"/>
            <rFont val="Times New Roman"/>
            <family val="1"/>
          </rPr>
          <t>weapon finesse</t>
        </r>
      </text>
    </comment>
    <comment ref="E29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29" authorId="0">
      <text>
        <r>
          <rPr>
            <i/>
            <sz val="12"/>
            <color theme="1"/>
            <rFont val="Times New Roman"/>
            <family val="1"/>
          </rPr>
          <t>weapon finesse</t>
        </r>
      </text>
    </comment>
    <comment ref="E30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30" authorId="0">
      <text>
        <r>
          <rPr>
            <i/>
            <sz val="12"/>
            <color theme="1"/>
            <rFont val="Times New Roman"/>
            <family val="1"/>
          </rPr>
          <t>weapon finesse</t>
        </r>
      </text>
    </comment>
    <comment ref="E31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31" authorId="0">
      <text>
        <r>
          <rPr>
            <i/>
            <sz val="12"/>
            <color theme="1"/>
            <rFont val="Times New Roman"/>
            <family val="1"/>
          </rPr>
          <t>weapon finesse</t>
        </r>
      </text>
    </comment>
    <comment ref="E3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E3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E34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E35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E36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C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good hope +2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good hope +2</t>
        </r>
      </text>
    </comment>
    <comment ref="C11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enhance familiar +2
cat’s grace +2
haste +1</t>
        </r>
      </text>
    </comment>
    <comment ref="C13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Grace +2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4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X5" authorId="0">
      <text>
        <r>
          <rPr>
            <i/>
            <sz val="12"/>
            <color theme="1"/>
            <rFont val="Times New Roman"/>
            <family val="1"/>
          </rPr>
          <t>divine power +1/lvl</t>
        </r>
      </text>
    </comment>
    <comment ref="C7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7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8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shield +4
mage armor +4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shield +4
mage armor +4
haste +1</t>
        </r>
      </text>
    </comment>
    <comment ref="B10" authorId="0">
      <text>
        <r>
          <rPr>
            <i/>
            <sz val="12"/>
            <color theme="1"/>
            <rFont val="Times New Roman"/>
            <family val="1"/>
          </rPr>
          <t>shield +4
haste +1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shield +4
mage armor +4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shield +4
mage armor +4
haste +1</t>
        </r>
      </text>
    </comment>
    <comment ref="J10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K10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L10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Y10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B11" authorId="0">
      <text>
        <r>
          <rPr>
            <i/>
            <sz val="12"/>
            <color theme="1"/>
            <rFont val="Times New Roman"/>
            <family val="1"/>
          </rPr>
          <t>shield +4
enhance familiar +2
cat’s grace +2
haste +1</t>
        </r>
      </text>
    </comment>
    <comment ref="C11" authorId="0">
      <text>
        <r>
          <rPr>
            <i/>
            <sz val="12"/>
            <color theme="1"/>
            <rFont val="Times New Roman"/>
            <family val="1"/>
          </rPr>
          <t>shield +4
mage armor +4
enhance familiar +2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shield +4
mage armor +4
enhance familiar +2
cat’s grace +2
haste +1</t>
        </r>
      </text>
    </comment>
    <comment ref="J11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Y11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B1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barkskin +3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barkskin +3
haste +1</t>
        </r>
      </text>
    </comment>
    <comment ref="Y12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B13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C13" authorId="0">
      <text>
        <r>
          <rPr>
            <i/>
            <sz val="12"/>
            <color theme="1"/>
            <rFont val="Times New Roman"/>
            <family val="1"/>
          </rPr>
          <t>shield +4
mage armor +4</t>
        </r>
      </text>
    </comment>
    <comment ref="D13" authorId="0">
      <text>
        <r>
          <rPr>
            <i/>
            <sz val="12"/>
            <color theme="1"/>
            <rFont val="Times New Roman"/>
            <family val="1"/>
          </rPr>
          <t>shield +4
mage armor +4</t>
        </r>
      </text>
    </comment>
    <comment ref="Y13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B1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Y14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B15" authorId="0">
      <text>
        <r>
          <rPr>
            <i/>
            <sz val="12"/>
            <color theme="1"/>
            <rFont val="Times New Roman"/>
            <family val="1"/>
          </rPr>
          <t>haste +1
cat’s grace +2</t>
        </r>
      </text>
    </comment>
    <comment ref="D15" authorId="0">
      <text>
        <r>
          <rPr>
            <i/>
            <sz val="12"/>
            <color theme="1"/>
            <rFont val="Times New Roman"/>
            <family val="1"/>
          </rPr>
          <t>haste +1
cat’s grace +2</t>
        </r>
      </text>
    </comment>
  </commentList>
</comments>
</file>

<file path=xl/sharedStrings.xml><?xml version="1.0" encoding="utf-8"?>
<sst xmlns="http://schemas.openxmlformats.org/spreadsheetml/2006/main" count="497" uniqueCount="206">
  <si>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</si>
  <si>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</si>
  <si>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</si>
  <si>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</si>
  <si>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</si>
  <si>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</si>
  <si>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</si>
  <si>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</si>
  <si>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</si>
  <si>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</si>
  <si>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</si>
  <si>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</si>
  <si>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</si>
  <si>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</si>
  <si>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</si>
  <si>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</si>
  <si>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</si>
  <si>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</si>
  <si>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</si>
  <si>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</si>
  <si>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</si>
  <si>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</si>
  <si>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</si>
  <si>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</si>
  <si>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</si>
  <si>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</si>
  <si>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</si>
  <si>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</si>
  <si>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</si>
  <si>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</si>
  <si>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</si>
  <si>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</si>
  <si>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</si>
  <si>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</si>
  <si>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</si>
  <si>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</si>
  <si>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</si>
  <si>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</si>
  <si>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</si>
  <si>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</si>
  <si>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</si>
  <si>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</si>
  <si>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</si>
  <si>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</si>
  <si>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</si>
  <si>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</si>
  <si>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</si>
  <si>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</si>
  <si>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</si>
  <si>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</si>
  <si>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</si>
  <si>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</si>
  <si>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</si>
  <si>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</si>
  <si>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</si>
  <si>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</si>
  <si>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</si>
  <si>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</si>
  <si>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</si>
  <si>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</si>
  <si>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</si>
  <si>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</si>
  <si>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</si>
  <si>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</si>
  <si>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</si>
  <si>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</si>
  <si>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</si>
  <si>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</si>
  <si>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</si>
  <si>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</si>
  <si>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</si>
  <si>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Spot</t>
  </si>
  <si>
    <t>Dispel Magic</t>
  </si>
  <si>
    <t>Climb</t>
  </si>
  <si>
    <t>Strength</t>
  </si>
  <si>
    <t>Move Silently</t>
  </si>
  <si>
    <t>Bypass Spell Resistance</t>
  </si>
  <si>
    <t>Listen</t>
  </si>
  <si>
    <t>Allisa</t>
  </si>
  <si>
    <t>Lauren</t>
  </si>
  <si>
    <t>Fingers</t>
  </si>
  <si>
    <t>Stoneskin</t>
  </si>
  <si>
    <t>Druid-Master of Many Forms</t>
  </si>
  <si>
    <t>Rogue-Trapsmith</t>
  </si>
  <si>
    <t>Duskblade</t>
  </si>
  <si>
    <t>Good/
Pos</t>
  </si>
  <si>
    <t>Vamp</t>
  </si>
  <si>
    <t>Temp</t>
  </si>
  <si>
    <t>Greater Dispel Magic</t>
  </si>
  <si>
    <t>Evil/
Neg</t>
  </si>
  <si>
    <t>Imm</t>
  </si>
  <si>
    <t>Magic/
Force</t>
  </si>
  <si>
    <t>Check</t>
  </si>
  <si>
    <t>Samara</t>
  </si>
  <si>
    <t>Tumble</t>
  </si>
  <si>
    <t>Intimidate</t>
  </si>
  <si>
    <t>Favored Soul-Divine Agent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</si>
  <si>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</si>
  <si>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</si>
  <si>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</si>
  <si>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</si>
  <si>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</si>
  <si>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</si>
  <si>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</si>
  <si>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</si>
  <si>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</si>
  <si>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</si>
  <si>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</si>
  <si>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Flint</t>
  </si>
  <si>
    <t>Tali</t>
  </si>
  <si>
    <t>Cleric-Factotum-Chameleon</t>
  </si>
  <si>
    <t>Kedrik</t>
  </si>
  <si>
    <t>Grapple</t>
  </si>
  <si>
    <t>prc/slash</t>
  </si>
  <si>
    <t>Shooting Star-Deadwood Sniper</t>
  </si>
  <si>
    <t>40’</t>
  </si>
  <si>
    <t>R10</t>
  </si>
  <si>
    <t>CR</t>
  </si>
  <si>
    <t>Barkskin</t>
  </si>
  <si>
    <t>Mass Aid</t>
  </si>
  <si>
    <t>Haste</t>
  </si>
  <si>
    <t>conjured creature</t>
  </si>
  <si>
    <t>Whisper</t>
  </si>
  <si>
    <t>Typhoid</t>
  </si>
  <si>
    <t>cold iron, good</t>
  </si>
  <si>
    <t>Myrtle Eyes</t>
  </si>
  <si>
    <t>Grim Gerome</t>
  </si>
  <si>
    <t>Lady Asunder</t>
  </si>
  <si>
    <t>2nd Attack</t>
  </si>
  <si>
    <t>3rd Attack</t>
  </si>
  <si>
    <t>Spiked Shield +1</t>
  </si>
  <si>
    <t>Ranged Touch Attack</t>
  </si>
  <si>
    <t>varies</t>
  </si>
  <si>
    <t>Claw 1</t>
  </si>
  <si>
    <t>1d8+1+6+poison</t>
  </si>
  <si>
    <t>Claw 2</t>
  </si>
  <si>
    <t>Bite</t>
  </si>
  <si>
    <t>1d4+1</t>
  </si>
  <si>
    <t>Deliver Touch Attack</t>
  </si>
  <si>
    <t>Quarterstaff +2</t>
  </si>
  <si>
    <r>
      <t>1d4+2</t>
    </r>
    <r>
      <rPr>
        <vertAlign val="superscript"/>
        <sz val="12"/>
        <color theme="1"/>
        <rFont val="Times New Roman"/>
        <family val="1"/>
      </rPr>
      <t>2</t>
    </r>
  </si>
  <si>
    <t>QR Hand Crossbow +1</t>
  </si>
  <si>
    <t>1d3+1</t>
  </si>
  <si>
    <t>Blackthorn Shillelagh +2</t>
  </si>
  <si>
    <t>1d4+2</t>
  </si>
  <si>
    <t>Dispelling Dagger</t>
  </si>
  <si>
    <t>1d3</t>
  </si>
  <si>
    <t>call lightning</t>
  </si>
  <si>
    <t>3d6 electric</t>
  </si>
  <si>
    <t>Azimuth</t>
  </si>
  <si>
    <t>Shade Battle Sorcerer</t>
  </si>
  <si>
    <t>Shade Goliath Knight</t>
  </si>
  <si>
    <t>Shade Sorceress</t>
  </si>
  <si>
    <t>Shade Archivist</t>
  </si>
  <si>
    <t>Yurm the Sprinter</t>
  </si>
  <si>
    <t>Swashbuckler</t>
  </si>
  <si>
    <t>50’</t>
  </si>
  <si>
    <t>20’/50’ fly</t>
  </si>
  <si>
    <t>X bolts left</t>
  </si>
  <si>
    <t>Eager Rapier</t>
  </si>
  <si>
    <t>Special</t>
  </si>
  <si>
    <t>QR Hand Crossbow +3</t>
  </si>
  <si>
    <t>Shield of Faith</t>
  </si>
  <si>
    <t>Bull’s Strength</t>
  </si>
  <si>
    <t>Cat’s Grace</t>
  </si>
  <si>
    <t>Bear’s Endurance</t>
  </si>
  <si>
    <t>Shield</t>
  </si>
  <si>
    <t>Fly</t>
  </si>
  <si>
    <t>þ</t>
  </si>
  <si>
    <t>Mage Armor</t>
  </si>
  <si>
    <t>Enhance Familiar</t>
  </si>
  <si>
    <t>Detect Magic</t>
  </si>
  <si>
    <t>Fox’s Cunning</t>
  </si>
  <si>
    <t>Owl’s Wisdom</t>
  </si>
  <si>
    <t>1d4+3</t>
  </si>
  <si>
    <t>Eagle’s Splendor</t>
  </si>
  <si>
    <t>Domineering Greataxe</t>
  </si>
  <si>
    <r>
      <t xml:space="preserve">Greataxe, </t>
    </r>
    <r>
      <rPr>
        <i/>
        <sz val="12"/>
        <color theme="1"/>
        <rFont val="Times New Roman"/>
        <family val="1"/>
      </rPr>
      <t>haste</t>
    </r>
  </si>
  <si>
    <r>
      <t>1d4 [1d6]+1+7</t>
    </r>
    <r>
      <rPr>
        <b/>
        <sz val="12"/>
        <color theme="1"/>
        <rFont val="Times New Roman"/>
        <family val="1"/>
      </rPr>
      <t>+1</t>
    </r>
  </si>
  <si>
    <r>
      <t>1d12+7</t>
    </r>
    <r>
      <rPr>
        <b/>
        <sz val="12"/>
        <color theme="1"/>
        <rFont val="Times New Roman"/>
        <family val="1"/>
      </rPr>
      <t>+1</t>
    </r>
    <r>
      <rPr>
        <sz val="12"/>
        <color theme="1"/>
        <rFont val="Times New Roman"/>
        <family val="1"/>
      </rPr>
      <t>/x3</t>
    </r>
  </si>
  <si>
    <t>60’</t>
  </si>
  <si>
    <t>Greater Mage Armor</t>
  </si>
  <si>
    <t>Greater Invisibility</t>
  </si>
  <si>
    <t>R5</t>
  </si>
  <si>
    <r>
      <t xml:space="preserve">Rapier, </t>
    </r>
    <r>
      <rPr>
        <i/>
        <sz val="12"/>
        <color theme="1"/>
        <rFont val="Times New Roman"/>
        <family val="1"/>
      </rPr>
      <t>haste</t>
    </r>
  </si>
  <si>
    <r>
      <t xml:space="preserve">Cutlass, </t>
    </r>
    <r>
      <rPr>
        <i/>
        <sz val="12"/>
        <color theme="1"/>
        <rFont val="Times New Roman"/>
        <family val="1"/>
      </rPr>
      <t>haste</t>
    </r>
  </si>
  <si>
    <r>
      <t xml:space="preserve">Crossbow, </t>
    </r>
    <r>
      <rPr>
        <i/>
        <sz val="12"/>
        <color theme="1"/>
        <rFont val="Times New Roman"/>
        <family val="1"/>
      </rPr>
      <t>haste</t>
    </r>
  </si>
  <si>
    <t>Jump</t>
  </si>
  <si>
    <t>Keen Cutlass +2</t>
  </si>
  <si>
    <t>Darkvision</t>
  </si>
  <si>
    <t>X</t>
  </si>
  <si>
    <t>Acid Fog</t>
  </si>
  <si>
    <t>+2 vs. Lauren</t>
  </si>
  <si>
    <t>Threat</t>
  </si>
  <si>
    <t>Crit</t>
  </si>
  <si>
    <t>1d6+2</t>
  </si>
  <si>
    <t>1d6+1</t>
  </si>
  <si>
    <t>Blade Barrier</t>
  </si>
  <si>
    <t>Call Lightning</t>
  </si>
  <si>
    <t>Allisa (resurrected as tree)</t>
  </si>
  <si>
    <t>See Invisibility</t>
  </si>
  <si>
    <t>Allisa (dire wooden bear)</t>
  </si>
  <si>
    <t>2d4+10</t>
  </si>
  <si>
    <t>2d8+5</t>
  </si>
  <si>
    <t>Heat Metal</t>
  </si>
  <si>
    <t>Archivist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</si>
</sst>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color rgb="FFFF0000"/>
      <name val="Times New Roman"/>
      <family val="2"/>
    </font>
    <font>
      <i/>
      <sz val="12"/>
      <color theme="0" tint="-0.249977111117893"/>
      <name val="Times New Roman"/>
      <family val="1"/>
    </font>
    <font>
      <b/>
      <sz val="12"/>
      <color rgb="FFFFC000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rgb="FF92D05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FF9900"/>
        <bgColor indexed="64"/>
      </patternFill>
    </fill>
  </fills>
  <borders count="7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15" borderId="18" xfId="0" applyFont="1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18" borderId="30" xfId="0" applyFont="1" applyFill="1" applyBorder="1" applyAlignment="1">
      <alignment horizontal="center" vertical="center" wrapText="1"/>
    </xf>
    <xf numFmtId="0" fontId="2" fillId="17" borderId="27" xfId="0" applyFont="1" applyFill="1" applyBorder="1" applyAlignment="1">
      <alignment horizontal="center" vertical="center" wrapText="1"/>
    </xf>
    <xf numFmtId="0" fontId="0" fillId="17" borderId="29" xfId="0" applyFill="1" applyBorder="1" applyAlignment="1">
      <alignment horizontal="center"/>
    </xf>
    <xf numFmtId="0" fontId="8" fillId="16" borderId="31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/>
    </xf>
    <xf numFmtId="0" fontId="9" fillId="16" borderId="3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7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9" xfId="0" applyFont="1" applyFill="1" applyBorder="1" applyAlignment="1">
      <alignment horizontal="centerContinuous" vertical="center" wrapText="1"/>
    </xf>
    <xf numFmtId="0" fontId="2" fillId="13" borderId="23" xfId="0" applyFont="1" applyFill="1" applyBorder="1" applyAlignment="1">
      <alignment horizontal="centerContinuous" vertical="center" wrapText="1"/>
    </xf>
    <xf numFmtId="0" fontId="0" fillId="13" borderId="20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8" borderId="5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5" borderId="42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9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6" fillId="21" borderId="25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22" borderId="5" xfId="0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16" fillId="16" borderId="8" xfId="0" applyFont="1" applyFill="1" applyBorder="1" applyAlignment="1">
      <alignment horizontal="center"/>
    </xf>
    <xf numFmtId="0" fontId="2" fillId="22" borderId="17" xfId="0" applyFont="1" applyFill="1" applyBorder="1" applyAlignment="1">
      <alignment horizontal="center" vertical="center" wrapText="1"/>
    </xf>
    <xf numFmtId="0" fontId="2" fillId="23" borderId="58" xfId="0" applyFont="1" applyFill="1" applyBorder="1" applyAlignment="1">
      <alignment horizontal="center" vertical="center" wrapText="1"/>
    </xf>
    <xf numFmtId="0" fontId="2" fillId="20" borderId="27" xfId="0" applyFont="1" applyFill="1" applyBorder="1" applyAlignment="1">
      <alignment horizontal="center" vertical="center" wrapText="1"/>
    </xf>
    <xf numFmtId="0" fontId="0" fillId="20" borderId="28" xfId="0" applyFill="1" applyBorder="1" applyAlignment="1">
      <alignment horizontal="center"/>
    </xf>
    <xf numFmtId="0" fontId="0" fillId="20" borderId="29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4" fillId="24" borderId="57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3" borderId="43" xfId="0" quotePrefix="1" applyFill="1" applyBorder="1" applyAlignment="1"/>
    <xf numFmtId="164" fontId="0" fillId="5" borderId="0" xfId="0" applyNumberFormat="1" applyFill="1" applyBorder="1" applyAlignment="1">
      <alignment horizontal="center"/>
    </xf>
    <xf numFmtId="0" fontId="18" fillId="12" borderId="8" xfId="0" applyFont="1" applyFill="1" applyBorder="1" applyAlignment="1">
      <alignment horizontal="center"/>
    </xf>
    <xf numFmtId="0" fontId="18" fillId="13" borderId="8" xfId="0" applyFont="1" applyFill="1" applyBorder="1" applyAlignment="1">
      <alignment horizontal="center"/>
    </xf>
    <xf numFmtId="0" fontId="0" fillId="7" borderId="60" xfId="0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12" fillId="9" borderId="60" xfId="0" applyFont="1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5" xfId="0" applyBorder="1" applyAlignment="1">
      <alignment horizontal="center"/>
    </xf>
    <xf numFmtId="0" fontId="2" fillId="25" borderId="39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/>
    </xf>
    <xf numFmtId="0" fontId="2" fillId="0" borderId="6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3" fillId="27" borderId="29" xfId="11" applyNumberFormat="1" applyFont="1" applyFill="1" applyBorder="1" applyAlignment="1">
      <alignment horizontal="center" vertical="center" shrinkToFit="1"/>
    </xf>
    <xf numFmtId="0" fontId="23" fillId="20" borderId="29" xfId="11" applyNumberFormat="1" applyFont="1" applyFill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/>
    </xf>
    <xf numFmtId="0" fontId="23" fillId="27" borderId="64" xfId="11" applyNumberFormat="1" applyFont="1" applyFill="1" applyBorder="1" applyAlignment="1">
      <alignment horizontal="center" vertical="center" shrinkToFit="1"/>
    </xf>
    <xf numFmtId="0" fontId="23" fillId="20" borderId="64" xfId="11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18" fillId="22" borderId="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14" fillId="26" borderId="67" xfId="0" applyFont="1" applyFill="1" applyBorder="1" applyAlignment="1">
      <alignment horizontal="center" vertical="center"/>
    </xf>
    <xf numFmtId="0" fontId="17" fillId="19" borderId="67" xfId="0" applyFont="1" applyFill="1" applyBorder="1" applyAlignment="1">
      <alignment horizontal="center" vertical="center"/>
    </xf>
    <xf numFmtId="0" fontId="14" fillId="21" borderId="67" xfId="0" applyFont="1" applyFill="1" applyBorder="1" applyAlignment="1">
      <alignment horizontal="center" vertical="center"/>
    </xf>
    <xf numFmtId="0" fontId="17" fillId="28" borderId="67" xfId="0" applyFont="1" applyFill="1" applyBorder="1" applyAlignment="1">
      <alignment horizontal="center" vertical="center"/>
    </xf>
    <xf numFmtId="0" fontId="14" fillId="9" borderId="67" xfId="0" applyFont="1" applyFill="1" applyBorder="1" applyAlignment="1">
      <alignment horizontal="center" vertical="center"/>
    </xf>
    <xf numFmtId="0" fontId="14" fillId="5" borderId="67" xfId="0" applyFont="1" applyFill="1" applyBorder="1" applyAlignment="1">
      <alignment horizontal="center" vertical="center"/>
    </xf>
    <xf numFmtId="0" fontId="14" fillId="5" borderId="68" xfId="0" applyFont="1" applyFill="1" applyBorder="1" applyAlignment="1">
      <alignment horizontal="center" vertical="center"/>
    </xf>
    <xf numFmtId="0" fontId="14" fillId="18" borderId="68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/>
    </xf>
    <xf numFmtId="0" fontId="14" fillId="21" borderId="8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27" fillId="16" borderId="29" xfId="0" applyFont="1" applyFill="1" applyBorder="1" applyAlignment="1">
      <alignment horizontal="center"/>
    </xf>
    <xf numFmtId="0" fontId="0" fillId="7" borderId="56" xfId="0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5" fillId="29" borderId="69" xfId="0" applyFont="1" applyFill="1" applyBorder="1" applyAlignment="1">
      <alignment horizontal="center"/>
    </xf>
    <xf numFmtId="0" fontId="5" fillId="6" borderId="69" xfId="0" applyFont="1" applyFill="1" applyBorder="1" applyAlignment="1">
      <alignment horizontal="center"/>
    </xf>
    <xf numFmtId="0" fontId="5" fillId="29" borderId="55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0" fillId="6" borderId="35" xfId="0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1" fillId="0" borderId="35" xfId="0" quotePrefix="1" applyFont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1" fillId="0" borderId="37" xfId="0" quotePrefix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4" fillId="16" borderId="35" xfId="0" applyFont="1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14" fillId="30" borderId="67" xfId="0" applyFont="1" applyFill="1" applyBorder="1" applyAlignment="1">
      <alignment horizontal="center" vertical="center"/>
    </xf>
    <xf numFmtId="0" fontId="14" fillId="31" borderId="67" xfId="0" applyFont="1" applyFill="1" applyBorder="1" applyAlignment="1">
      <alignment horizontal="center" vertical="center"/>
    </xf>
    <xf numFmtId="0" fontId="14" fillId="32" borderId="67" xfId="0" applyFont="1" applyFill="1" applyBorder="1" applyAlignment="1">
      <alignment horizontal="center" vertical="center"/>
    </xf>
    <xf numFmtId="0" fontId="14" fillId="33" borderId="67" xfId="0" applyFont="1" applyFill="1" applyBorder="1" applyAlignment="1">
      <alignment horizontal="center" vertical="center"/>
    </xf>
    <xf numFmtId="0" fontId="14" fillId="34" borderId="67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5" fillId="35" borderId="67" xfId="0" applyFont="1" applyFill="1" applyBorder="1" applyAlignment="1">
      <alignment horizontal="center" vertical="center"/>
    </xf>
    <xf numFmtId="0" fontId="25" fillId="35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3" fillId="27" borderId="63" xfId="11" applyNumberFormat="1" applyFont="1" applyFill="1" applyBorder="1" applyAlignment="1">
      <alignment horizontal="center" vertical="center" shrinkToFit="1"/>
    </xf>
    <xf numFmtId="0" fontId="23" fillId="20" borderId="63" xfId="11" applyNumberFormat="1" applyFont="1" applyFill="1" applyBorder="1" applyAlignment="1">
      <alignment horizontal="center" vertical="center" shrinkToFit="1"/>
    </xf>
    <xf numFmtId="0" fontId="14" fillId="34" borderId="66" xfId="0" applyFont="1" applyFill="1" applyBorder="1" applyAlignment="1">
      <alignment horizontal="center" vertical="center"/>
    </xf>
    <xf numFmtId="0" fontId="0" fillId="26" borderId="56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0" fillId="7" borderId="42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17" fillId="7" borderId="67" xfId="0" applyFont="1" applyFill="1" applyBorder="1" applyAlignment="1">
      <alignment horizontal="center" vertical="center"/>
    </xf>
    <xf numFmtId="0" fontId="29" fillId="34" borderId="28" xfId="0" applyFont="1" applyFill="1" applyBorder="1" applyAlignment="1">
      <alignment horizontal="center"/>
    </xf>
    <xf numFmtId="0" fontId="5" fillId="25" borderId="36" xfId="0" applyFont="1" applyFill="1" applyBorder="1" applyAlignment="1">
      <alignment horizontal="center" vertical="center"/>
    </xf>
    <xf numFmtId="0" fontId="5" fillId="25" borderId="35" xfId="0" applyFont="1" applyFill="1" applyBorder="1" applyAlignment="1">
      <alignment horizontal="center" vertical="center"/>
    </xf>
    <xf numFmtId="0" fontId="5" fillId="25" borderId="37" xfId="0" applyFont="1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5" borderId="59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65" xfId="0" applyFill="1" applyBorder="1" applyAlignment="1">
      <alignment horizontal="center"/>
    </xf>
  </cellXfs>
  <cellStyles count="12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Percent" xfId="11" builtinId="5"/>
    <cellStyle name="Percent 2" xfId="6"/>
    <cellStyle name="Percent 2 2" xfId="8"/>
  </cellStyles>
  <dxfs count="35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  <color rgb="FF00FF00"/>
      <color rgb="FF00FFFF"/>
      <color rgb="FF663300"/>
      <color rgb="FFFF9900"/>
      <color rgb="FFCC0000"/>
      <color rgb="FF0033CC"/>
      <color rgb="FF006666"/>
      <color rgb="FFFF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14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23</c:v>
                </c:pt>
                <c:pt idx="4">
                  <c:v>15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12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4</c:v>
                </c:pt>
                <c:pt idx="2">
                  <c:v>17</c:v>
                </c:pt>
                <c:pt idx="3">
                  <c:v>8</c:v>
                </c:pt>
                <c:pt idx="4">
                  <c:v>32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21</c:v>
                </c:pt>
                <c:pt idx="3">
                  <c:v>29</c:v>
                </c:pt>
                <c:pt idx="4">
                  <c:v>32</c:v>
                </c:pt>
                <c:pt idx="5">
                  <c:v>41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28</c:v>
                </c:pt>
                <c:pt idx="2">
                  <c:v>41</c:v>
                </c:pt>
                <c:pt idx="3">
                  <c:v>36</c:v>
                </c:pt>
                <c:pt idx="4">
                  <c:v>50</c:v>
                </c:pt>
                <c:pt idx="5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53088"/>
        <c:axId val="151754624"/>
        <c:axId val="89243648"/>
      </c:area3DChart>
      <c:catAx>
        <c:axId val="151753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754624"/>
        <c:crosses val="autoZero"/>
        <c:auto val="1"/>
        <c:lblAlgn val="ctr"/>
        <c:lblOffset val="100"/>
        <c:noMultiLvlLbl val="0"/>
      </c:catAx>
      <c:valAx>
        <c:axId val="15175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753088"/>
        <c:crosses val="autoZero"/>
        <c:crossBetween val="midCat"/>
      </c:valAx>
      <c:serAx>
        <c:axId val="89243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7546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10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4</c:v>
                </c:pt>
                <c:pt idx="5">
                  <c:v>9</c:v>
                </c:pt>
                <c:pt idx="6">
                  <c:v>28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17</c:v>
                </c:pt>
                <c:pt idx="5">
                  <c:v>21</c:v>
                </c:pt>
                <c:pt idx="6">
                  <c:v>41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23</c:v>
                </c:pt>
                <c:pt idx="3">
                  <c:v>20</c:v>
                </c:pt>
                <c:pt idx="4">
                  <c:v>8</c:v>
                </c:pt>
                <c:pt idx="5">
                  <c:v>29</c:v>
                </c:pt>
                <c:pt idx="6">
                  <c:v>36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15</c:v>
                </c:pt>
                <c:pt idx="3">
                  <c:v>21</c:v>
                </c:pt>
                <c:pt idx="4">
                  <c:v>32</c:v>
                </c:pt>
                <c:pt idx="5">
                  <c:v>32</c:v>
                </c:pt>
                <c:pt idx="6">
                  <c:v>50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20</c:v>
                </c:pt>
                <c:pt idx="3">
                  <c:v>21</c:v>
                </c:pt>
                <c:pt idx="4">
                  <c:v>41</c:v>
                </c:pt>
                <c:pt idx="5">
                  <c:v>41</c:v>
                </c:pt>
                <c:pt idx="6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88160"/>
        <c:axId val="151802240"/>
        <c:axId val="165062848"/>
      </c:area3DChart>
      <c:catAx>
        <c:axId val="151788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802240"/>
        <c:crosses val="autoZero"/>
        <c:auto val="1"/>
        <c:lblAlgn val="ctr"/>
        <c:lblOffset val="100"/>
        <c:noMultiLvlLbl val="0"/>
      </c:catAx>
      <c:valAx>
        <c:axId val="15180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788160"/>
        <c:crosses val="autoZero"/>
        <c:crossBetween val="midCat"/>
      </c:valAx>
      <c:serAx>
        <c:axId val="165062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5180224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14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23</c:v>
                </c:pt>
                <c:pt idx="4">
                  <c:v>15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12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4</c:v>
                </c:pt>
                <c:pt idx="2">
                  <c:v>17</c:v>
                </c:pt>
                <c:pt idx="3">
                  <c:v>8</c:v>
                </c:pt>
                <c:pt idx="4">
                  <c:v>32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21</c:v>
                </c:pt>
                <c:pt idx="3">
                  <c:v>29</c:v>
                </c:pt>
                <c:pt idx="4">
                  <c:v>32</c:v>
                </c:pt>
                <c:pt idx="5">
                  <c:v>41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28</c:v>
                </c:pt>
                <c:pt idx="2">
                  <c:v>41</c:v>
                </c:pt>
                <c:pt idx="3">
                  <c:v>36</c:v>
                </c:pt>
                <c:pt idx="4">
                  <c:v>50</c:v>
                </c:pt>
                <c:pt idx="5">
                  <c:v>69</c:v>
                </c:pt>
              </c:numCache>
            </c:numRef>
          </c:val>
        </c:ser>
        <c:bandFmts/>
        <c:axId val="152397696"/>
        <c:axId val="152399232"/>
        <c:axId val="152410304"/>
      </c:surface3DChart>
      <c:catAx>
        <c:axId val="152397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2399232"/>
        <c:crosses val="autoZero"/>
        <c:auto val="1"/>
        <c:lblAlgn val="ctr"/>
        <c:lblOffset val="100"/>
        <c:noMultiLvlLbl val="0"/>
      </c:catAx>
      <c:valAx>
        <c:axId val="15239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2397696"/>
        <c:crosses val="autoZero"/>
        <c:crossBetween val="midCat"/>
      </c:valAx>
      <c:serAx>
        <c:axId val="152410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23992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"/>
  <sheetViews>
    <sheetView showGridLines="0" tabSelected="1" workbookViewId="0"/>
  </sheetViews>
  <sheetFormatPr defaultRowHeight="15.6" x14ac:dyDescent="0.3"/>
  <cols>
    <col min="1" max="1" width="15.0976562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9.5" style="21" bestFit="1" customWidth="1"/>
    <col min="7" max="7" width="4.19921875" customWidth="1"/>
    <col min="8" max="8" width="14.09765625" bestFit="1" customWidth="1"/>
    <col min="9" max="9" width="4.8984375" bestFit="1" customWidth="1"/>
    <col min="10" max="10" width="27" bestFit="1" customWidth="1"/>
    <col min="11" max="11" width="4.19921875" customWidth="1"/>
    <col min="12" max="12" width="19.59765625" bestFit="1" customWidth="1"/>
    <col min="13" max="13" width="4.3984375" bestFit="1" customWidth="1"/>
    <col min="14" max="14" width="23" bestFit="1" customWidth="1"/>
  </cols>
  <sheetData>
    <row r="1" spans="1:14" s="98" customFormat="1" ht="31.8" thickBot="1" x14ac:dyDescent="0.35">
      <c r="A1" s="96" t="s">
        <v>0</v>
      </c>
      <c r="B1" s="96" t="s">
        <v>1</v>
      </c>
      <c r="C1" s="96" t="s">
        <v>2</v>
      </c>
      <c r="D1" s="97" t="s">
        <v>3</v>
      </c>
      <c r="E1" s="96" t="s">
        <v>4</v>
      </c>
      <c r="F1" s="96" t="s">
        <v>5</v>
      </c>
      <c r="H1" s="99" t="s">
        <v>21</v>
      </c>
      <c r="I1" s="99"/>
      <c r="J1" s="99"/>
      <c r="K1" s="99"/>
      <c r="L1" s="99" t="s">
        <v>107</v>
      </c>
      <c r="M1" s="99"/>
      <c r="N1" s="99"/>
    </row>
    <row r="2" spans="1:14" ht="16.8" thickTop="1" thickBot="1" x14ac:dyDescent="0.35">
      <c r="A2" s="179" t="s">
        <v>122</v>
      </c>
      <c r="B2" s="75">
        <v>2</v>
      </c>
      <c r="C2" s="74">
        <v>4</v>
      </c>
      <c r="D2" s="116">
        <f t="shared" ref="D2:D9" ca="1" si="0">RANDBETWEEN(1,20)</f>
        <v>12</v>
      </c>
      <c r="E2" s="74">
        <f t="shared" ref="E2:E6" ca="1" si="1">SUM(C2:D2)</f>
        <v>16</v>
      </c>
      <c r="F2" s="225" t="s">
        <v>156</v>
      </c>
      <c r="H2" s="79" t="s">
        <v>0</v>
      </c>
      <c r="I2" s="80" t="s">
        <v>22</v>
      </c>
      <c r="J2" s="81" t="s">
        <v>23</v>
      </c>
      <c r="L2" s="90" t="s">
        <v>0</v>
      </c>
      <c r="M2" s="91" t="s">
        <v>117</v>
      </c>
      <c r="N2" s="92" t="s">
        <v>69</v>
      </c>
    </row>
    <row r="3" spans="1:14" x14ac:dyDescent="0.3">
      <c r="A3" s="179" t="s">
        <v>127</v>
      </c>
      <c r="B3" s="75">
        <v>2</v>
      </c>
      <c r="C3" s="74">
        <v>1</v>
      </c>
      <c r="D3" s="116">
        <f t="shared" ca="1" si="0"/>
        <v>20</v>
      </c>
      <c r="E3" s="74">
        <f t="shared" ca="1" si="1"/>
        <v>21</v>
      </c>
      <c r="F3" s="225" t="s">
        <v>156</v>
      </c>
      <c r="H3" s="82" t="s">
        <v>78</v>
      </c>
      <c r="I3" s="83">
        <v>12</v>
      </c>
      <c r="J3" s="84" t="s">
        <v>82</v>
      </c>
      <c r="L3" s="93" t="s">
        <v>122</v>
      </c>
      <c r="M3" s="75">
        <v>15</v>
      </c>
      <c r="N3" s="94" t="s">
        <v>150</v>
      </c>
    </row>
    <row r="4" spans="1:14" x14ac:dyDescent="0.3">
      <c r="A4" s="179" t="s">
        <v>123</v>
      </c>
      <c r="B4" s="75">
        <v>2</v>
      </c>
      <c r="C4" s="74">
        <v>7</v>
      </c>
      <c r="D4" s="116">
        <f t="shared" ca="1" si="0"/>
        <v>3</v>
      </c>
      <c r="E4" s="74">
        <f t="shared" ca="1" si="1"/>
        <v>10</v>
      </c>
      <c r="F4" s="74" t="s">
        <v>157</v>
      </c>
      <c r="H4" s="82" t="s">
        <v>80</v>
      </c>
      <c r="I4" s="85">
        <v>12</v>
      </c>
      <c r="J4" s="84" t="s">
        <v>83</v>
      </c>
      <c r="L4" s="93" t="s">
        <v>127</v>
      </c>
      <c r="M4" s="75">
        <v>14</v>
      </c>
      <c r="N4" s="94" t="s">
        <v>151</v>
      </c>
    </row>
    <row r="5" spans="1:14" x14ac:dyDescent="0.3">
      <c r="A5" s="73" t="s">
        <v>111</v>
      </c>
      <c r="B5" s="73">
        <v>1</v>
      </c>
      <c r="C5" s="74">
        <v>2</v>
      </c>
      <c r="D5" s="116">
        <f t="shared" ca="1" si="0"/>
        <v>17</v>
      </c>
      <c r="E5" s="74">
        <f t="shared" ref="E5" ca="1" si="2">SUM(C5:D5)</f>
        <v>19</v>
      </c>
      <c r="F5" s="74" t="s">
        <v>6</v>
      </c>
      <c r="H5" s="253" t="s">
        <v>111</v>
      </c>
      <c r="I5" s="73">
        <v>13</v>
      </c>
      <c r="J5" s="254" t="s">
        <v>205</v>
      </c>
      <c r="L5" s="93" t="s">
        <v>125</v>
      </c>
      <c r="M5" s="75">
        <v>14</v>
      </c>
      <c r="N5" s="94" t="s">
        <v>152</v>
      </c>
    </row>
    <row r="6" spans="1:14" x14ac:dyDescent="0.3">
      <c r="A6" s="85" t="s">
        <v>78</v>
      </c>
      <c r="B6" s="85">
        <v>1</v>
      </c>
      <c r="C6" s="74">
        <v>3</v>
      </c>
      <c r="D6" s="116">
        <f t="shared" ca="1" si="0"/>
        <v>2</v>
      </c>
      <c r="E6" s="74">
        <f t="shared" ca="1" si="1"/>
        <v>5</v>
      </c>
      <c r="F6" s="74" t="s">
        <v>6</v>
      </c>
      <c r="H6" s="82" t="s">
        <v>79</v>
      </c>
      <c r="I6" s="85">
        <v>12</v>
      </c>
      <c r="J6" s="84" t="s">
        <v>84</v>
      </c>
      <c r="L6" s="93" t="s">
        <v>126</v>
      </c>
      <c r="M6" s="75">
        <v>14</v>
      </c>
      <c r="N6" s="94" t="s">
        <v>153</v>
      </c>
    </row>
    <row r="7" spans="1:14" ht="16.2" thickBot="1" x14ac:dyDescent="0.35">
      <c r="A7" s="179" t="s">
        <v>154</v>
      </c>
      <c r="B7" s="75">
        <v>2</v>
      </c>
      <c r="C7" s="74">
        <v>4</v>
      </c>
      <c r="D7" s="116">
        <f t="shared" ca="1" si="0"/>
        <v>3</v>
      </c>
      <c r="E7" s="74">
        <f ca="1">SUM(C7:D7)</f>
        <v>7</v>
      </c>
      <c r="F7" s="74" t="s">
        <v>180</v>
      </c>
      <c r="H7" s="82" t="s">
        <v>93</v>
      </c>
      <c r="I7" s="85">
        <v>12</v>
      </c>
      <c r="J7" s="84" t="s">
        <v>96</v>
      </c>
      <c r="L7" s="262" t="s">
        <v>154</v>
      </c>
      <c r="M7" s="263">
        <v>13</v>
      </c>
      <c r="N7" s="264" t="s">
        <v>155</v>
      </c>
    </row>
    <row r="8" spans="1:14" x14ac:dyDescent="0.3">
      <c r="A8" s="179" t="s">
        <v>126</v>
      </c>
      <c r="B8" s="75">
        <v>2</v>
      </c>
      <c r="C8" s="74">
        <v>1</v>
      </c>
      <c r="D8" s="116">
        <f t="shared" ca="1" si="0"/>
        <v>15</v>
      </c>
      <c r="E8" s="74">
        <f ca="1">SUM(C8:D8)</f>
        <v>16</v>
      </c>
      <c r="F8" s="225" t="s">
        <v>115</v>
      </c>
      <c r="H8" s="82" t="s">
        <v>108</v>
      </c>
      <c r="I8" s="85">
        <v>12</v>
      </c>
      <c r="J8" s="84" t="s">
        <v>110</v>
      </c>
      <c r="L8" s="114" t="s">
        <v>25</v>
      </c>
      <c r="M8" s="167">
        <f>SUM(M3:M7)</f>
        <v>70</v>
      </c>
      <c r="N8" s="94"/>
    </row>
    <row r="9" spans="1:14" ht="16.2" thickBot="1" x14ac:dyDescent="0.35">
      <c r="A9" s="85" t="s">
        <v>80</v>
      </c>
      <c r="B9" s="85">
        <v>1</v>
      </c>
      <c r="C9" s="74">
        <v>4</v>
      </c>
      <c r="D9" s="116">
        <f t="shared" ca="1" si="0"/>
        <v>14</v>
      </c>
      <c r="E9" s="74">
        <f ca="1">SUM(C9:D9)</f>
        <v>18</v>
      </c>
      <c r="F9" s="74" t="s">
        <v>6</v>
      </c>
      <c r="H9" s="82" t="s">
        <v>109</v>
      </c>
      <c r="I9" s="85">
        <v>11</v>
      </c>
      <c r="J9" s="84" t="s">
        <v>114</v>
      </c>
      <c r="L9" s="114" t="s">
        <v>24</v>
      </c>
      <c r="M9" s="167">
        <f>AVERAGE(M3:M7)</f>
        <v>14</v>
      </c>
      <c r="N9" s="94"/>
    </row>
    <row r="10" spans="1:14" ht="16.2" thickBot="1" x14ac:dyDescent="0.35">
      <c r="H10" s="111" t="s">
        <v>24</v>
      </c>
      <c r="I10" s="86">
        <f>AVERAGE(I3:I9)</f>
        <v>12</v>
      </c>
      <c r="J10" s="87"/>
      <c r="L10" s="115" t="s">
        <v>26</v>
      </c>
      <c r="M10" s="106">
        <f>COUNT(M3:M7)</f>
        <v>5</v>
      </c>
      <c r="N10" s="95"/>
    </row>
    <row r="11" spans="1:14" ht="16.2" thickTop="1" x14ac:dyDescent="0.3">
      <c r="D11" s="116">
        <f ca="1">RANDBETWEEN(1,20)</f>
        <v>20</v>
      </c>
      <c r="H11" s="112" t="s">
        <v>25</v>
      </c>
      <c r="I11" s="88">
        <f>SUM(I3:I9)</f>
        <v>84</v>
      </c>
      <c r="J11" s="84"/>
    </row>
    <row r="12" spans="1:14" x14ac:dyDescent="0.3">
      <c r="H12" s="112" t="s">
        <v>26</v>
      </c>
      <c r="I12" s="88">
        <f>COUNT(I3:I9)</f>
        <v>7</v>
      </c>
      <c r="J12" s="166"/>
      <c r="L12" s="78" t="s">
        <v>32</v>
      </c>
      <c r="M12" s="109">
        <f>I13</f>
        <v>21</v>
      </c>
      <c r="N12" s="130"/>
    </row>
    <row r="13" spans="1:14" x14ac:dyDescent="0.3">
      <c r="A13" s="85" t="s">
        <v>109</v>
      </c>
      <c r="B13" s="85">
        <v>1</v>
      </c>
      <c r="C13" s="74">
        <v>8</v>
      </c>
      <c r="D13" s="116">
        <f t="shared" ref="D13" ca="1" si="3">RANDBETWEEN(1,20)</f>
        <v>14</v>
      </c>
      <c r="E13" s="74">
        <f ca="1">SUM(C13:D13)</f>
        <v>22</v>
      </c>
      <c r="F13" s="74" t="s">
        <v>115</v>
      </c>
      <c r="H13" s="112" t="s">
        <v>28</v>
      </c>
      <c r="I13" s="107">
        <f>I11/4</f>
        <v>21</v>
      </c>
      <c r="J13" s="84" t="s">
        <v>29</v>
      </c>
      <c r="L13" s="78" t="s">
        <v>33</v>
      </c>
      <c r="M13" s="109">
        <f>I14</f>
        <v>42</v>
      </c>
      <c r="N13" s="130"/>
    </row>
    <row r="14" spans="1:14" ht="16.2" thickBot="1" x14ac:dyDescent="0.35">
      <c r="A14" s="179" t="s">
        <v>125</v>
      </c>
      <c r="B14" s="75">
        <v>2</v>
      </c>
      <c r="C14" s="226">
        <v>3</v>
      </c>
      <c r="D14" s="116">
        <f ca="1">RANDBETWEEN(1,20)</f>
        <v>3</v>
      </c>
      <c r="E14" s="74">
        <f ca="1">SUM(C14:D14)</f>
        <v>6</v>
      </c>
      <c r="F14" s="225" t="s">
        <v>115</v>
      </c>
      <c r="H14" s="113" t="s">
        <v>30</v>
      </c>
      <c r="I14" s="108">
        <f>I13*2</f>
        <v>42</v>
      </c>
      <c r="J14" s="89" t="s">
        <v>31</v>
      </c>
      <c r="L14" s="78" t="s">
        <v>34</v>
      </c>
      <c r="M14" s="109">
        <f>I11</f>
        <v>84</v>
      </c>
      <c r="N14" s="130"/>
    </row>
    <row r="15" spans="1:14" ht="16.2" thickTop="1" x14ac:dyDescent="0.3">
      <c r="A15" s="85" t="s">
        <v>79</v>
      </c>
      <c r="B15" s="85">
        <v>1</v>
      </c>
      <c r="C15" s="74">
        <v>4</v>
      </c>
      <c r="D15" s="116">
        <f ca="1">RANDBETWEEN(1,20)</f>
        <v>15</v>
      </c>
      <c r="E15" s="74">
        <f ca="1">SUM(C15:D15)</f>
        <v>19</v>
      </c>
      <c r="F15" s="74" t="s">
        <v>6</v>
      </c>
      <c r="H15" s="130"/>
      <c r="I15" s="130"/>
      <c r="J15" s="130"/>
      <c r="N15" s="130"/>
    </row>
    <row r="16" spans="1:14" x14ac:dyDescent="0.3">
      <c r="A16" s="85" t="s">
        <v>93</v>
      </c>
      <c r="B16" s="85">
        <v>1</v>
      </c>
      <c r="C16" s="74">
        <v>0</v>
      </c>
      <c r="D16" s="116">
        <f ca="1">RANDBETWEEN(1,20)</f>
        <v>9</v>
      </c>
      <c r="E16" s="74">
        <f ca="1">SUM(C16:D16)</f>
        <v>9</v>
      </c>
      <c r="F16" s="74" t="s">
        <v>6</v>
      </c>
      <c r="L16" s="15" t="s">
        <v>35</v>
      </c>
      <c r="M16" s="109">
        <f>M8</f>
        <v>70</v>
      </c>
    </row>
    <row r="17" spans="1:6" x14ac:dyDescent="0.3">
      <c r="A17" s="85" t="s">
        <v>108</v>
      </c>
      <c r="B17" s="85">
        <v>1</v>
      </c>
      <c r="C17" s="74">
        <v>3</v>
      </c>
      <c r="D17" s="116">
        <f ca="1">RANDBETWEEN(1,20)</f>
        <v>12</v>
      </c>
      <c r="E17" s="74">
        <f ca="1">SUM(C17:D17)</f>
        <v>15</v>
      </c>
      <c r="F17" s="74" t="s">
        <v>6</v>
      </c>
    </row>
  </sheetData>
  <sortState ref="A2:F15">
    <sortCondition descending="1" ref="E2:E15"/>
    <sortCondition descending="1" ref="C2:C15"/>
  </sortState>
  <conditionalFormatting sqref="M16">
    <cfRule type="cellIs" dxfId="356" priority="1434" operator="greaterThan">
      <formula>$M$14</formula>
    </cfRule>
    <cfRule type="cellIs" dxfId="355" priority="1435" operator="between">
      <formula>$M$13</formula>
      <formula>$M$14</formula>
    </cfRule>
    <cfRule type="cellIs" dxfId="354" priority="1436" operator="between">
      <formula>$M$12</formula>
      <formula>$M$13</formula>
    </cfRule>
    <cfRule type="cellIs" dxfId="353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19921875" style="142" bestFit="1" customWidth="1"/>
    <col min="2" max="2" width="19.3984375" style="142" bestFit="1" customWidth="1"/>
    <col min="3" max="3" width="7.296875" style="142" bestFit="1" customWidth="1"/>
    <col min="4" max="4" width="3.59765625" style="142" bestFit="1" customWidth="1"/>
    <col min="5" max="5" width="8.5" style="142" bestFit="1" customWidth="1"/>
    <col min="6" max="6" width="9.796875" style="142" bestFit="1" customWidth="1"/>
    <col min="7" max="7" width="7.296875" style="189" bestFit="1" customWidth="1"/>
    <col min="8" max="8" width="7.8984375" style="189" customWidth="1"/>
    <col min="9" max="9" width="2.296875" style="142" customWidth="1"/>
    <col min="10" max="10" width="7.59765625" style="142" bestFit="1" customWidth="1"/>
    <col min="11" max="11" width="4.69921875" style="142" customWidth="1"/>
    <col min="12" max="16384" width="8.796875" style="142"/>
  </cols>
  <sheetData>
    <row r="1" spans="1:11" s="181" customFormat="1" ht="31.2" x14ac:dyDescent="0.3">
      <c r="A1" s="180" t="s">
        <v>97</v>
      </c>
      <c r="B1" s="197" t="s">
        <v>98</v>
      </c>
      <c r="C1" s="192" t="s">
        <v>99</v>
      </c>
      <c r="D1" s="196" t="s">
        <v>100</v>
      </c>
      <c r="E1" s="180" t="s">
        <v>101</v>
      </c>
      <c r="F1" s="180" t="s">
        <v>102</v>
      </c>
      <c r="G1" s="196" t="s">
        <v>103</v>
      </c>
      <c r="H1" s="196" t="s">
        <v>104</v>
      </c>
      <c r="J1" s="181" t="s">
        <v>105</v>
      </c>
      <c r="K1" s="182">
        <v>12</v>
      </c>
    </row>
    <row r="2" spans="1:11" ht="16.8" x14ac:dyDescent="0.3">
      <c r="A2" s="199" t="s">
        <v>78</v>
      </c>
      <c r="B2" s="193" t="s">
        <v>118</v>
      </c>
      <c r="C2" s="194">
        <v>5</v>
      </c>
      <c r="D2" s="183">
        <v>10</v>
      </c>
      <c r="E2" s="183">
        <f>D2*100</f>
        <v>1000</v>
      </c>
      <c r="F2" s="183">
        <f t="shared" ref="F2:F11" si="0">E2+C2</f>
        <v>1005</v>
      </c>
      <c r="G2" s="184" t="s">
        <v>168</v>
      </c>
      <c r="H2" s="185" t="str">
        <f t="shared" ref="H2:H11" si="1">IF(F2&lt;=$K$1,"þ","q")</f>
        <v>q</v>
      </c>
    </row>
    <row r="3" spans="1:11" ht="16.8" x14ac:dyDescent="0.3">
      <c r="A3" s="199" t="s">
        <v>78</v>
      </c>
      <c r="B3" s="193" t="s">
        <v>165</v>
      </c>
      <c r="C3" s="194">
        <v>6</v>
      </c>
      <c r="D3" s="183">
        <v>10</v>
      </c>
      <c r="E3" s="183">
        <f>D3*10</f>
        <v>100</v>
      </c>
      <c r="F3" s="183">
        <f t="shared" si="0"/>
        <v>106</v>
      </c>
      <c r="G3" s="184" t="s">
        <v>168</v>
      </c>
      <c r="H3" s="185" t="str">
        <f t="shared" si="1"/>
        <v>q</v>
      </c>
    </row>
    <row r="4" spans="1:11" ht="16.8" x14ac:dyDescent="0.3">
      <c r="A4" s="199" t="s">
        <v>78</v>
      </c>
      <c r="B4" s="193" t="s">
        <v>204</v>
      </c>
      <c r="C4" s="194">
        <v>12</v>
      </c>
      <c r="D4" s="183" t="s">
        <v>190</v>
      </c>
      <c r="E4" s="183">
        <v>7</v>
      </c>
      <c r="F4" s="183">
        <f t="shared" ref="F4" si="2">E4+C4</f>
        <v>19</v>
      </c>
      <c r="G4" s="184" t="s">
        <v>168</v>
      </c>
      <c r="H4" s="185" t="str">
        <f t="shared" ref="H4" si="3">IF(F4&lt;=$K$1,"þ","q")</f>
        <v>q</v>
      </c>
    </row>
    <row r="5" spans="1:11" ht="16.8" x14ac:dyDescent="0.3">
      <c r="A5" s="200" t="s">
        <v>80</v>
      </c>
      <c r="B5" s="193" t="s">
        <v>182</v>
      </c>
      <c r="C5" s="194">
        <v>6</v>
      </c>
      <c r="D5" s="183">
        <v>6</v>
      </c>
      <c r="E5" s="183">
        <f>D5</f>
        <v>6</v>
      </c>
      <c r="F5" s="183">
        <f t="shared" si="0"/>
        <v>12</v>
      </c>
      <c r="G5" s="184" t="s">
        <v>168</v>
      </c>
      <c r="H5" s="185" t="str">
        <f t="shared" si="1"/>
        <v>þ</v>
      </c>
    </row>
    <row r="6" spans="1:11" ht="16.8" x14ac:dyDescent="0.3">
      <c r="A6" s="200" t="s">
        <v>80</v>
      </c>
      <c r="B6" s="193" t="s">
        <v>189</v>
      </c>
      <c r="C6" s="194">
        <v>8</v>
      </c>
      <c r="D6" s="183" t="s">
        <v>190</v>
      </c>
      <c r="E6" s="183">
        <v>600</v>
      </c>
      <c r="F6" s="183">
        <f t="shared" si="0"/>
        <v>608</v>
      </c>
      <c r="G6" s="184" t="s">
        <v>168</v>
      </c>
      <c r="H6" s="185" t="str">
        <f t="shared" si="1"/>
        <v>q</v>
      </c>
    </row>
    <row r="7" spans="1:11" ht="16.8" x14ac:dyDescent="0.3">
      <c r="A7" s="201" t="s">
        <v>108</v>
      </c>
      <c r="B7" s="193" t="s">
        <v>119</v>
      </c>
      <c r="C7" s="194">
        <v>6</v>
      </c>
      <c r="D7" s="183">
        <v>14</v>
      </c>
      <c r="E7" s="183">
        <f>D7*10</f>
        <v>140</v>
      </c>
      <c r="F7" s="183">
        <f t="shared" si="0"/>
        <v>146</v>
      </c>
      <c r="G7" s="184" t="s">
        <v>168</v>
      </c>
      <c r="H7" s="185" t="str">
        <f t="shared" si="1"/>
        <v>q</v>
      </c>
    </row>
    <row r="8" spans="1:11" ht="16.8" x14ac:dyDescent="0.3">
      <c r="A8" s="201" t="s">
        <v>108</v>
      </c>
      <c r="B8" s="193" t="s">
        <v>181</v>
      </c>
      <c r="C8" s="194">
        <v>5</v>
      </c>
      <c r="D8" s="183">
        <v>14</v>
      </c>
      <c r="E8" s="183">
        <f>D8*600</f>
        <v>8400</v>
      </c>
      <c r="F8" s="183">
        <f t="shared" ref="F8" si="4">E8+C8</f>
        <v>8405</v>
      </c>
      <c r="G8" s="184" t="s">
        <v>168</v>
      </c>
      <c r="H8" s="185" t="str">
        <f t="shared" ref="H8" si="5">IF(F8&lt;=$K$1,"þ","q")</f>
        <v>q</v>
      </c>
    </row>
    <row r="9" spans="1:11" ht="16.8" x14ac:dyDescent="0.3">
      <c r="A9" s="201" t="s">
        <v>108</v>
      </c>
      <c r="B9" s="193" t="s">
        <v>166</v>
      </c>
      <c r="C9" s="194">
        <v>9</v>
      </c>
      <c r="D9" s="183">
        <v>14</v>
      </c>
      <c r="E9" s="183">
        <f>D9*10</f>
        <v>140</v>
      </c>
      <c r="F9" s="183">
        <f t="shared" ref="F9" si="6">E9+C9</f>
        <v>149</v>
      </c>
      <c r="G9" s="184" t="s">
        <v>168</v>
      </c>
      <c r="H9" s="185" t="str">
        <f t="shared" ref="H9" si="7">IF(F9&lt;=$K$1,"þ","q")</f>
        <v>q</v>
      </c>
    </row>
    <row r="10" spans="1:11" ht="16.8" x14ac:dyDescent="0.3">
      <c r="A10" s="202" t="s">
        <v>79</v>
      </c>
      <c r="B10" s="193" t="s">
        <v>118</v>
      </c>
      <c r="C10" s="194">
        <v>5</v>
      </c>
      <c r="D10" s="183">
        <v>12</v>
      </c>
      <c r="E10" s="183">
        <f>D10*100</f>
        <v>1200</v>
      </c>
      <c r="F10" s="183">
        <f t="shared" ref="F10" si="8">E10+C10</f>
        <v>1205</v>
      </c>
      <c r="G10" s="184" t="s">
        <v>168</v>
      </c>
      <c r="H10" s="185" t="str">
        <f t="shared" ref="H10" si="9">IF(F10&lt;=$K$1,"þ","q")</f>
        <v>q</v>
      </c>
    </row>
    <row r="11" spans="1:11" ht="16.8" x14ac:dyDescent="0.3">
      <c r="A11" s="228" t="s">
        <v>93</v>
      </c>
      <c r="B11" s="193" t="s">
        <v>162</v>
      </c>
      <c r="C11" s="194">
        <v>6</v>
      </c>
      <c r="D11" s="183">
        <v>6</v>
      </c>
      <c r="E11" s="183">
        <f>D11*10</f>
        <v>60</v>
      </c>
      <c r="F11" s="183">
        <f t="shared" si="0"/>
        <v>66</v>
      </c>
      <c r="G11" s="184" t="s">
        <v>168</v>
      </c>
      <c r="H11" s="185" t="str">
        <f t="shared" si="1"/>
        <v>q</v>
      </c>
    </row>
    <row r="12" spans="1:11" ht="16.8" x14ac:dyDescent="0.3">
      <c r="A12" s="206" t="s">
        <v>109</v>
      </c>
      <c r="B12" s="198" t="s">
        <v>182</v>
      </c>
      <c r="C12" s="195">
        <v>7</v>
      </c>
      <c r="D12" s="186">
        <v>14</v>
      </c>
      <c r="E12" s="186">
        <f>D12</f>
        <v>14</v>
      </c>
      <c r="F12" s="186">
        <f t="shared" ref="F12:F13" si="10">E12+C12</f>
        <v>21</v>
      </c>
      <c r="G12" s="187" t="s">
        <v>168</v>
      </c>
      <c r="H12" s="188" t="str">
        <f t="shared" ref="H12:H13" si="11">IF(F12&lt;=$K$1,"þ","q")</f>
        <v>q</v>
      </c>
    </row>
    <row r="13" spans="1:11" ht="16.8" x14ac:dyDescent="0.3">
      <c r="A13" s="255" t="s">
        <v>111</v>
      </c>
      <c r="B13" s="193" t="s">
        <v>198</v>
      </c>
      <c r="C13" s="194">
        <v>1</v>
      </c>
      <c r="D13" s="183">
        <v>12</v>
      </c>
      <c r="E13" s="183">
        <f>D13*10</f>
        <v>120</v>
      </c>
      <c r="F13" s="183">
        <f t="shared" si="10"/>
        <v>121</v>
      </c>
      <c r="G13" s="184" t="s">
        <v>168</v>
      </c>
      <c r="H13" s="185" t="str">
        <f t="shared" si="11"/>
        <v>q</v>
      </c>
    </row>
    <row r="15" spans="1:11" ht="31.2" x14ac:dyDescent="0.3">
      <c r="A15" s="232" t="s">
        <v>97</v>
      </c>
      <c r="B15" s="233" t="s">
        <v>98</v>
      </c>
      <c r="C15" s="234" t="s">
        <v>99</v>
      </c>
      <c r="D15" s="235" t="s">
        <v>100</v>
      </c>
      <c r="E15" s="236" t="s">
        <v>101</v>
      </c>
      <c r="F15" s="236" t="s">
        <v>102</v>
      </c>
      <c r="G15" s="235" t="s">
        <v>103</v>
      </c>
      <c r="H15" s="235" t="s">
        <v>104</v>
      </c>
    </row>
    <row r="16" spans="1:11" ht="16.8" x14ac:dyDescent="0.3">
      <c r="A16" s="246" t="s">
        <v>126</v>
      </c>
      <c r="B16" s="241" t="s">
        <v>172</v>
      </c>
      <c r="C16" s="242">
        <v>1</v>
      </c>
      <c r="D16" s="243">
        <v>10</v>
      </c>
      <c r="E16" s="243">
        <f>D16*10</f>
        <v>100</v>
      </c>
      <c r="F16" s="243">
        <f t="shared" ref="F16:F38" si="12">E16+C16</f>
        <v>101</v>
      </c>
      <c r="G16" s="244" t="s">
        <v>168</v>
      </c>
      <c r="H16" s="245" t="str">
        <f t="shared" ref="H16:H38" si="13">IF(F16&lt;=$K$1,"þ","q")</f>
        <v>q</v>
      </c>
    </row>
    <row r="17" spans="1:8" ht="16.8" x14ac:dyDescent="0.3">
      <c r="A17" s="231" t="s">
        <v>126</v>
      </c>
      <c r="B17" s="193" t="s">
        <v>173</v>
      </c>
      <c r="C17" s="194">
        <v>2</v>
      </c>
      <c r="D17" s="183">
        <v>10</v>
      </c>
      <c r="E17" s="183">
        <f>D17*10</f>
        <v>100</v>
      </c>
      <c r="F17" s="183">
        <f t="shared" si="12"/>
        <v>102</v>
      </c>
      <c r="G17" s="184" t="s">
        <v>168</v>
      </c>
      <c r="H17" s="185" t="str">
        <f t="shared" si="13"/>
        <v>q</v>
      </c>
    </row>
    <row r="18" spans="1:8" ht="16.8" x14ac:dyDescent="0.3">
      <c r="A18" s="231" t="s">
        <v>126</v>
      </c>
      <c r="B18" s="193" t="s">
        <v>171</v>
      </c>
      <c r="C18" s="194">
        <v>3</v>
      </c>
      <c r="D18" s="183">
        <v>12</v>
      </c>
      <c r="E18" s="183">
        <f>D18*10</f>
        <v>120</v>
      </c>
      <c r="F18" s="183">
        <f t="shared" si="12"/>
        <v>123</v>
      </c>
      <c r="G18" s="184" t="s">
        <v>168</v>
      </c>
      <c r="H18" s="185" t="str">
        <f t="shared" si="13"/>
        <v>q</v>
      </c>
    </row>
    <row r="19" spans="1:8" ht="16.8" x14ac:dyDescent="0.3">
      <c r="A19" s="231" t="s">
        <v>126</v>
      </c>
      <c r="B19" s="193" t="s">
        <v>162</v>
      </c>
      <c r="C19" s="194">
        <v>4</v>
      </c>
      <c r="D19" s="183">
        <v>12</v>
      </c>
      <c r="E19" s="183">
        <f>D19*10</f>
        <v>120</v>
      </c>
      <c r="F19" s="183">
        <f t="shared" si="12"/>
        <v>124</v>
      </c>
      <c r="G19" s="184" t="s">
        <v>168</v>
      </c>
      <c r="H19" s="185" t="str">
        <f t="shared" si="13"/>
        <v>q</v>
      </c>
    </row>
    <row r="20" spans="1:8" ht="16.8" x14ac:dyDescent="0.3">
      <c r="A20" s="231" t="s">
        <v>126</v>
      </c>
      <c r="B20" s="193" t="s">
        <v>197</v>
      </c>
      <c r="C20" s="194">
        <v>9</v>
      </c>
      <c r="D20" s="183">
        <v>12</v>
      </c>
      <c r="E20" s="183">
        <f>D20*10</f>
        <v>120</v>
      </c>
      <c r="F20" s="183">
        <f t="shared" ref="F20" si="14">E20+C20</f>
        <v>129</v>
      </c>
      <c r="G20" s="184" t="s">
        <v>168</v>
      </c>
      <c r="H20" s="185" t="str">
        <f t="shared" ref="H20" si="15">IF(F20&lt;=$K$1,"þ","q")</f>
        <v>q</v>
      </c>
    </row>
    <row r="21" spans="1:8" ht="16.8" x14ac:dyDescent="0.3">
      <c r="A21" s="231" t="s">
        <v>126</v>
      </c>
      <c r="B21" s="193" t="s">
        <v>200</v>
      </c>
      <c r="C21" s="194">
        <v>10</v>
      </c>
      <c r="D21" s="183">
        <v>12</v>
      </c>
      <c r="E21" s="183">
        <f>D21*100</f>
        <v>1200</v>
      </c>
      <c r="F21" s="183">
        <f t="shared" ref="F21" si="16">E21+C21</f>
        <v>1210</v>
      </c>
      <c r="G21" s="184" t="s">
        <v>168</v>
      </c>
      <c r="H21" s="185" t="str">
        <f t="shared" ref="H21" si="17">IF(F21&lt;=$K$1,"þ","q")</f>
        <v>q</v>
      </c>
    </row>
    <row r="22" spans="1:8" ht="16.8" x14ac:dyDescent="0.3">
      <c r="A22" s="203" t="s">
        <v>127</v>
      </c>
      <c r="B22" s="193" t="s">
        <v>118</v>
      </c>
      <c r="C22" s="194">
        <v>1</v>
      </c>
      <c r="D22" s="183">
        <v>10</v>
      </c>
      <c r="E22" s="183">
        <f>D22*100</f>
        <v>1000</v>
      </c>
      <c r="F22" s="183">
        <f t="shared" si="12"/>
        <v>1001</v>
      </c>
      <c r="G22" s="184" t="s">
        <v>168</v>
      </c>
      <c r="H22" s="185" t="str">
        <f t="shared" si="13"/>
        <v>q</v>
      </c>
    </row>
    <row r="23" spans="1:8" ht="16.8" x14ac:dyDescent="0.3">
      <c r="A23" s="203" t="s">
        <v>127</v>
      </c>
      <c r="B23" s="193" t="s">
        <v>164</v>
      </c>
      <c r="C23" s="194">
        <v>2</v>
      </c>
      <c r="D23" s="183">
        <v>10</v>
      </c>
      <c r="E23" s="183">
        <f>D23*10</f>
        <v>100</v>
      </c>
      <c r="F23" s="183">
        <f t="shared" si="12"/>
        <v>102</v>
      </c>
      <c r="G23" s="184" t="s">
        <v>168</v>
      </c>
      <c r="H23" s="185" t="str">
        <f t="shared" si="13"/>
        <v>q</v>
      </c>
    </row>
    <row r="24" spans="1:8" ht="16.8" x14ac:dyDescent="0.3">
      <c r="A24" s="203" t="s">
        <v>127</v>
      </c>
      <c r="B24" s="193" t="s">
        <v>165</v>
      </c>
      <c r="C24" s="194">
        <v>3</v>
      </c>
      <c r="D24" s="183">
        <v>10</v>
      </c>
      <c r="E24" s="183">
        <f>D24*10</f>
        <v>100</v>
      </c>
      <c r="F24" s="183">
        <f t="shared" si="12"/>
        <v>103</v>
      </c>
      <c r="G24" s="184" t="s">
        <v>168</v>
      </c>
      <c r="H24" s="185" t="str">
        <f t="shared" si="13"/>
        <v>q</v>
      </c>
    </row>
    <row r="25" spans="1:8" ht="16.8" x14ac:dyDescent="0.3">
      <c r="A25" s="203" t="s">
        <v>127</v>
      </c>
      <c r="B25" s="193" t="s">
        <v>163</v>
      </c>
      <c r="C25" s="194">
        <v>4</v>
      </c>
      <c r="D25" s="183">
        <v>10</v>
      </c>
      <c r="E25" s="183">
        <f>D25*10</f>
        <v>100</v>
      </c>
      <c r="F25" s="183">
        <f t="shared" si="12"/>
        <v>104</v>
      </c>
      <c r="G25" s="184" t="s">
        <v>168</v>
      </c>
      <c r="H25" s="185" t="str">
        <f t="shared" si="13"/>
        <v>q</v>
      </c>
    </row>
    <row r="26" spans="1:8" ht="16.8" x14ac:dyDescent="0.3">
      <c r="A26" s="229" t="s">
        <v>125</v>
      </c>
      <c r="B26" s="193" t="s">
        <v>169</v>
      </c>
      <c r="C26" s="194">
        <v>1</v>
      </c>
      <c r="D26" s="183">
        <v>12</v>
      </c>
      <c r="E26" s="183">
        <f>D26*600</f>
        <v>7200</v>
      </c>
      <c r="F26" s="183">
        <f t="shared" si="12"/>
        <v>7201</v>
      </c>
      <c r="G26" s="184" t="s">
        <v>168</v>
      </c>
      <c r="H26" s="185" t="str">
        <f t="shared" si="13"/>
        <v>q</v>
      </c>
    </row>
    <row r="27" spans="1:8" ht="16.8" x14ac:dyDescent="0.3">
      <c r="A27" s="229" t="s">
        <v>125</v>
      </c>
      <c r="B27" s="193" t="s">
        <v>167</v>
      </c>
      <c r="C27" s="194">
        <v>3</v>
      </c>
      <c r="D27" s="183">
        <v>12</v>
      </c>
      <c r="E27" s="183">
        <f>D27*10</f>
        <v>120</v>
      </c>
      <c r="F27" s="183">
        <f t="shared" si="12"/>
        <v>123</v>
      </c>
      <c r="G27" s="184" t="s">
        <v>168</v>
      </c>
      <c r="H27" s="185" t="str">
        <f t="shared" si="13"/>
        <v>q</v>
      </c>
    </row>
    <row r="28" spans="1:8" ht="16.8" x14ac:dyDescent="0.3">
      <c r="A28" s="229" t="s">
        <v>125</v>
      </c>
      <c r="B28" s="193" t="s">
        <v>164</v>
      </c>
      <c r="C28" s="194">
        <v>4</v>
      </c>
      <c r="D28" s="183">
        <v>12</v>
      </c>
      <c r="E28" s="183">
        <f>D28*10</f>
        <v>120</v>
      </c>
      <c r="F28" s="183">
        <f t="shared" si="12"/>
        <v>124</v>
      </c>
      <c r="G28" s="184" t="s">
        <v>168</v>
      </c>
      <c r="H28" s="185" t="str">
        <f t="shared" si="13"/>
        <v>q</v>
      </c>
    </row>
    <row r="29" spans="1:8" ht="16.8" x14ac:dyDescent="0.3">
      <c r="A29" s="229" t="s">
        <v>125</v>
      </c>
      <c r="B29" s="193" t="s">
        <v>120</v>
      </c>
      <c r="C29" s="194">
        <v>5</v>
      </c>
      <c r="D29" s="183">
        <v>12</v>
      </c>
      <c r="E29" s="183">
        <f>D29</f>
        <v>12</v>
      </c>
      <c r="F29" s="183">
        <f t="shared" si="12"/>
        <v>17</v>
      </c>
      <c r="G29" s="184" t="s">
        <v>168</v>
      </c>
      <c r="H29" s="185" t="str">
        <f t="shared" si="13"/>
        <v>q</v>
      </c>
    </row>
    <row r="30" spans="1:8" ht="16.8" x14ac:dyDescent="0.3">
      <c r="A30" s="227" t="s">
        <v>123</v>
      </c>
      <c r="B30" s="193" t="s">
        <v>170</v>
      </c>
      <c r="C30" s="194">
        <v>2</v>
      </c>
      <c r="D30" s="183">
        <v>13</v>
      </c>
      <c r="E30" s="183">
        <f>D30*600</f>
        <v>7800</v>
      </c>
      <c r="F30" s="183">
        <f t="shared" si="12"/>
        <v>7802</v>
      </c>
      <c r="G30" s="184" t="s">
        <v>168</v>
      </c>
      <c r="H30" s="185" t="str">
        <f t="shared" si="13"/>
        <v>q</v>
      </c>
    </row>
    <row r="31" spans="1:8" ht="16.8" x14ac:dyDescent="0.3">
      <c r="A31" s="230" t="s">
        <v>122</v>
      </c>
      <c r="B31" s="193" t="s">
        <v>166</v>
      </c>
      <c r="C31" s="194">
        <v>1</v>
      </c>
      <c r="D31" s="183">
        <v>7</v>
      </c>
      <c r="E31" s="183">
        <f>D31*10</f>
        <v>70</v>
      </c>
      <c r="F31" s="183">
        <f t="shared" si="12"/>
        <v>71</v>
      </c>
      <c r="G31" s="184" t="s">
        <v>168</v>
      </c>
      <c r="H31" s="185" t="str">
        <f t="shared" si="13"/>
        <v>q</v>
      </c>
    </row>
    <row r="32" spans="1:8" ht="16.8" x14ac:dyDescent="0.3">
      <c r="A32" s="230" t="s">
        <v>122</v>
      </c>
      <c r="B32" s="193" t="s">
        <v>164</v>
      </c>
      <c r="C32" s="194">
        <v>2</v>
      </c>
      <c r="D32" s="183">
        <v>12</v>
      </c>
      <c r="E32" s="183">
        <f>D32*10</f>
        <v>120</v>
      </c>
      <c r="F32" s="183">
        <f t="shared" si="12"/>
        <v>122</v>
      </c>
      <c r="G32" s="184" t="s">
        <v>168</v>
      </c>
      <c r="H32" s="185" t="str">
        <f t="shared" si="13"/>
        <v>q</v>
      </c>
    </row>
    <row r="33" spans="1:8" ht="16.8" x14ac:dyDescent="0.3">
      <c r="A33" s="230" t="s">
        <v>122</v>
      </c>
      <c r="B33" s="193" t="s">
        <v>169</v>
      </c>
      <c r="C33" s="194">
        <v>3</v>
      </c>
      <c r="D33" s="183">
        <v>13</v>
      </c>
      <c r="E33" s="183">
        <f>D33*600</f>
        <v>7800</v>
      </c>
      <c r="F33" s="183">
        <f t="shared" si="12"/>
        <v>7803</v>
      </c>
      <c r="G33" s="184" t="s">
        <v>168</v>
      </c>
      <c r="H33" s="185" t="str">
        <f t="shared" si="13"/>
        <v>q</v>
      </c>
    </row>
    <row r="34" spans="1:8" ht="16.8" x14ac:dyDescent="0.3">
      <c r="A34" s="230" t="s">
        <v>122</v>
      </c>
      <c r="B34" s="193" t="s">
        <v>163</v>
      </c>
      <c r="C34" s="194">
        <v>4</v>
      </c>
      <c r="D34" s="183">
        <v>12</v>
      </c>
      <c r="E34" s="183">
        <f>D34*10</f>
        <v>120</v>
      </c>
      <c r="F34" s="183">
        <f t="shared" si="12"/>
        <v>124</v>
      </c>
      <c r="G34" s="184" t="s">
        <v>168</v>
      </c>
      <c r="H34" s="185" t="str">
        <f t="shared" si="13"/>
        <v>q</v>
      </c>
    </row>
    <row r="35" spans="1:8" ht="16.8" x14ac:dyDescent="0.3">
      <c r="A35" s="230" t="s">
        <v>122</v>
      </c>
      <c r="B35" s="193" t="s">
        <v>167</v>
      </c>
      <c r="C35" s="194">
        <v>8</v>
      </c>
      <c r="D35" s="183">
        <v>12</v>
      </c>
      <c r="E35" s="183">
        <f>D35*10</f>
        <v>120</v>
      </c>
      <c r="F35" s="183">
        <f t="shared" ref="F35" si="18">E35+C35</f>
        <v>128</v>
      </c>
      <c r="G35" s="184" t="s">
        <v>168</v>
      </c>
      <c r="H35" s="185" t="str">
        <f t="shared" ref="H35" si="19">IF(F35&lt;=$K$1,"þ","q")</f>
        <v>q</v>
      </c>
    </row>
    <row r="36" spans="1:8" ht="16.8" x14ac:dyDescent="0.3">
      <c r="A36" s="230" t="s">
        <v>122</v>
      </c>
      <c r="B36" s="193" t="s">
        <v>191</v>
      </c>
      <c r="C36" s="194">
        <v>9</v>
      </c>
      <c r="D36" s="183">
        <v>12</v>
      </c>
      <c r="E36" s="183">
        <f>D36</f>
        <v>12</v>
      </c>
      <c r="F36" s="183">
        <f t="shared" ref="F36" si="20">E36+C36</f>
        <v>21</v>
      </c>
      <c r="G36" s="184" t="s">
        <v>168</v>
      </c>
      <c r="H36" s="185" t="str">
        <f t="shared" ref="H36" si="21">IF(F36&lt;=$K$1,"þ","q")</f>
        <v>q</v>
      </c>
    </row>
    <row r="37" spans="1:8" ht="16.8" x14ac:dyDescent="0.3">
      <c r="A37" s="204" t="s">
        <v>154</v>
      </c>
      <c r="B37" s="193" t="s">
        <v>175</v>
      </c>
      <c r="C37" s="194">
        <v>1</v>
      </c>
      <c r="D37" s="183">
        <v>10</v>
      </c>
      <c r="E37" s="183">
        <f>D37*10</f>
        <v>100</v>
      </c>
      <c r="F37" s="183">
        <f t="shared" si="12"/>
        <v>101</v>
      </c>
      <c r="G37" s="184" t="s">
        <v>168</v>
      </c>
      <c r="H37" s="185" t="str">
        <f t="shared" si="13"/>
        <v>q</v>
      </c>
    </row>
    <row r="38" spans="1:8" ht="16.8" x14ac:dyDescent="0.3">
      <c r="A38" s="205" t="s">
        <v>154</v>
      </c>
      <c r="B38" s="198" t="s">
        <v>164</v>
      </c>
      <c r="C38" s="195">
        <v>2</v>
      </c>
      <c r="D38" s="186">
        <v>10</v>
      </c>
      <c r="E38" s="186">
        <f>D38*10</f>
        <v>100</v>
      </c>
      <c r="F38" s="186">
        <f t="shared" si="12"/>
        <v>102</v>
      </c>
      <c r="G38" s="187" t="s">
        <v>168</v>
      </c>
      <c r="H38" s="188" t="str">
        <f t="shared" si="13"/>
        <v>q</v>
      </c>
    </row>
    <row r="39" spans="1:8" x14ac:dyDescent="0.3">
      <c r="G39" s="142"/>
      <c r="H39" s="142"/>
    </row>
    <row r="40" spans="1:8" ht="16.8" x14ac:dyDescent="0.3">
      <c r="A40" s="237" t="s">
        <v>149</v>
      </c>
      <c r="B40" s="193"/>
      <c r="C40" s="194">
        <v>1</v>
      </c>
      <c r="D40" s="183"/>
      <c r="E40" s="183">
        <f>D40*10</f>
        <v>0</v>
      </c>
      <c r="F40" s="183">
        <f t="shared" ref="F40:F41" si="22">E40+C40</f>
        <v>1</v>
      </c>
      <c r="G40" s="184" t="s">
        <v>106</v>
      </c>
      <c r="H40" s="185" t="str">
        <f t="shared" ref="H40:H41" si="23">IF(F40&lt;=$K$1,"þ","q")</f>
        <v>þ</v>
      </c>
    </row>
    <row r="41" spans="1:8" ht="16.8" x14ac:dyDescent="0.3">
      <c r="A41" s="238" t="s">
        <v>149</v>
      </c>
      <c r="B41" s="198"/>
      <c r="C41" s="195"/>
      <c r="D41" s="186"/>
      <c r="E41" s="186">
        <f t="shared" ref="E41" si="24">D41</f>
        <v>0</v>
      </c>
      <c r="F41" s="186">
        <f t="shared" si="22"/>
        <v>0</v>
      </c>
      <c r="G41" s="187" t="s">
        <v>106</v>
      </c>
      <c r="H41" s="188" t="str">
        <f t="shared" si="23"/>
        <v>þ</v>
      </c>
    </row>
  </sheetData>
  <sortState ref="A20:H39">
    <sortCondition ref="A20:A39"/>
    <sortCondition ref="C20:C39"/>
  </sortState>
  <conditionalFormatting sqref="G2:H3 G10:H11 G5:H8">
    <cfRule type="cellIs" dxfId="352" priority="451" stopIfTrue="1" operator="equal">
      <formula>"þ"</formula>
    </cfRule>
  </conditionalFormatting>
  <conditionalFormatting sqref="F2:F3 E16:E19 E22:E32 F10:F11 F5:F8">
    <cfRule type="cellIs" dxfId="351" priority="449" operator="lessThan">
      <formula>$K$1</formula>
    </cfRule>
  </conditionalFormatting>
  <conditionalFormatting sqref="G14:H14">
    <cfRule type="cellIs" dxfId="350" priority="389" stopIfTrue="1" operator="equal">
      <formula>"þ"</formula>
    </cfRule>
  </conditionalFormatting>
  <conditionalFormatting sqref="G15">
    <cfRule type="cellIs" dxfId="349" priority="377" stopIfTrue="1" operator="equal">
      <formula>"þ"</formula>
    </cfRule>
  </conditionalFormatting>
  <conditionalFormatting sqref="F15">
    <cfRule type="cellIs" dxfId="348" priority="387" operator="lessThan">
      <formula>$K$1</formula>
    </cfRule>
  </conditionalFormatting>
  <conditionalFormatting sqref="H15">
    <cfRule type="cellIs" dxfId="347" priority="386" stopIfTrue="1" operator="equal">
      <formula>"þ"</formula>
    </cfRule>
  </conditionalFormatting>
  <conditionalFormatting sqref="H15">
    <cfRule type="cellIs" dxfId="346" priority="385" stopIfTrue="1" operator="equal">
      <formula>"þ"</formula>
    </cfRule>
  </conditionalFormatting>
  <conditionalFormatting sqref="F15">
    <cfRule type="cellIs" dxfId="345" priority="384" operator="lessThan">
      <formula>$K$1</formula>
    </cfRule>
  </conditionalFormatting>
  <conditionalFormatting sqref="H15">
    <cfRule type="cellIs" dxfId="344" priority="383" stopIfTrue="1" operator="equal">
      <formula>"þ"</formula>
    </cfRule>
  </conditionalFormatting>
  <conditionalFormatting sqref="H15">
    <cfRule type="cellIs" dxfId="343" priority="382" stopIfTrue="1" operator="equal">
      <formula>"þ"</formula>
    </cfRule>
  </conditionalFormatting>
  <conditionalFormatting sqref="F15">
    <cfRule type="cellIs" dxfId="342" priority="381" operator="lessThan">
      <formula>$K$1</formula>
    </cfRule>
  </conditionalFormatting>
  <conditionalFormatting sqref="H15">
    <cfRule type="cellIs" dxfId="341" priority="380" stopIfTrue="1" operator="equal">
      <formula>"þ"</formula>
    </cfRule>
  </conditionalFormatting>
  <conditionalFormatting sqref="H15">
    <cfRule type="cellIs" dxfId="340" priority="379" stopIfTrue="1" operator="equal">
      <formula>"þ"</formula>
    </cfRule>
  </conditionalFormatting>
  <conditionalFormatting sqref="F15">
    <cfRule type="cellIs" dxfId="339" priority="378" operator="lessThan">
      <formula>$K$1</formula>
    </cfRule>
  </conditionalFormatting>
  <conditionalFormatting sqref="E15">
    <cfRule type="cellIs" dxfId="338" priority="376" operator="lessThan">
      <formula>$K$1</formula>
    </cfRule>
  </conditionalFormatting>
  <conditionalFormatting sqref="E15">
    <cfRule type="cellIs" dxfId="337" priority="375" operator="lessThan">
      <formula>$K$1</formula>
    </cfRule>
  </conditionalFormatting>
  <conditionalFormatting sqref="E15">
    <cfRule type="cellIs" dxfId="336" priority="374" operator="lessThan">
      <formula>$K$1</formula>
    </cfRule>
  </conditionalFormatting>
  <conditionalFormatting sqref="E15">
    <cfRule type="cellIs" dxfId="335" priority="373" operator="lessThan">
      <formula>$K$1</formula>
    </cfRule>
  </conditionalFormatting>
  <conditionalFormatting sqref="G16:H18">
    <cfRule type="cellIs" dxfId="334" priority="372" stopIfTrue="1" operator="equal">
      <formula>"þ"</formula>
    </cfRule>
  </conditionalFormatting>
  <conditionalFormatting sqref="F16:F18">
    <cfRule type="cellIs" dxfId="333" priority="371" operator="lessThan">
      <formula>$K$1</formula>
    </cfRule>
  </conditionalFormatting>
  <conditionalFormatting sqref="G19">
    <cfRule type="cellIs" dxfId="332" priority="360" stopIfTrue="1" operator="equal">
      <formula>"þ"</formula>
    </cfRule>
  </conditionalFormatting>
  <conditionalFormatting sqref="F19">
    <cfRule type="cellIs" dxfId="331" priority="370" operator="lessThan">
      <formula>$K$1</formula>
    </cfRule>
  </conditionalFormatting>
  <conditionalFormatting sqref="H19">
    <cfRule type="cellIs" dxfId="330" priority="369" stopIfTrue="1" operator="equal">
      <formula>"þ"</formula>
    </cfRule>
  </conditionalFormatting>
  <conditionalFormatting sqref="H19">
    <cfRule type="cellIs" dxfId="329" priority="368" stopIfTrue="1" operator="equal">
      <formula>"þ"</formula>
    </cfRule>
  </conditionalFormatting>
  <conditionalFormatting sqref="F19">
    <cfRule type="cellIs" dxfId="328" priority="367" operator="lessThan">
      <formula>$K$1</formula>
    </cfRule>
  </conditionalFormatting>
  <conditionalFormatting sqref="H19">
    <cfRule type="cellIs" dxfId="327" priority="366" stopIfTrue="1" operator="equal">
      <formula>"þ"</formula>
    </cfRule>
  </conditionalFormatting>
  <conditionalFormatting sqref="H19">
    <cfRule type="cellIs" dxfId="326" priority="365" stopIfTrue="1" operator="equal">
      <formula>"þ"</formula>
    </cfRule>
  </conditionalFormatting>
  <conditionalFormatting sqref="F19">
    <cfRule type="cellIs" dxfId="325" priority="364" operator="lessThan">
      <formula>$K$1</formula>
    </cfRule>
  </conditionalFormatting>
  <conditionalFormatting sqref="H19">
    <cfRule type="cellIs" dxfId="324" priority="363" stopIfTrue="1" operator="equal">
      <formula>"þ"</formula>
    </cfRule>
  </conditionalFormatting>
  <conditionalFormatting sqref="H19">
    <cfRule type="cellIs" dxfId="323" priority="362" stopIfTrue="1" operator="equal">
      <formula>"þ"</formula>
    </cfRule>
  </conditionalFormatting>
  <conditionalFormatting sqref="F19">
    <cfRule type="cellIs" dxfId="322" priority="361" operator="lessThan">
      <formula>$K$1</formula>
    </cfRule>
  </conditionalFormatting>
  <conditionalFormatting sqref="E19">
    <cfRule type="cellIs" dxfId="321" priority="359" operator="lessThan">
      <formula>$K$1</formula>
    </cfRule>
  </conditionalFormatting>
  <conditionalFormatting sqref="G22:H22">
    <cfRule type="cellIs" dxfId="320" priority="349" stopIfTrue="1" operator="equal">
      <formula>"þ"</formula>
    </cfRule>
  </conditionalFormatting>
  <conditionalFormatting sqref="F22">
    <cfRule type="cellIs" dxfId="319" priority="348" operator="lessThan">
      <formula>$K$1</formula>
    </cfRule>
  </conditionalFormatting>
  <conditionalFormatting sqref="G23">
    <cfRule type="cellIs" dxfId="318" priority="337" stopIfTrue="1" operator="equal">
      <formula>"þ"</formula>
    </cfRule>
  </conditionalFormatting>
  <conditionalFormatting sqref="F23">
    <cfRule type="cellIs" dxfId="317" priority="347" operator="lessThan">
      <formula>$K$1</formula>
    </cfRule>
  </conditionalFormatting>
  <conditionalFormatting sqref="H23">
    <cfRule type="cellIs" dxfId="316" priority="346" stopIfTrue="1" operator="equal">
      <formula>"þ"</formula>
    </cfRule>
  </conditionalFormatting>
  <conditionalFormatting sqref="H23">
    <cfRule type="cellIs" dxfId="315" priority="345" stopIfTrue="1" operator="equal">
      <formula>"þ"</formula>
    </cfRule>
  </conditionalFormatting>
  <conditionalFormatting sqref="F23">
    <cfRule type="cellIs" dxfId="314" priority="344" operator="lessThan">
      <formula>$K$1</formula>
    </cfRule>
  </conditionalFormatting>
  <conditionalFormatting sqref="H23">
    <cfRule type="cellIs" dxfId="313" priority="343" stopIfTrue="1" operator="equal">
      <formula>"þ"</formula>
    </cfRule>
  </conditionalFormatting>
  <conditionalFormatting sqref="H23">
    <cfRule type="cellIs" dxfId="312" priority="342" stopIfTrue="1" operator="equal">
      <formula>"þ"</formula>
    </cfRule>
  </conditionalFormatting>
  <conditionalFormatting sqref="F23">
    <cfRule type="cellIs" dxfId="311" priority="341" operator="lessThan">
      <formula>$K$1</formula>
    </cfRule>
  </conditionalFormatting>
  <conditionalFormatting sqref="H23">
    <cfRule type="cellIs" dxfId="310" priority="340" stopIfTrue="1" operator="equal">
      <formula>"þ"</formula>
    </cfRule>
  </conditionalFormatting>
  <conditionalFormatting sqref="H23">
    <cfRule type="cellIs" dxfId="309" priority="339" stopIfTrue="1" operator="equal">
      <formula>"þ"</formula>
    </cfRule>
  </conditionalFormatting>
  <conditionalFormatting sqref="F23">
    <cfRule type="cellIs" dxfId="308" priority="338" operator="lessThan">
      <formula>$K$1</formula>
    </cfRule>
  </conditionalFormatting>
  <conditionalFormatting sqref="E23">
    <cfRule type="cellIs" dxfId="307" priority="336" operator="lessThan">
      <formula>$K$1</formula>
    </cfRule>
  </conditionalFormatting>
  <conditionalFormatting sqref="E23">
    <cfRule type="cellIs" dxfId="306" priority="335" operator="lessThan">
      <formula>$K$1</formula>
    </cfRule>
  </conditionalFormatting>
  <conditionalFormatting sqref="E23">
    <cfRule type="cellIs" dxfId="305" priority="334" operator="lessThan">
      <formula>$K$1</formula>
    </cfRule>
  </conditionalFormatting>
  <conditionalFormatting sqref="E23">
    <cfRule type="cellIs" dxfId="304" priority="333" operator="lessThan">
      <formula>$K$1</formula>
    </cfRule>
  </conditionalFormatting>
  <conditionalFormatting sqref="G24:H26">
    <cfRule type="cellIs" dxfId="303" priority="332" stopIfTrue="1" operator="equal">
      <formula>"þ"</formula>
    </cfRule>
  </conditionalFormatting>
  <conditionalFormatting sqref="F24:F26">
    <cfRule type="cellIs" dxfId="302" priority="331" operator="lessThan">
      <formula>$K$1</formula>
    </cfRule>
  </conditionalFormatting>
  <conditionalFormatting sqref="G27">
    <cfRule type="cellIs" dxfId="301" priority="320" stopIfTrue="1" operator="equal">
      <formula>"þ"</formula>
    </cfRule>
  </conditionalFormatting>
  <conditionalFormatting sqref="F27">
    <cfRule type="cellIs" dxfId="300" priority="330" operator="lessThan">
      <formula>$K$1</formula>
    </cfRule>
  </conditionalFormatting>
  <conditionalFormatting sqref="H27">
    <cfRule type="cellIs" dxfId="299" priority="329" stopIfTrue="1" operator="equal">
      <formula>"þ"</formula>
    </cfRule>
  </conditionalFormatting>
  <conditionalFormatting sqref="H27">
    <cfRule type="cellIs" dxfId="298" priority="328" stopIfTrue="1" operator="equal">
      <formula>"þ"</formula>
    </cfRule>
  </conditionalFormatting>
  <conditionalFormatting sqref="F27">
    <cfRule type="cellIs" dxfId="297" priority="327" operator="lessThan">
      <formula>$K$1</formula>
    </cfRule>
  </conditionalFormatting>
  <conditionalFormatting sqref="H27">
    <cfRule type="cellIs" dxfId="296" priority="326" stopIfTrue="1" operator="equal">
      <formula>"þ"</formula>
    </cfRule>
  </conditionalFormatting>
  <conditionalFormatting sqref="H27">
    <cfRule type="cellIs" dxfId="295" priority="325" stopIfTrue="1" operator="equal">
      <formula>"þ"</formula>
    </cfRule>
  </conditionalFormatting>
  <conditionalFormatting sqref="F27">
    <cfRule type="cellIs" dxfId="294" priority="324" operator="lessThan">
      <formula>$K$1</formula>
    </cfRule>
  </conditionalFormatting>
  <conditionalFormatting sqref="H27">
    <cfRule type="cellIs" dxfId="293" priority="323" stopIfTrue="1" operator="equal">
      <formula>"þ"</formula>
    </cfRule>
  </conditionalFormatting>
  <conditionalFormatting sqref="H27">
    <cfRule type="cellIs" dxfId="292" priority="322" stopIfTrue="1" operator="equal">
      <formula>"þ"</formula>
    </cfRule>
  </conditionalFormatting>
  <conditionalFormatting sqref="F27">
    <cfRule type="cellIs" dxfId="291" priority="321" operator="lessThan">
      <formula>$K$1</formula>
    </cfRule>
  </conditionalFormatting>
  <conditionalFormatting sqref="E27">
    <cfRule type="cellIs" dxfId="290" priority="319" operator="lessThan">
      <formula>$K$1</formula>
    </cfRule>
  </conditionalFormatting>
  <conditionalFormatting sqref="E27">
    <cfRule type="cellIs" dxfId="289" priority="318" operator="lessThan">
      <formula>$K$1</formula>
    </cfRule>
  </conditionalFormatting>
  <conditionalFormatting sqref="E27">
    <cfRule type="cellIs" dxfId="288" priority="317" operator="lessThan">
      <formula>$K$1</formula>
    </cfRule>
  </conditionalFormatting>
  <conditionalFormatting sqref="E27">
    <cfRule type="cellIs" dxfId="287" priority="316" operator="lessThan">
      <formula>$K$1</formula>
    </cfRule>
  </conditionalFormatting>
  <conditionalFormatting sqref="F11">
    <cfRule type="cellIs" dxfId="286" priority="312" operator="lessThan">
      <formula>$K$1</formula>
    </cfRule>
  </conditionalFormatting>
  <conditionalFormatting sqref="H11">
    <cfRule type="cellIs" dxfId="285" priority="311" stopIfTrue="1" operator="equal">
      <formula>"þ"</formula>
    </cfRule>
  </conditionalFormatting>
  <conditionalFormatting sqref="H11">
    <cfRule type="cellIs" dxfId="284" priority="310" stopIfTrue="1" operator="equal">
      <formula>"þ"</formula>
    </cfRule>
  </conditionalFormatting>
  <conditionalFormatting sqref="F11">
    <cfRule type="cellIs" dxfId="283" priority="309" operator="lessThan">
      <formula>$K$1</formula>
    </cfRule>
  </conditionalFormatting>
  <conditionalFormatting sqref="H11">
    <cfRule type="cellIs" dxfId="282" priority="308" stopIfTrue="1" operator="equal">
      <formula>"þ"</formula>
    </cfRule>
  </conditionalFormatting>
  <conditionalFormatting sqref="H11">
    <cfRule type="cellIs" dxfId="281" priority="307" stopIfTrue="1" operator="equal">
      <formula>"þ"</formula>
    </cfRule>
  </conditionalFormatting>
  <conditionalFormatting sqref="F11">
    <cfRule type="cellIs" dxfId="280" priority="306" operator="lessThan">
      <formula>$K$1</formula>
    </cfRule>
  </conditionalFormatting>
  <conditionalFormatting sqref="H11">
    <cfRule type="cellIs" dxfId="279" priority="305" stopIfTrue="1" operator="equal">
      <formula>"þ"</formula>
    </cfRule>
  </conditionalFormatting>
  <conditionalFormatting sqref="H11">
    <cfRule type="cellIs" dxfId="278" priority="304" stopIfTrue="1" operator="equal">
      <formula>"þ"</formula>
    </cfRule>
  </conditionalFormatting>
  <conditionalFormatting sqref="F11">
    <cfRule type="cellIs" dxfId="277" priority="303" operator="lessThan">
      <formula>$K$1</formula>
    </cfRule>
  </conditionalFormatting>
  <conditionalFormatting sqref="G11">
    <cfRule type="cellIs" dxfId="276" priority="302" stopIfTrue="1" operator="equal">
      <formula>"þ"</formula>
    </cfRule>
  </conditionalFormatting>
  <conditionalFormatting sqref="G12">
    <cfRule type="cellIs" dxfId="275" priority="280" stopIfTrue="1" operator="equal">
      <formula>"þ"</formula>
    </cfRule>
  </conditionalFormatting>
  <conditionalFormatting sqref="F12">
    <cfRule type="cellIs" dxfId="274" priority="290" operator="lessThan">
      <formula>$K$1</formula>
    </cfRule>
  </conditionalFormatting>
  <conditionalFormatting sqref="H12">
    <cfRule type="cellIs" dxfId="273" priority="289" stopIfTrue="1" operator="equal">
      <formula>"þ"</formula>
    </cfRule>
  </conditionalFormatting>
  <conditionalFormatting sqref="H12">
    <cfRule type="cellIs" dxfId="272" priority="288" stopIfTrue="1" operator="equal">
      <formula>"þ"</formula>
    </cfRule>
  </conditionalFormatting>
  <conditionalFormatting sqref="F12">
    <cfRule type="cellIs" dxfId="271" priority="287" operator="lessThan">
      <formula>$K$1</formula>
    </cfRule>
  </conditionalFormatting>
  <conditionalFormatting sqref="H12">
    <cfRule type="cellIs" dxfId="270" priority="286" stopIfTrue="1" operator="equal">
      <formula>"þ"</formula>
    </cfRule>
  </conditionalFormatting>
  <conditionalFormatting sqref="H12">
    <cfRule type="cellIs" dxfId="269" priority="285" stopIfTrue="1" operator="equal">
      <formula>"þ"</formula>
    </cfRule>
  </conditionalFormatting>
  <conditionalFormatting sqref="F12">
    <cfRule type="cellIs" dxfId="268" priority="284" operator="lessThan">
      <formula>$K$1</formula>
    </cfRule>
  </conditionalFormatting>
  <conditionalFormatting sqref="H12">
    <cfRule type="cellIs" dxfId="267" priority="283" stopIfTrue="1" operator="equal">
      <formula>"þ"</formula>
    </cfRule>
  </conditionalFormatting>
  <conditionalFormatting sqref="H12">
    <cfRule type="cellIs" dxfId="266" priority="282" stopIfTrue="1" operator="equal">
      <formula>"þ"</formula>
    </cfRule>
  </conditionalFormatting>
  <conditionalFormatting sqref="F12">
    <cfRule type="cellIs" dxfId="265" priority="281" operator="lessThan">
      <formula>$K$1</formula>
    </cfRule>
  </conditionalFormatting>
  <conditionalFormatting sqref="G16:H18">
    <cfRule type="cellIs" dxfId="264" priority="275" stopIfTrue="1" operator="equal">
      <formula>"þ"</formula>
    </cfRule>
  </conditionalFormatting>
  <conditionalFormatting sqref="F16:F18">
    <cfRule type="cellIs" dxfId="263" priority="274" operator="lessThan">
      <formula>$K$1</formula>
    </cfRule>
  </conditionalFormatting>
  <conditionalFormatting sqref="G19">
    <cfRule type="cellIs" dxfId="262" priority="263" stopIfTrue="1" operator="equal">
      <formula>"þ"</formula>
    </cfRule>
  </conditionalFormatting>
  <conditionalFormatting sqref="F19">
    <cfRule type="cellIs" dxfId="261" priority="273" operator="lessThan">
      <formula>$K$1</formula>
    </cfRule>
  </conditionalFormatting>
  <conditionalFormatting sqref="H19">
    <cfRule type="cellIs" dxfId="260" priority="272" stopIfTrue="1" operator="equal">
      <formula>"þ"</formula>
    </cfRule>
  </conditionalFormatting>
  <conditionalFormatting sqref="H19">
    <cfRule type="cellIs" dxfId="259" priority="271" stopIfTrue="1" operator="equal">
      <formula>"þ"</formula>
    </cfRule>
  </conditionalFormatting>
  <conditionalFormatting sqref="F19">
    <cfRule type="cellIs" dxfId="258" priority="270" operator="lessThan">
      <formula>$K$1</formula>
    </cfRule>
  </conditionalFormatting>
  <conditionalFormatting sqref="H19">
    <cfRule type="cellIs" dxfId="257" priority="269" stopIfTrue="1" operator="equal">
      <formula>"þ"</formula>
    </cfRule>
  </conditionalFormatting>
  <conditionalFormatting sqref="H19">
    <cfRule type="cellIs" dxfId="256" priority="268" stopIfTrue="1" operator="equal">
      <formula>"þ"</formula>
    </cfRule>
  </conditionalFormatting>
  <conditionalFormatting sqref="F19">
    <cfRule type="cellIs" dxfId="255" priority="267" operator="lessThan">
      <formula>$K$1</formula>
    </cfRule>
  </conditionalFormatting>
  <conditionalFormatting sqref="H19">
    <cfRule type="cellIs" dxfId="254" priority="266" stopIfTrue="1" operator="equal">
      <formula>"þ"</formula>
    </cfRule>
  </conditionalFormatting>
  <conditionalFormatting sqref="H19">
    <cfRule type="cellIs" dxfId="253" priority="265" stopIfTrue="1" operator="equal">
      <formula>"þ"</formula>
    </cfRule>
  </conditionalFormatting>
  <conditionalFormatting sqref="F19">
    <cfRule type="cellIs" dxfId="252" priority="264" operator="lessThan">
      <formula>$K$1</formula>
    </cfRule>
  </conditionalFormatting>
  <conditionalFormatting sqref="G22:H22">
    <cfRule type="cellIs" dxfId="251" priority="258" stopIfTrue="1" operator="equal">
      <formula>"þ"</formula>
    </cfRule>
  </conditionalFormatting>
  <conditionalFormatting sqref="F22">
    <cfRule type="cellIs" dxfId="250" priority="257" operator="lessThan">
      <formula>$K$1</formula>
    </cfRule>
  </conditionalFormatting>
  <conditionalFormatting sqref="G23">
    <cfRule type="cellIs" dxfId="249" priority="246" stopIfTrue="1" operator="equal">
      <formula>"þ"</formula>
    </cfRule>
  </conditionalFormatting>
  <conditionalFormatting sqref="F23">
    <cfRule type="cellIs" dxfId="248" priority="256" operator="lessThan">
      <formula>$K$1</formula>
    </cfRule>
  </conditionalFormatting>
  <conditionalFormatting sqref="H23">
    <cfRule type="cellIs" dxfId="247" priority="255" stopIfTrue="1" operator="equal">
      <formula>"þ"</formula>
    </cfRule>
  </conditionalFormatting>
  <conditionalFormatting sqref="H23">
    <cfRule type="cellIs" dxfId="246" priority="254" stopIfTrue="1" operator="equal">
      <formula>"þ"</formula>
    </cfRule>
  </conditionalFormatting>
  <conditionalFormatting sqref="F23">
    <cfRule type="cellIs" dxfId="245" priority="253" operator="lessThan">
      <formula>$K$1</formula>
    </cfRule>
  </conditionalFormatting>
  <conditionalFormatting sqref="H23">
    <cfRule type="cellIs" dxfId="244" priority="252" stopIfTrue="1" operator="equal">
      <formula>"þ"</formula>
    </cfRule>
  </conditionalFormatting>
  <conditionalFormatting sqref="H23">
    <cfRule type="cellIs" dxfId="243" priority="251" stopIfTrue="1" operator="equal">
      <formula>"þ"</formula>
    </cfRule>
  </conditionalFormatting>
  <conditionalFormatting sqref="F23">
    <cfRule type="cellIs" dxfId="242" priority="250" operator="lessThan">
      <formula>$K$1</formula>
    </cfRule>
  </conditionalFormatting>
  <conditionalFormatting sqref="H23">
    <cfRule type="cellIs" dxfId="241" priority="249" stopIfTrue="1" operator="equal">
      <formula>"þ"</formula>
    </cfRule>
  </conditionalFormatting>
  <conditionalFormatting sqref="H23">
    <cfRule type="cellIs" dxfId="240" priority="248" stopIfTrue="1" operator="equal">
      <formula>"þ"</formula>
    </cfRule>
  </conditionalFormatting>
  <conditionalFormatting sqref="F23">
    <cfRule type="cellIs" dxfId="239" priority="247" operator="lessThan">
      <formula>$K$1</formula>
    </cfRule>
  </conditionalFormatting>
  <conditionalFormatting sqref="E23">
    <cfRule type="cellIs" dxfId="238" priority="245" operator="lessThan">
      <formula>$K$1</formula>
    </cfRule>
  </conditionalFormatting>
  <conditionalFormatting sqref="E23">
    <cfRule type="cellIs" dxfId="237" priority="244" operator="lessThan">
      <formula>$K$1</formula>
    </cfRule>
  </conditionalFormatting>
  <conditionalFormatting sqref="E23">
    <cfRule type="cellIs" dxfId="236" priority="243" operator="lessThan">
      <formula>$K$1</formula>
    </cfRule>
  </conditionalFormatting>
  <conditionalFormatting sqref="E23">
    <cfRule type="cellIs" dxfId="235" priority="242" operator="lessThan">
      <formula>$K$1</formula>
    </cfRule>
  </conditionalFormatting>
  <conditionalFormatting sqref="G24:H26">
    <cfRule type="cellIs" dxfId="234" priority="241" stopIfTrue="1" operator="equal">
      <formula>"þ"</formula>
    </cfRule>
  </conditionalFormatting>
  <conditionalFormatting sqref="F24:F26">
    <cfRule type="cellIs" dxfId="233" priority="240" operator="lessThan">
      <formula>$K$1</formula>
    </cfRule>
  </conditionalFormatting>
  <conditionalFormatting sqref="G27">
    <cfRule type="cellIs" dxfId="232" priority="229" stopIfTrue="1" operator="equal">
      <formula>"þ"</formula>
    </cfRule>
  </conditionalFormatting>
  <conditionalFormatting sqref="F27">
    <cfRule type="cellIs" dxfId="231" priority="239" operator="lessThan">
      <formula>$K$1</formula>
    </cfRule>
  </conditionalFormatting>
  <conditionalFormatting sqref="H27">
    <cfRule type="cellIs" dxfId="230" priority="238" stopIfTrue="1" operator="equal">
      <formula>"þ"</formula>
    </cfRule>
  </conditionalFormatting>
  <conditionalFormatting sqref="H27">
    <cfRule type="cellIs" dxfId="229" priority="237" stopIfTrue="1" operator="equal">
      <formula>"þ"</formula>
    </cfRule>
  </conditionalFormatting>
  <conditionalFormatting sqref="F27">
    <cfRule type="cellIs" dxfId="228" priority="236" operator="lessThan">
      <formula>$K$1</formula>
    </cfRule>
  </conditionalFormatting>
  <conditionalFormatting sqref="H27">
    <cfRule type="cellIs" dxfId="227" priority="235" stopIfTrue="1" operator="equal">
      <formula>"þ"</formula>
    </cfRule>
  </conditionalFormatting>
  <conditionalFormatting sqref="H27">
    <cfRule type="cellIs" dxfId="226" priority="234" stopIfTrue="1" operator="equal">
      <formula>"þ"</formula>
    </cfRule>
  </conditionalFormatting>
  <conditionalFormatting sqref="F27">
    <cfRule type="cellIs" dxfId="225" priority="233" operator="lessThan">
      <formula>$K$1</formula>
    </cfRule>
  </conditionalFormatting>
  <conditionalFormatting sqref="H27">
    <cfRule type="cellIs" dxfId="224" priority="232" stopIfTrue="1" operator="equal">
      <formula>"þ"</formula>
    </cfRule>
  </conditionalFormatting>
  <conditionalFormatting sqref="H27">
    <cfRule type="cellIs" dxfId="223" priority="231" stopIfTrue="1" operator="equal">
      <formula>"þ"</formula>
    </cfRule>
  </conditionalFormatting>
  <conditionalFormatting sqref="F27">
    <cfRule type="cellIs" dxfId="222" priority="230" operator="lessThan">
      <formula>$K$1</formula>
    </cfRule>
  </conditionalFormatting>
  <conditionalFormatting sqref="E27">
    <cfRule type="cellIs" dxfId="221" priority="228" operator="lessThan">
      <formula>$K$1</formula>
    </cfRule>
  </conditionalFormatting>
  <conditionalFormatting sqref="E27">
    <cfRule type="cellIs" dxfId="220" priority="227" operator="lessThan">
      <formula>$K$1</formula>
    </cfRule>
  </conditionalFormatting>
  <conditionalFormatting sqref="E27">
    <cfRule type="cellIs" dxfId="219" priority="226" operator="lessThan">
      <formula>$K$1</formula>
    </cfRule>
  </conditionalFormatting>
  <conditionalFormatting sqref="E27">
    <cfRule type="cellIs" dxfId="218" priority="225" operator="lessThan">
      <formula>$K$1</formula>
    </cfRule>
  </conditionalFormatting>
  <conditionalFormatting sqref="G28:H30">
    <cfRule type="cellIs" dxfId="217" priority="224" stopIfTrue="1" operator="equal">
      <formula>"þ"</formula>
    </cfRule>
  </conditionalFormatting>
  <conditionalFormatting sqref="F28:F30">
    <cfRule type="cellIs" dxfId="216" priority="223" operator="lessThan">
      <formula>$K$1</formula>
    </cfRule>
  </conditionalFormatting>
  <conditionalFormatting sqref="G28:H30">
    <cfRule type="cellIs" dxfId="215" priority="207" stopIfTrue="1" operator="equal">
      <formula>"þ"</formula>
    </cfRule>
  </conditionalFormatting>
  <conditionalFormatting sqref="F28:F30">
    <cfRule type="cellIs" dxfId="214" priority="206" operator="lessThan">
      <formula>$K$1</formula>
    </cfRule>
  </conditionalFormatting>
  <conditionalFormatting sqref="G28:H30">
    <cfRule type="cellIs" dxfId="213" priority="190" stopIfTrue="1" operator="equal">
      <formula>"þ"</formula>
    </cfRule>
  </conditionalFormatting>
  <conditionalFormatting sqref="F28:F30">
    <cfRule type="cellIs" dxfId="212" priority="189" operator="lessThan">
      <formula>$K$1</formula>
    </cfRule>
  </conditionalFormatting>
  <conditionalFormatting sqref="G31:H31">
    <cfRule type="cellIs" dxfId="211" priority="173" stopIfTrue="1" operator="equal">
      <formula>"þ"</formula>
    </cfRule>
  </conditionalFormatting>
  <conditionalFormatting sqref="F31">
    <cfRule type="cellIs" dxfId="210" priority="172" operator="lessThan">
      <formula>$K$1</formula>
    </cfRule>
  </conditionalFormatting>
  <conditionalFormatting sqref="G32">
    <cfRule type="cellIs" dxfId="209" priority="161" stopIfTrue="1" operator="equal">
      <formula>"þ"</formula>
    </cfRule>
  </conditionalFormatting>
  <conditionalFormatting sqref="F32">
    <cfRule type="cellIs" dxfId="208" priority="171" operator="lessThan">
      <formula>$K$1</formula>
    </cfRule>
  </conditionalFormatting>
  <conditionalFormatting sqref="H32">
    <cfRule type="cellIs" dxfId="207" priority="170" stopIfTrue="1" operator="equal">
      <formula>"þ"</formula>
    </cfRule>
  </conditionalFormatting>
  <conditionalFormatting sqref="H32">
    <cfRule type="cellIs" dxfId="206" priority="169" stopIfTrue="1" operator="equal">
      <formula>"þ"</formula>
    </cfRule>
  </conditionalFormatting>
  <conditionalFormatting sqref="F32">
    <cfRule type="cellIs" dxfId="205" priority="168" operator="lessThan">
      <formula>$K$1</formula>
    </cfRule>
  </conditionalFormatting>
  <conditionalFormatting sqref="H32">
    <cfRule type="cellIs" dxfId="204" priority="167" stopIfTrue="1" operator="equal">
      <formula>"þ"</formula>
    </cfRule>
  </conditionalFormatting>
  <conditionalFormatting sqref="H32">
    <cfRule type="cellIs" dxfId="203" priority="166" stopIfTrue="1" operator="equal">
      <formula>"þ"</formula>
    </cfRule>
  </conditionalFormatting>
  <conditionalFormatting sqref="F32">
    <cfRule type="cellIs" dxfId="202" priority="165" operator="lessThan">
      <formula>$K$1</formula>
    </cfRule>
  </conditionalFormatting>
  <conditionalFormatting sqref="H32">
    <cfRule type="cellIs" dxfId="201" priority="164" stopIfTrue="1" operator="equal">
      <formula>"þ"</formula>
    </cfRule>
  </conditionalFormatting>
  <conditionalFormatting sqref="H32">
    <cfRule type="cellIs" dxfId="200" priority="163" stopIfTrue="1" operator="equal">
      <formula>"þ"</formula>
    </cfRule>
  </conditionalFormatting>
  <conditionalFormatting sqref="F32">
    <cfRule type="cellIs" dxfId="199" priority="162" operator="lessThan">
      <formula>$K$1</formula>
    </cfRule>
  </conditionalFormatting>
  <conditionalFormatting sqref="E32">
    <cfRule type="cellIs" dxfId="198" priority="160" operator="lessThan">
      <formula>$K$1</formula>
    </cfRule>
  </conditionalFormatting>
  <conditionalFormatting sqref="E32">
    <cfRule type="cellIs" dxfId="197" priority="159" operator="lessThan">
      <formula>$K$1</formula>
    </cfRule>
  </conditionalFormatting>
  <conditionalFormatting sqref="E32">
    <cfRule type="cellIs" dxfId="196" priority="158" operator="lessThan">
      <formula>$K$1</formula>
    </cfRule>
  </conditionalFormatting>
  <conditionalFormatting sqref="E32">
    <cfRule type="cellIs" dxfId="195" priority="157" operator="lessThan">
      <formula>$K$1</formula>
    </cfRule>
  </conditionalFormatting>
  <conditionalFormatting sqref="E33:E34 E40:E41 E37:E38">
    <cfRule type="cellIs" dxfId="194" priority="156" operator="lessThan">
      <formula>$K$1</formula>
    </cfRule>
  </conditionalFormatting>
  <conditionalFormatting sqref="E33:E34 E40:E41 E37:E38">
    <cfRule type="cellIs" dxfId="193" priority="155" operator="lessThan">
      <formula>$K$1</formula>
    </cfRule>
  </conditionalFormatting>
  <conditionalFormatting sqref="E33:E34 E40:E41 E37:E38">
    <cfRule type="cellIs" dxfId="192" priority="154" operator="lessThan">
      <formula>$K$1</formula>
    </cfRule>
  </conditionalFormatting>
  <conditionalFormatting sqref="E33:E34 E40:E41 E37:E38">
    <cfRule type="cellIs" dxfId="191" priority="153" operator="lessThan">
      <formula>$K$1</formula>
    </cfRule>
  </conditionalFormatting>
  <conditionalFormatting sqref="E33:E34 E40:E41 E37:E38">
    <cfRule type="cellIs" dxfId="190" priority="152" operator="lessThan">
      <formula>$K$1</formula>
    </cfRule>
  </conditionalFormatting>
  <conditionalFormatting sqref="E33:E34 E40:E41 E37:E38">
    <cfRule type="cellIs" dxfId="189" priority="151" operator="lessThan">
      <formula>$K$1</formula>
    </cfRule>
  </conditionalFormatting>
  <conditionalFormatting sqref="E33:E34 E40:E41 E37:E38">
    <cfRule type="cellIs" dxfId="188" priority="150" operator="lessThan">
      <formula>$K$1</formula>
    </cfRule>
  </conditionalFormatting>
  <conditionalFormatting sqref="G33:H34 G37:H37">
    <cfRule type="cellIs" dxfId="187" priority="149" stopIfTrue="1" operator="equal">
      <formula>"þ"</formula>
    </cfRule>
  </conditionalFormatting>
  <conditionalFormatting sqref="F33:F34 F37">
    <cfRule type="cellIs" dxfId="186" priority="148" operator="lessThan">
      <formula>$K$1</formula>
    </cfRule>
  </conditionalFormatting>
  <conditionalFormatting sqref="G38">
    <cfRule type="cellIs" dxfId="185" priority="137" stopIfTrue="1" operator="equal">
      <formula>"þ"</formula>
    </cfRule>
  </conditionalFormatting>
  <conditionalFormatting sqref="F38">
    <cfRule type="cellIs" dxfId="184" priority="147" operator="lessThan">
      <formula>$K$1</formula>
    </cfRule>
  </conditionalFormatting>
  <conditionalFormatting sqref="H38">
    <cfRule type="cellIs" dxfId="183" priority="146" stopIfTrue="1" operator="equal">
      <formula>"þ"</formula>
    </cfRule>
  </conditionalFormatting>
  <conditionalFormatting sqref="H38">
    <cfRule type="cellIs" dxfId="182" priority="145" stopIfTrue="1" operator="equal">
      <formula>"þ"</formula>
    </cfRule>
  </conditionalFormatting>
  <conditionalFormatting sqref="F38">
    <cfRule type="cellIs" dxfId="181" priority="144" operator="lessThan">
      <formula>$K$1</formula>
    </cfRule>
  </conditionalFormatting>
  <conditionalFormatting sqref="H38">
    <cfRule type="cellIs" dxfId="180" priority="143" stopIfTrue="1" operator="equal">
      <formula>"þ"</formula>
    </cfRule>
  </conditionalFormatting>
  <conditionalFormatting sqref="H38">
    <cfRule type="cellIs" dxfId="179" priority="142" stopIfTrue="1" operator="equal">
      <formula>"þ"</formula>
    </cfRule>
  </conditionalFormatting>
  <conditionalFormatting sqref="F38">
    <cfRule type="cellIs" dxfId="178" priority="141" operator="lessThan">
      <formula>$K$1</formula>
    </cfRule>
  </conditionalFormatting>
  <conditionalFormatting sqref="H38">
    <cfRule type="cellIs" dxfId="177" priority="140" stopIfTrue="1" operator="equal">
      <formula>"þ"</formula>
    </cfRule>
  </conditionalFormatting>
  <conditionalFormatting sqref="H38">
    <cfRule type="cellIs" dxfId="176" priority="139" stopIfTrue="1" operator="equal">
      <formula>"þ"</formula>
    </cfRule>
  </conditionalFormatting>
  <conditionalFormatting sqref="F38">
    <cfRule type="cellIs" dxfId="175" priority="138" operator="lessThan">
      <formula>$K$1</formula>
    </cfRule>
  </conditionalFormatting>
  <conditionalFormatting sqref="E38">
    <cfRule type="cellIs" dxfId="174" priority="136" operator="lessThan">
      <formula>$K$1</formula>
    </cfRule>
  </conditionalFormatting>
  <conditionalFormatting sqref="E38">
    <cfRule type="cellIs" dxfId="173" priority="135" operator="lessThan">
      <formula>$K$1</formula>
    </cfRule>
  </conditionalFormatting>
  <conditionalFormatting sqref="E38">
    <cfRule type="cellIs" dxfId="172" priority="134" operator="lessThan">
      <formula>$K$1</formula>
    </cfRule>
  </conditionalFormatting>
  <conditionalFormatting sqref="E38">
    <cfRule type="cellIs" dxfId="171" priority="133" operator="lessThan">
      <formula>$K$1</formula>
    </cfRule>
  </conditionalFormatting>
  <conditionalFormatting sqref="G33:H34 G37:H37">
    <cfRule type="cellIs" dxfId="170" priority="132" stopIfTrue="1" operator="equal">
      <formula>"þ"</formula>
    </cfRule>
  </conditionalFormatting>
  <conditionalFormatting sqref="F33:F34 F37">
    <cfRule type="cellIs" dxfId="169" priority="131" operator="lessThan">
      <formula>$K$1</formula>
    </cfRule>
  </conditionalFormatting>
  <conditionalFormatting sqref="G38">
    <cfRule type="cellIs" dxfId="168" priority="120" stopIfTrue="1" operator="equal">
      <formula>"þ"</formula>
    </cfRule>
  </conditionalFormatting>
  <conditionalFormatting sqref="F38">
    <cfRule type="cellIs" dxfId="167" priority="130" operator="lessThan">
      <formula>$K$1</formula>
    </cfRule>
  </conditionalFormatting>
  <conditionalFormatting sqref="H38">
    <cfRule type="cellIs" dxfId="166" priority="129" stopIfTrue="1" operator="equal">
      <formula>"þ"</formula>
    </cfRule>
  </conditionalFormatting>
  <conditionalFormatting sqref="H38">
    <cfRule type="cellIs" dxfId="165" priority="128" stopIfTrue="1" operator="equal">
      <formula>"þ"</formula>
    </cfRule>
  </conditionalFormatting>
  <conditionalFormatting sqref="F38">
    <cfRule type="cellIs" dxfId="164" priority="127" operator="lessThan">
      <formula>$K$1</formula>
    </cfRule>
  </conditionalFormatting>
  <conditionalFormatting sqref="H38">
    <cfRule type="cellIs" dxfId="163" priority="126" stopIfTrue="1" operator="equal">
      <formula>"þ"</formula>
    </cfRule>
  </conditionalFormatting>
  <conditionalFormatting sqref="H38">
    <cfRule type="cellIs" dxfId="162" priority="125" stopIfTrue="1" operator="equal">
      <formula>"þ"</formula>
    </cfRule>
  </conditionalFormatting>
  <conditionalFormatting sqref="F38">
    <cfRule type="cellIs" dxfId="161" priority="124" operator="lessThan">
      <formula>$K$1</formula>
    </cfRule>
  </conditionalFormatting>
  <conditionalFormatting sqref="H38">
    <cfRule type="cellIs" dxfId="160" priority="123" stopIfTrue="1" operator="equal">
      <formula>"þ"</formula>
    </cfRule>
  </conditionalFormatting>
  <conditionalFormatting sqref="H38">
    <cfRule type="cellIs" dxfId="159" priority="122" stopIfTrue="1" operator="equal">
      <formula>"þ"</formula>
    </cfRule>
  </conditionalFormatting>
  <conditionalFormatting sqref="F38">
    <cfRule type="cellIs" dxfId="158" priority="121" operator="lessThan">
      <formula>$K$1</formula>
    </cfRule>
  </conditionalFormatting>
  <conditionalFormatting sqref="E38">
    <cfRule type="cellIs" dxfId="157" priority="119" operator="lessThan">
      <formula>$K$1</formula>
    </cfRule>
  </conditionalFormatting>
  <conditionalFormatting sqref="E38">
    <cfRule type="cellIs" dxfId="156" priority="118" operator="lessThan">
      <formula>$K$1</formula>
    </cfRule>
  </conditionalFormatting>
  <conditionalFormatting sqref="E38">
    <cfRule type="cellIs" dxfId="155" priority="117" operator="lessThan">
      <formula>$K$1</formula>
    </cfRule>
  </conditionalFormatting>
  <conditionalFormatting sqref="E38">
    <cfRule type="cellIs" dxfId="154" priority="116" operator="lessThan">
      <formula>$K$1</formula>
    </cfRule>
  </conditionalFormatting>
  <conditionalFormatting sqref="G33:H34 G37:H37">
    <cfRule type="cellIs" dxfId="153" priority="115" stopIfTrue="1" operator="equal">
      <formula>"þ"</formula>
    </cfRule>
  </conditionalFormatting>
  <conditionalFormatting sqref="F33:F34 F37">
    <cfRule type="cellIs" dxfId="152" priority="114" operator="lessThan">
      <formula>$K$1</formula>
    </cfRule>
  </conditionalFormatting>
  <conditionalFormatting sqref="G38">
    <cfRule type="cellIs" dxfId="151" priority="103" stopIfTrue="1" operator="equal">
      <formula>"þ"</formula>
    </cfRule>
  </conditionalFormatting>
  <conditionalFormatting sqref="F38">
    <cfRule type="cellIs" dxfId="150" priority="113" operator="lessThan">
      <formula>$K$1</formula>
    </cfRule>
  </conditionalFormatting>
  <conditionalFormatting sqref="H38">
    <cfRule type="cellIs" dxfId="149" priority="112" stopIfTrue="1" operator="equal">
      <formula>"þ"</formula>
    </cfRule>
  </conditionalFormatting>
  <conditionalFormatting sqref="H38">
    <cfRule type="cellIs" dxfId="148" priority="111" stopIfTrue="1" operator="equal">
      <formula>"þ"</formula>
    </cfRule>
  </conditionalFormatting>
  <conditionalFormatting sqref="F38">
    <cfRule type="cellIs" dxfId="147" priority="110" operator="lessThan">
      <formula>$K$1</formula>
    </cfRule>
  </conditionalFormatting>
  <conditionalFormatting sqref="H38">
    <cfRule type="cellIs" dxfId="146" priority="109" stopIfTrue="1" operator="equal">
      <formula>"þ"</formula>
    </cfRule>
  </conditionalFormatting>
  <conditionalFormatting sqref="H38">
    <cfRule type="cellIs" dxfId="145" priority="108" stopIfTrue="1" operator="equal">
      <formula>"þ"</formula>
    </cfRule>
  </conditionalFormatting>
  <conditionalFormatting sqref="F38">
    <cfRule type="cellIs" dxfId="144" priority="107" operator="lessThan">
      <formula>$K$1</formula>
    </cfRule>
  </conditionalFormatting>
  <conditionalFormatting sqref="H38">
    <cfRule type="cellIs" dxfId="143" priority="106" stopIfTrue="1" operator="equal">
      <formula>"þ"</formula>
    </cfRule>
  </conditionalFormatting>
  <conditionalFormatting sqref="H38">
    <cfRule type="cellIs" dxfId="142" priority="105" stopIfTrue="1" operator="equal">
      <formula>"þ"</formula>
    </cfRule>
  </conditionalFormatting>
  <conditionalFormatting sqref="F38">
    <cfRule type="cellIs" dxfId="141" priority="104" operator="lessThan">
      <formula>$K$1</formula>
    </cfRule>
  </conditionalFormatting>
  <conditionalFormatting sqref="E38">
    <cfRule type="cellIs" dxfId="140" priority="102" operator="lessThan">
      <formula>$K$1</formula>
    </cfRule>
  </conditionalFormatting>
  <conditionalFormatting sqref="E38">
    <cfRule type="cellIs" dxfId="139" priority="101" operator="lessThan">
      <formula>$K$1</formula>
    </cfRule>
  </conditionalFormatting>
  <conditionalFormatting sqref="E38">
    <cfRule type="cellIs" dxfId="138" priority="100" operator="lessThan">
      <formula>$K$1</formula>
    </cfRule>
  </conditionalFormatting>
  <conditionalFormatting sqref="E38">
    <cfRule type="cellIs" dxfId="137" priority="99" operator="lessThan">
      <formula>$K$1</formula>
    </cfRule>
  </conditionalFormatting>
  <conditionalFormatting sqref="G40:H40">
    <cfRule type="cellIs" dxfId="136" priority="98" stopIfTrue="1" operator="equal">
      <formula>"þ"</formula>
    </cfRule>
  </conditionalFormatting>
  <conditionalFormatting sqref="F40">
    <cfRule type="cellIs" dxfId="135" priority="97" operator="lessThan">
      <formula>$K$1</formula>
    </cfRule>
  </conditionalFormatting>
  <conditionalFormatting sqref="G41">
    <cfRule type="cellIs" dxfId="134" priority="86" stopIfTrue="1" operator="equal">
      <formula>"þ"</formula>
    </cfRule>
  </conditionalFormatting>
  <conditionalFormatting sqref="F41">
    <cfRule type="cellIs" dxfId="133" priority="96" operator="lessThan">
      <formula>$K$1</formula>
    </cfRule>
  </conditionalFormatting>
  <conditionalFormatting sqref="H41">
    <cfRule type="cellIs" dxfId="132" priority="95" stopIfTrue="1" operator="equal">
      <formula>"þ"</formula>
    </cfRule>
  </conditionalFormatting>
  <conditionalFormatting sqref="H41">
    <cfRule type="cellIs" dxfId="131" priority="94" stopIfTrue="1" operator="equal">
      <formula>"þ"</formula>
    </cfRule>
  </conditionalFormatting>
  <conditionalFormatting sqref="F41">
    <cfRule type="cellIs" dxfId="130" priority="93" operator="lessThan">
      <formula>$K$1</formula>
    </cfRule>
  </conditionalFormatting>
  <conditionalFormatting sqref="H41">
    <cfRule type="cellIs" dxfId="129" priority="92" stopIfTrue="1" operator="equal">
      <formula>"þ"</formula>
    </cfRule>
  </conditionalFormatting>
  <conditionalFormatting sqref="H41">
    <cfRule type="cellIs" dxfId="128" priority="91" stopIfTrue="1" operator="equal">
      <formula>"þ"</formula>
    </cfRule>
  </conditionalFormatting>
  <conditionalFormatting sqref="F41">
    <cfRule type="cellIs" dxfId="127" priority="90" operator="lessThan">
      <formula>$K$1</formula>
    </cfRule>
  </conditionalFormatting>
  <conditionalFormatting sqref="H41">
    <cfRule type="cellIs" dxfId="126" priority="89" stopIfTrue="1" operator="equal">
      <formula>"þ"</formula>
    </cfRule>
  </conditionalFormatting>
  <conditionalFormatting sqref="H41">
    <cfRule type="cellIs" dxfId="125" priority="88" stopIfTrue="1" operator="equal">
      <formula>"þ"</formula>
    </cfRule>
  </conditionalFormatting>
  <conditionalFormatting sqref="F41">
    <cfRule type="cellIs" dxfId="124" priority="87" operator="lessThan">
      <formula>$K$1</formula>
    </cfRule>
  </conditionalFormatting>
  <conditionalFormatting sqref="E41">
    <cfRule type="cellIs" dxfId="123" priority="85" operator="lessThan">
      <formula>$K$1</formula>
    </cfRule>
  </conditionalFormatting>
  <conditionalFormatting sqref="E41">
    <cfRule type="cellIs" dxfId="122" priority="84" operator="lessThan">
      <formula>$K$1</formula>
    </cfRule>
  </conditionalFormatting>
  <conditionalFormatting sqref="E41">
    <cfRule type="cellIs" dxfId="121" priority="83" operator="lessThan">
      <formula>$K$1</formula>
    </cfRule>
  </conditionalFormatting>
  <conditionalFormatting sqref="E41">
    <cfRule type="cellIs" dxfId="120" priority="82" operator="lessThan">
      <formula>$K$1</formula>
    </cfRule>
  </conditionalFormatting>
  <conditionalFormatting sqref="E35">
    <cfRule type="cellIs" dxfId="119" priority="81" operator="lessThan">
      <formula>$K$1</formula>
    </cfRule>
  </conditionalFormatting>
  <conditionalFormatting sqref="E35">
    <cfRule type="cellIs" dxfId="118" priority="80" operator="lessThan">
      <formula>$K$1</formula>
    </cfRule>
  </conditionalFormatting>
  <conditionalFormatting sqref="E35">
    <cfRule type="cellIs" dxfId="117" priority="79" operator="lessThan">
      <formula>$K$1</formula>
    </cfRule>
  </conditionalFormatting>
  <conditionalFormatting sqref="E35">
    <cfRule type="cellIs" dxfId="116" priority="78" operator="lessThan">
      <formula>$K$1</formula>
    </cfRule>
  </conditionalFormatting>
  <conditionalFormatting sqref="E35">
    <cfRule type="cellIs" dxfId="115" priority="77" operator="lessThan">
      <formula>$K$1</formula>
    </cfRule>
  </conditionalFormatting>
  <conditionalFormatting sqref="E35">
    <cfRule type="cellIs" dxfId="114" priority="76" operator="lessThan">
      <formula>$K$1</formula>
    </cfRule>
  </conditionalFormatting>
  <conditionalFormatting sqref="E35">
    <cfRule type="cellIs" dxfId="113" priority="75" operator="lessThan">
      <formula>$K$1</formula>
    </cfRule>
  </conditionalFormatting>
  <conditionalFormatting sqref="G35:H35">
    <cfRule type="cellIs" dxfId="112" priority="74" stopIfTrue="1" operator="equal">
      <formula>"þ"</formula>
    </cfRule>
  </conditionalFormatting>
  <conditionalFormatting sqref="F35">
    <cfRule type="cellIs" dxfId="111" priority="73" operator="lessThan">
      <formula>$K$1</formula>
    </cfRule>
  </conditionalFormatting>
  <conditionalFormatting sqref="G35:H35">
    <cfRule type="cellIs" dxfId="110" priority="72" stopIfTrue="1" operator="equal">
      <formula>"þ"</formula>
    </cfRule>
  </conditionalFormatting>
  <conditionalFormatting sqref="F35">
    <cfRule type="cellIs" dxfId="109" priority="71" operator="lessThan">
      <formula>$K$1</formula>
    </cfRule>
  </conditionalFormatting>
  <conditionalFormatting sqref="G35:H35">
    <cfRule type="cellIs" dxfId="108" priority="70" stopIfTrue="1" operator="equal">
      <formula>"þ"</formula>
    </cfRule>
  </conditionalFormatting>
  <conditionalFormatting sqref="F35">
    <cfRule type="cellIs" dxfId="107" priority="69" operator="lessThan">
      <formula>$K$1</formula>
    </cfRule>
  </conditionalFormatting>
  <conditionalFormatting sqref="E36">
    <cfRule type="cellIs" dxfId="106" priority="68" operator="lessThan">
      <formula>$K$1</formula>
    </cfRule>
  </conditionalFormatting>
  <conditionalFormatting sqref="E36">
    <cfRule type="cellIs" dxfId="105" priority="67" operator="lessThan">
      <formula>$K$1</formula>
    </cfRule>
  </conditionalFormatting>
  <conditionalFormatting sqref="E36">
    <cfRule type="cellIs" dxfId="104" priority="66" operator="lessThan">
      <formula>$K$1</formula>
    </cfRule>
  </conditionalFormatting>
  <conditionalFormatting sqref="E36">
    <cfRule type="cellIs" dxfId="103" priority="65" operator="lessThan">
      <formula>$K$1</formula>
    </cfRule>
  </conditionalFormatting>
  <conditionalFormatting sqref="E36">
    <cfRule type="cellIs" dxfId="102" priority="64" operator="lessThan">
      <formula>$K$1</formula>
    </cfRule>
  </conditionalFormatting>
  <conditionalFormatting sqref="E36">
    <cfRule type="cellIs" dxfId="101" priority="63" operator="lessThan">
      <formula>$K$1</formula>
    </cfRule>
  </conditionalFormatting>
  <conditionalFormatting sqref="E36">
    <cfRule type="cellIs" dxfId="100" priority="62" operator="lessThan">
      <formula>$K$1</formula>
    </cfRule>
  </conditionalFormatting>
  <conditionalFormatting sqref="G36:H36">
    <cfRule type="cellIs" dxfId="99" priority="61" stopIfTrue="1" operator="equal">
      <formula>"þ"</formula>
    </cfRule>
  </conditionalFormatting>
  <conditionalFormatting sqref="F36">
    <cfRule type="cellIs" dxfId="98" priority="60" operator="lessThan">
      <formula>$K$1</formula>
    </cfRule>
  </conditionalFormatting>
  <conditionalFormatting sqref="G36:H36">
    <cfRule type="cellIs" dxfId="97" priority="59" stopIfTrue="1" operator="equal">
      <formula>"þ"</formula>
    </cfRule>
  </conditionalFormatting>
  <conditionalFormatting sqref="F36">
    <cfRule type="cellIs" dxfId="96" priority="58" operator="lessThan">
      <formula>$K$1</formula>
    </cfRule>
  </conditionalFormatting>
  <conditionalFormatting sqref="G36:H36">
    <cfRule type="cellIs" dxfId="95" priority="57" stopIfTrue="1" operator="equal">
      <formula>"þ"</formula>
    </cfRule>
  </conditionalFormatting>
  <conditionalFormatting sqref="F36">
    <cfRule type="cellIs" dxfId="94" priority="56" operator="lessThan">
      <formula>$K$1</formula>
    </cfRule>
  </conditionalFormatting>
  <conditionalFormatting sqref="E20">
    <cfRule type="cellIs" dxfId="93" priority="55" operator="lessThan">
      <formula>$K$1</formula>
    </cfRule>
  </conditionalFormatting>
  <conditionalFormatting sqref="G20">
    <cfRule type="cellIs" dxfId="92" priority="44" stopIfTrue="1" operator="equal">
      <formula>"þ"</formula>
    </cfRule>
  </conditionalFormatting>
  <conditionalFormatting sqref="F20">
    <cfRule type="cellIs" dxfId="91" priority="54" operator="lessThan">
      <formula>$K$1</formula>
    </cfRule>
  </conditionalFormatting>
  <conditionalFormatting sqref="H20">
    <cfRule type="cellIs" dxfId="90" priority="53" stopIfTrue="1" operator="equal">
      <formula>"þ"</formula>
    </cfRule>
  </conditionalFormatting>
  <conditionalFormatting sqref="H20">
    <cfRule type="cellIs" dxfId="89" priority="52" stopIfTrue="1" operator="equal">
      <formula>"þ"</formula>
    </cfRule>
  </conditionalFormatting>
  <conditionalFormatting sqref="F20">
    <cfRule type="cellIs" dxfId="88" priority="51" operator="lessThan">
      <formula>$K$1</formula>
    </cfRule>
  </conditionalFormatting>
  <conditionalFormatting sqref="H20">
    <cfRule type="cellIs" dxfId="87" priority="50" stopIfTrue="1" operator="equal">
      <formula>"þ"</formula>
    </cfRule>
  </conditionalFormatting>
  <conditionalFormatting sqref="H20">
    <cfRule type="cellIs" dxfId="86" priority="49" stopIfTrue="1" operator="equal">
      <formula>"þ"</formula>
    </cfRule>
  </conditionalFormatting>
  <conditionalFormatting sqref="F20">
    <cfRule type="cellIs" dxfId="85" priority="48" operator="lessThan">
      <formula>$K$1</formula>
    </cfRule>
  </conditionalFormatting>
  <conditionalFormatting sqref="H20">
    <cfRule type="cellIs" dxfId="84" priority="47" stopIfTrue="1" operator="equal">
      <formula>"þ"</formula>
    </cfRule>
  </conditionalFormatting>
  <conditionalFormatting sqref="H20">
    <cfRule type="cellIs" dxfId="83" priority="46" stopIfTrue="1" operator="equal">
      <formula>"þ"</formula>
    </cfRule>
  </conditionalFormatting>
  <conditionalFormatting sqref="F20">
    <cfRule type="cellIs" dxfId="82" priority="45" operator="lessThan">
      <formula>$K$1</formula>
    </cfRule>
  </conditionalFormatting>
  <conditionalFormatting sqref="E20">
    <cfRule type="cellIs" dxfId="81" priority="43" operator="lessThan">
      <formula>$K$1</formula>
    </cfRule>
  </conditionalFormatting>
  <conditionalFormatting sqref="G20">
    <cfRule type="cellIs" dxfId="80" priority="32" stopIfTrue="1" operator="equal">
      <formula>"þ"</formula>
    </cfRule>
  </conditionalFormatting>
  <conditionalFormatting sqref="F20">
    <cfRule type="cellIs" dxfId="79" priority="42" operator="lessThan">
      <formula>$K$1</formula>
    </cfRule>
  </conditionalFormatting>
  <conditionalFormatting sqref="H20">
    <cfRule type="cellIs" dxfId="78" priority="41" stopIfTrue="1" operator="equal">
      <formula>"þ"</formula>
    </cfRule>
  </conditionalFormatting>
  <conditionalFormatting sqref="H20">
    <cfRule type="cellIs" dxfId="77" priority="40" stopIfTrue="1" operator="equal">
      <formula>"þ"</formula>
    </cfRule>
  </conditionalFormatting>
  <conditionalFormatting sqref="F20">
    <cfRule type="cellIs" dxfId="76" priority="39" operator="lessThan">
      <formula>$K$1</formula>
    </cfRule>
  </conditionalFormatting>
  <conditionalFormatting sqref="H20">
    <cfRule type="cellIs" dxfId="75" priority="38" stopIfTrue="1" operator="equal">
      <formula>"þ"</formula>
    </cfRule>
  </conditionalFormatting>
  <conditionalFormatting sqref="H20">
    <cfRule type="cellIs" dxfId="74" priority="37" stopIfTrue="1" operator="equal">
      <formula>"þ"</formula>
    </cfRule>
  </conditionalFormatting>
  <conditionalFormatting sqref="F20">
    <cfRule type="cellIs" dxfId="73" priority="36" operator="lessThan">
      <formula>$K$1</formula>
    </cfRule>
  </conditionalFormatting>
  <conditionalFormatting sqref="H20">
    <cfRule type="cellIs" dxfId="72" priority="35" stopIfTrue="1" operator="equal">
      <formula>"þ"</formula>
    </cfRule>
  </conditionalFormatting>
  <conditionalFormatting sqref="H20">
    <cfRule type="cellIs" dxfId="71" priority="34" stopIfTrue="1" operator="equal">
      <formula>"þ"</formula>
    </cfRule>
  </conditionalFormatting>
  <conditionalFormatting sqref="F20">
    <cfRule type="cellIs" dxfId="70" priority="33" operator="lessThan">
      <formula>$K$1</formula>
    </cfRule>
  </conditionalFormatting>
  <conditionalFormatting sqref="G13:H13">
    <cfRule type="cellIs" dxfId="69" priority="31" stopIfTrue="1" operator="equal">
      <formula>"þ"</formula>
    </cfRule>
  </conditionalFormatting>
  <conditionalFormatting sqref="G13:H13">
    <cfRule type="cellIs" dxfId="68" priority="30" stopIfTrue="1" operator="equal">
      <formula>"þ"</formula>
    </cfRule>
  </conditionalFormatting>
  <conditionalFormatting sqref="F13">
    <cfRule type="cellIs" dxfId="67" priority="29" operator="lessThan">
      <formula>$K$1</formula>
    </cfRule>
  </conditionalFormatting>
  <conditionalFormatting sqref="G9:H9">
    <cfRule type="cellIs" dxfId="66" priority="28" stopIfTrue="1" operator="equal">
      <formula>"þ"</formula>
    </cfRule>
  </conditionalFormatting>
  <conditionalFormatting sqref="F9">
    <cfRule type="cellIs" dxfId="65" priority="27" operator="lessThan">
      <formula>$K$1</formula>
    </cfRule>
  </conditionalFormatting>
  <conditionalFormatting sqref="E21">
    <cfRule type="cellIs" dxfId="64" priority="26" operator="lessThan">
      <formula>$K$1</formula>
    </cfRule>
  </conditionalFormatting>
  <conditionalFormatting sqref="G21">
    <cfRule type="cellIs" dxfId="63" priority="15" stopIfTrue="1" operator="equal">
      <formula>"þ"</formula>
    </cfRule>
  </conditionalFormatting>
  <conditionalFormatting sqref="F21">
    <cfRule type="cellIs" dxfId="62" priority="25" operator="lessThan">
      <formula>$K$1</formula>
    </cfRule>
  </conditionalFormatting>
  <conditionalFormatting sqref="H21">
    <cfRule type="cellIs" dxfId="61" priority="24" stopIfTrue="1" operator="equal">
      <formula>"þ"</formula>
    </cfRule>
  </conditionalFormatting>
  <conditionalFormatting sqref="H21">
    <cfRule type="cellIs" dxfId="60" priority="23" stopIfTrue="1" operator="equal">
      <formula>"þ"</formula>
    </cfRule>
  </conditionalFormatting>
  <conditionalFormatting sqref="F21">
    <cfRule type="cellIs" dxfId="59" priority="22" operator="lessThan">
      <formula>$K$1</formula>
    </cfRule>
  </conditionalFormatting>
  <conditionalFormatting sqref="H21">
    <cfRule type="cellIs" dxfId="58" priority="21" stopIfTrue="1" operator="equal">
      <formula>"þ"</formula>
    </cfRule>
  </conditionalFormatting>
  <conditionalFormatting sqref="H21">
    <cfRule type="cellIs" dxfId="57" priority="20" stopIfTrue="1" operator="equal">
      <formula>"þ"</formula>
    </cfRule>
  </conditionalFormatting>
  <conditionalFormatting sqref="F21">
    <cfRule type="cellIs" dxfId="56" priority="19" operator="lessThan">
      <formula>$K$1</formula>
    </cfRule>
  </conditionalFormatting>
  <conditionalFormatting sqref="H21">
    <cfRule type="cellIs" dxfId="55" priority="18" stopIfTrue="1" operator="equal">
      <formula>"þ"</formula>
    </cfRule>
  </conditionalFormatting>
  <conditionalFormatting sqref="H21">
    <cfRule type="cellIs" dxfId="54" priority="17" stopIfTrue="1" operator="equal">
      <formula>"þ"</formula>
    </cfRule>
  </conditionalFormatting>
  <conditionalFormatting sqref="F21">
    <cfRule type="cellIs" dxfId="53" priority="16" operator="lessThan">
      <formula>$K$1</formula>
    </cfRule>
  </conditionalFormatting>
  <conditionalFormatting sqref="E21">
    <cfRule type="cellIs" dxfId="52" priority="14" operator="lessThan">
      <formula>$K$1</formula>
    </cfRule>
  </conditionalFormatting>
  <conditionalFormatting sqref="G21">
    <cfRule type="cellIs" dxfId="51" priority="3" stopIfTrue="1" operator="equal">
      <formula>"þ"</formula>
    </cfRule>
  </conditionalFormatting>
  <conditionalFormatting sqref="F21">
    <cfRule type="cellIs" dxfId="50" priority="13" operator="lessThan">
      <formula>$K$1</formula>
    </cfRule>
  </conditionalFormatting>
  <conditionalFormatting sqref="H21">
    <cfRule type="cellIs" dxfId="49" priority="12" stopIfTrue="1" operator="equal">
      <formula>"þ"</formula>
    </cfRule>
  </conditionalFormatting>
  <conditionalFormatting sqref="H21">
    <cfRule type="cellIs" dxfId="48" priority="11" stopIfTrue="1" operator="equal">
      <formula>"þ"</formula>
    </cfRule>
  </conditionalFormatting>
  <conditionalFormatting sqref="F21">
    <cfRule type="cellIs" dxfId="47" priority="10" operator="lessThan">
      <formula>$K$1</formula>
    </cfRule>
  </conditionalFormatting>
  <conditionalFormatting sqref="H21">
    <cfRule type="cellIs" dxfId="46" priority="9" stopIfTrue="1" operator="equal">
      <formula>"þ"</formula>
    </cfRule>
  </conditionalFormatting>
  <conditionalFormatting sqref="H21">
    <cfRule type="cellIs" dxfId="45" priority="8" stopIfTrue="1" operator="equal">
      <formula>"þ"</formula>
    </cfRule>
  </conditionalFormatting>
  <conditionalFormatting sqref="F21">
    <cfRule type="cellIs" dxfId="44" priority="7" operator="lessThan">
      <formula>$K$1</formula>
    </cfRule>
  </conditionalFormatting>
  <conditionalFormatting sqref="H21">
    <cfRule type="cellIs" dxfId="43" priority="6" stopIfTrue="1" operator="equal">
      <formula>"þ"</formula>
    </cfRule>
  </conditionalFormatting>
  <conditionalFormatting sqref="H21">
    <cfRule type="cellIs" dxfId="42" priority="5" stopIfTrue="1" operator="equal">
      <formula>"þ"</formula>
    </cfRule>
  </conditionalFormatting>
  <conditionalFormatting sqref="F21">
    <cfRule type="cellIs" dxfId="41" priority="4" operator="lessThan">
      <formula>$K$1</formula>
    </cfRule>
  </conditionalFormatting>
  <conditionalFormatting sqref="G4:H4">
    <cfRule type="cellIs" dxfId="40" priority="2" stopIfTrue="1" operator="equal">
      <formula>"þ"</formula>
    </cfRule>
  </conditionalFormatting>
  <conditionalFormatting sqref="F4">
    <cfRule type="cellIs" dxfId="39" priority="1" operator="lessThan">
      <formula>$K$1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2" style="142" bestFit="1" customWidth="1"/>
    <col min="2" max="2" width="20.796875" style="142" bestFit="1" customWidth="1"/>
    <col min="3" max="3" width="15.19921875" style="142" bestFit="1" customWidth="1"/>
    <col min="4" max="4" width="4.296875" style="142" bestFit="1" customWidth="1"/>
    <col min="5" max="5" width="4.8984375" style="142" bestFit="1" customWidth="1"/>
    <col min="6" max="6" width="5.796875" style="142" bestFit="1" customWidth="1"/>
    <col min="7" max="7" width="3.8984375" style="142" bestFit="1" customWidth="1"/>
    <col min="8" max="8" width="7.09765625" style="142" bestFit="1" customWidth="1"/>
    <col min="9" max="9" width="4.296875" style="142" bestFit="1" customWidth="1"/>
    <col min="10" max="10" width="5.3984375" style="142" bestFit="1" customWidth="1"/>
    <col min="11" max="11" width="6.69921875" style="142" bestFit="1" customWidth="1"/>
    <col min="12" max="12" width="12.796875" style="135" bestFit="1" customWidth="1"/>
    <col min="13" max="16384" width="8.796875" style="135"/>
  </cols>
  <sheetData>
    <row r="1" spans="1:12" ht="16.2" thickBot="1" x14ac:dyDescent="0.35">
      <c r="A1" s="131" t="s">
        <v>0</v>
      </c>
      <c r="B1" s="132" t="s">
        <v>36</v>
      </c>
      <c r="C1" s="132" t="s">
        <v>37</v>
      </c>
      <c r="D1" s="248" t="s">
        <v>194</v>
      </c>
      <c r="E1" s="178" t="s">
        <v>38</v>
      </c>
      <c r="F1" s="132" t="s">
        <v>39</v>
      </c>
      <c r="G1" s="132" t="s">
        <v>40</v>
      </c>
      <c r="H1" s="132" t="s">
        <v>41</v>
      </c>
      <c r="I1" s="133" t="s">
        <v>3</v>
      </c>
      <c r="J1" s="134" t="s">
        <v>27</v>
      </c>
      <c r="K1" s="134" t="s">
        <v>193</v>
      </c>
      <c r="L1" s="134" t="s">
        <v>160</v>
      </c>
    </row>
    <row r="2" spans="1:12" x14ac:dyDescent="0.3">
      <c r="A2" s="136" t="s">
        <v>127</v>
      </c>
      <c r="B2" s="137" t="s">
        <v>176</v>
      </c>
      <c r="C2" s="137" t="s">
        <v>179</v>
      </c>
      <c r="D2" s="249">
        <v>20</v>
      </c>
      <c r="E2" s="217">
        <f>12+1</f>
        <v>13</v>
      </c>
      <c r="F2" s="217">
        <f>5+2</f>
        <v>7</v>
      </c>
      <c r="G2" s="137">
        <v>1</v>
      </c>
      <c r="H2" s="218">
        <v>1</v>
      </c>
      <c r="I2" s="138">
        <f t="shared" ref="I2:I40" ca="1" si="0">RANDBETWEEN(1,20)</f>
        <v>3</v>
      </c>
      <c r="J2" s="137">
        <f t="shared" ref="J2:J23" ca="1" si="1">SUM(E2:I2)</f>
        <v>25</v>
      </c>
      <c r="K2" s="252" t="str">
        <f ca="1">IF(I2&gt;(D2-1),"þ","ý")</f>
        <v>ý</v>
      </c>
      <c r="L2" s="219" t="s">
        <v>192</v>
      </c>
    </row>
    <row r="3" spans="1:12" x14ac:dyDescent="0.3">
      <c r="A3" s="136" t="s">
        <v>127</v>
      </c>
      <c r="B3" s="137" t="s">
        <v>128</v>
      </c>
      <c r="C3" s="137" t="s">
        <v>179</v>
      </c>
      <c r="D3" s="249">
        <v>20</v>
      </c>
      <c r="E3" s="217">
        <f>E2-5</f>
        <v>8</v>
      </c>
      <c r="F3" s="217">
        <f t="shared" ref="F3:F8" si="2">5+2</f>
        <v>7</v>
      </c>
      <c r="G3" s="137">
        <v>1</v>
      </c>
      <c r="H3" s="218">
        <v>1</v>
      </c>
      <c r="I3" s="138">
        <f t="shared" ca="1" si="0"/>
        <v>11</v>
      </c>
      <c r="J3" s="137">
        <f t="shared" ca="1" si="1"/>
        <v>28</v>
      </c>
      <c r="K3" s="252" t="str">
        <f t="shared" ref="K3:K36" ca="1" si="3">IF(I3&gt;(D3-1),"þ","ý")</f>
        <v>ý</v>
      </c>
      <c r="L3" s="219" t="s">
        <v>192</v>
      </c>
    </row>
    <row r="4" spans="1:12" x14ac:dyDescent="0.3">
      <c r="A4" s="136" t="s">
        <v>127</v>
      </c>
      <c r="B4" s="137" t="s">
        <v>129</v>
      </c>
      <c r="C4" s="137" t="s">
        <v>179</v>
      </c>
      <c r="D4" s="249">
        <v>20</v>
      </c>
      <c r="E4" s="217">
        <f>E3-5</f>
        <v>3</v>
      </c>
      <c r="F4" s="217">
        <f t="shared" si="2"/>
        <v>7</v>
      </c>
      <c r="G4" s="137">
        <v>1</v>
      </c>
      <c r="H4" s="218">
        <v>1</v>
      </c>
      <c r="I4" s="138">
        <f t="shared" ca="1" si="0"/>
        <v>3</v>
      </c>
      <c r="J4" s="137">
        <f t="shared" ca="1" si="1"/>
        <v>15</v>
      </c>
      <c r="K4" s="252" t="str">
        <f t="shared" ca="1" si="3"/>
        <v>ý</v>
      </c>
      <c r="L4" s="219" t="s">
        <v>192</v>
      </c>
    </row>
    <row r="5" spans="1:12" x14ac:dyDescent="0.3">
      <c r="A5" s="136" t="s">
        <v>127</v>
      </c>
      <c r="B5" s="137" t="s">
        <v>177</v>
      </c>
      <c r="C5" s="137" t="s">
        <v>179</v>
      </c>
      <c r="D5" s="249">
        <v>20</v>
      </c>
      <c r="E5" s="217">
        <f t="shared" ref="E5:E8" si="4">12+1</f>
        <v>13</v>
      </c>
      <c r="F5" s="217">
        <f t="shared" si="2"/>
        <v>7</v>
      </c>
      <c r="G5" s="137">
        <v>1</v>
      </c>
      <c r="H5" s="218">
        <v>1</v>
      </c>
      <c r="I5" s="138">
        <f t="shared" ca="1" si="0"/>
        <v>11</v>
      </c>
      <c r="J5" s="137">
        <f t="shared" ca="1" si="1"/>
        <v>33</v>
      </c>
      <c r="K5" s="252" t="str">
        <f t="shared" ca="1" si="3"/>
        <v>ý</v>
      </c>
      <c r="L5" s="219" t="s">
        <v>192</v>
      </c>
    </row>
    <row r="6" spans="1:12" x14ac:dyDescent="0.3">
      <c r="A6" s="136" t="s">
        <v>127</v>
      </c>
      <c r="B6" s="137" t="s">
        <v>130</v>
      </c>
      <c r="C6" s="137" t="s">
        <v>178</v>
      </c>
      <c r="D6" s="249">
        <v>20</v>
      </c>
      <c r="E6" s="217">
        <f t="shared" si="4"/>
        <v>13</v>
      </c>
      <c r="F6" s="217">
        <f t="shared" si="2"/>
        <v>7</v>
      </c>
      <c r="G6" s="137">
        <v>1</v>
      </c>
      <c r="H6" s="218">
        <v>1</v>
      </c>
      <c r="I6" s="138">
        <f t="shared" ca="1" si="0"/>
        <v>20</v>
      </c>
      <c r="J6" s="137">
        <f t="shared" ca="1" si="1"/>
        <v>42</v>
      </c>
      <c r="K6" s="252" t="str">
        <f t="shared" ca="1" si="3"/>
        <v>þ</v>
      </c>
      <c r="L6" s="219" t="s">
        <v>192</v>
      </c>
    </row>
    <row r="7" spans="1:12" x14ac:dyDescent="0.3">
      <c r="A7" s="136" t="s">
        <v>127</v>
      </c>
      <c r="B7" s="137" t="s">
        <v>131</v>
      </c>
      <c r="C7" s="137" t="s">
        <v>132</v>
      </c>
      <c r="D7" s="249">
        <v>20</v>
      </c>
      <c r="E7" s="217">
        <f t="shared" si="4"/>
        <v>13</v>
      </c>
      <c r="F7" s="217">
        <f>-1+2</f>
        <v>1</v>
      </c>
      <c r="G7" s="137">
        <v>0</v>
      </c>
      <c r="H7" s="218">
        <v>1</v>
      </c>
      <c r="I7" s="138">
        <f t="shared" ca="1" si="0"/>
        <v>11</v>
      </c>
      <c r="J7" s="137">
        <f t="shared" ca="1" si="1"/>
        <v>26</v>
      </c>
      <c r="K7" s="252" t="str">
        <f t="shared" ca="1" si="3"/>
        <v>ý</v>
      </c>
      <c r="L7" s="219" t="s">
        <v>192</v>
      </c>
    </row>
    <row r="8" spans="1:12" x14ac:dyDescent="0.3">
      <c r="A8" s="139" t="s">
        <v>127</v>
      </c>
      <c r="B8" s="140" t="s">
        <v>112</v>
      </c>
      <c r="C8" s="140" t="s">
        <v>112</v>
      </c>
      <c r="D8" s="250">
        <v>20</v>
      </c>
      <c r="E8" s="220">
        <f t="shared" si="4"/>
        <v>13</v>
      </c>
      <c r="F8" s="220">
        <f t="shared" si="2"/>
        <v>7</v>
      </c>
      <c r="G8" s="140">
        <v>0</v>
      </c>
      <c r="H8" s="221">
        <v>1</v>
      </c>
      <c r="I8" s="141">
        <f t="shared" ca="1" si="0"/>
        <v>7</v>
      </c>
      <c r="J8" s="140">
        <f t="shared" ca="1" si="1"/>
        <v>28</v>
      </c>
      <c r="K8" s="251" t="str">
        <f t="shared" ca="1" si="3"/>
        <v>ý</v>
      </c>
      <c r="L8" s="222" t="s">
        <v>192</v>
      </c>
    </row>
    <row r="9" spans="1:12" x14ac:dyDescent="0.3">
      <c r="A9" s="136" t="s">
        <v>123</v>
      </c>
      <c r="B9" s="137" t="s">
        <v>133</v>
      </c>
      <c r="C9" s="137" t="s">
        <v>134</v>
      </c>
      <c r="D9" s="249">
        <v>20</v>
      </c>
      <c r="E9" s="217">
        <f>4+2+1</f>
        <v>7</v>
      </c>
      <c r="F9" s="217">
        <f t="shared" ref="F9:F10" si="5">4+2</f>
        <v>6</v>
      </c>
      <c r="G9" s="137">
        <v>1</v>
      </c>
      <c r="H9" s="137">
        <v>0</v>
      </c>
      <c r="I9" s="138">
        <f t="shared" ca="1" si="0"/>
        <v>13</v>
      </c>
      <c r="J9" s="137">
        <f t="shared" ca="1" si="1"/>
        <v>27</v>
      </c>
      <c r="K9" s="252" t="str">
        <f t="shared" ca="1" si="3"/>
        <v>ý</v>
      </c>
      <c r="L9" s="223"/>
    </row>
    <row r="10" spans="1:12" x14ac:dyDescent="0.3">
      <c r="A10" s="136" t="s">
        <v>123</v>
      </c>
      <c r="B10" s="137" t="s">
        <v>135</v>
      </c>
      <c r="C10" s="137" t="s">
        <v>134</v>
      </c>
      <c r="D10" s="249">
        <v>20</v>
      </c>
      <c r="E10" s="217">
        <f t="shared" ref="E10:E13" si="6">4+2+1</f>
        <v>7</v>
      </c>
      <c r="F10" s="217">
        <f t="shared" si="5"/>
        <v>6</v>
      </c>
      <c r="G10" s="137">
        <v>1</v>
      </c>
      <c r="H10" s="137">
        <v>0</v>
      </c>
      <c r="I10" s="138">
        <f t="shared" ca="1" si="0"/>
        <v>14</v>
      </c>
      <c r="J10" s="137">
        <f t="shared" ca="1" si="1"/>
        <v>28</v>
      </c>
      <c r="K10" s="252" t="str">
        <f t="shared" ca="1" si="3"/>
        <v>ý</v>
      </c>
      <c r="L10" s="223"/>
    </row>
    <row r="11" spans="1:12" x14ac:dyDescent="0.3">
      <c r="A11" s="136" t="s">
        <v>123</v>
      </c>
      <c r="B11" s="137" t="s">
        <v>136</v>
      </c>
      <c r="C11" s="137" t="s">
        <v>137</v>
      </c>
      <c r="D11" s="249">
        <v>20</v>
      </c>
      <c r="E11" s="217">
        <f t="shared" si="6"/>
        <v>7</v>
      </c>
      <c r="F11" s="217">
        <f>4-5+2</f>
        <v>1</v>
      </c>
      <c r="G11" s="137">
        <v>0</v>
      </c>
      <c r="H11" s="137">
        <v>0</v>
      </c>
      <c r="I11" s="138">
        <f t="shared" ca="1" si="0"/>
        <v>18</v>
      </c>
      <c r="J11" s="137">
        <f t="shared" ca="1" si="1"/>
        <v>26</v>
      </c>
      <c r="K11" s="252" t="str">
        <f t="shared" ca="1" si="3"/>
        <v>ý</v>
      </c>
      <c r="L11" s="223"/>
    </row>
    <row r="12" spans="1:12" x14ac:dyDescent="0.3">
      <c r="A12" s="136" t="s">
        <v>123</v>
      </c>
      <c r="B12" s="137" t="s">
        <v>138</v>
      </c>
      <c r="C12" s="137" t="s">
        <v>132</v>
      </c>
      <c r="D12" s="249">
        <v>20</v>
      </c>
      <c r="E12" s="217">
        <f t="shared" si="6"/>
        <v>7</v>
      </c>
      <c r="F12" s="217">
        <v>2</v>
      </c>
      <c r="G12" s="137">
        <v>0</v>
      </c>
      <c r="H12" s="137">
        <v>0</v>
      </c>
      <c r="I12" s="138">
        <f t="shared" ca="1" si="0"/>
        <v>8</v>
      </c>
      <c r="J12" s="137">
        <f t="shared" ca="1" si="1"/>
        <v>17</v>
      </c>
      <c r="K12" s="252" t="str">
        <f t="shared" ca="1" si="3"/>
        <v>ý</v>
      </c>
      <c r="L12" s="223"/>
    </row>
    <row r="13" spans="1:12" x14ac:dyDescent="0.3">
      <c r="A13" s="139" t="s">
        <v>123</v>
      </c>
      <c r="B13" s="140" t="s">
        <v>112</v>
      </c>
      <c r="C13" s="140" t="s">
        <v>112</v>
      </c>
      <c r="D13" s="250">
        <v>20</v>
      </c>
      <c r="E13" s="220">
        <f t="shared" si="6"/>
        <v>7</v>
      </c>
      <c r="F13" s="220">
        <f>-1+2</f>
        <v>1</v>
      </c>
      <c r="G13" s="140">
        <v>0</v>
      </c>
      <c r="H13" s="140">
        <v>0</v>
      </c>
      <c r="I13" s="141">
        <f t="shared" ca="1" si="0"/>
        <v>14</v>
      </c>
      <c r="J13" s="140">
        <f t="shared" ca="1" si="1"/>
        <v>22</v>
      </c>
      <c r="K13" s="251" t="str">
        <f t="shared" ca="1" si="3"/>
        <v>ý</v>
      </c>
      <c r="L13" s="224"/>
    </row>
    <row r="14" spans="1:12" ht="18.600000000000001" x14ac:dyDescent="0.3">
      <c r="A14" s="136" t="s">
        <v>125</v>
      </c>
      <c r="B14" s="137" t="s">
        <v>139</v>
      </c>
      <c r="C14" s="137" t="s">
        <v>140</v>
      </c>
      <c r="D14" s="249">
        <v>20</v>
      </c>
      <c r="E14" s="217">
        <f t="shared" ref="E14:E18" si="7">5+1</f>
        <v>6</v>
      </c>
      <c r="F14" s="217">
        <f t="shared" ref="F14:F18" si="8">0+2</f>
        <v>2</v>
      </c>
      <c r="G14" s="137">
        <v>2</v>
      </c>
      <c r="H14" s="137">
        <v>0</v>
      </c>
      <c r="I14" s="138">
        <f t="shared" ca="1" si="0"/>
        <v>8</v>
      </c>
      <c r="J14" s="137">
        <f t="shared" ca="1" si="1"/>
        <v>18</v>
      </c>
      <c r="K14" s="252" t="str">
        <f t="shared" ca="1" si="3"/>
        <v>ý</v>
      </c>
      <c r="L14" s="137"/>
    </row>
    <row r="15" spans="1:12" x14ac:dyDescent="0.3">
      <c r="A15" s="136" t="s">
        <v>125</v>
      </c>
      <c r="B15" s="137" t="s">
        <v>141</v>
      </c>
      <c r="C15" s="137" t="s">
        <v>142</v>
      </c>
      <c r="D15" s="249">
        <v>20</v>
      </c>
      <c r="E15" s="217">
        <f t="shared" si="7"/>
        <v>6</v>
      </c>
      <c r="F15" s="217">
        <f t="shared" si="8"/>
        <v>2</v>
      </c>
      <c r="G15" s="137">
        <v>1</v>
      </c>
      <c r="H15" s="137">
        <v>0</v>
      </c>
      <c r="I15" s="138">
        <f t="shared" ca="1" si="0"/>
        <v>12</v>
      </c>
      <c r="J15" s="137">
        <f t="shared" ca="1" si="1"/>
        <v>21</v>
      </c>
      <c r="K15" s="252" t="str">
        <f t="shared" ca="1" si="3"/>
        <v>ý</v>
      </c>
      <c r="L15" s="137"/>
    </row>
    <row r="16" spans="1:12" x14ac:dyDescent="0.3">
      <c r="A16" s="136" t="s">
        <v>125</v>
      </c>
      <c r="B16" s="137" t="s">
        <v>131</v>
      </c>
      <c r="C16" s="137" t="s">
        <v>132</v>
      </c>
      <c r="D16" s="249">
        <v>20</v>
      </c>
      <c r="E16" s="217">
        <f t="shared" si="7"/>
        <v>6</v>
      </c>
      <c r="F16" s="217">
        <f t="shared" si="8"/>
        <v>2</v>
      </c>
      <c r="G16" s="137">
        <v>0</v>
      </c>
      <c r="H16" s="137">
        <v>0</v>
      </c>
      <c r="I16" s="138">
        <f t="shared" ca="1" si="0"/>
        <v>10</v>
      </c>
      <c r="J16" s="137">
        <f t="shared" ca="1" si="1"/>
        <v>18</v>
      </c>
      <c r="K16" s="252" t="str">
        <f t="shared" ca="1" si="3"/>
        <v>ý</v>
      </c>
      <c r="L16" s="137"/>
    </row>
    <row r="17" spans="1:12" x14ac:dyDescent="0.3">
      <c r="A17" s="136" t="s">
        <v>125</v>
      </c>
      <c r="B17" s="137" t="s">
        <v>76</v>
      </c>
      <c r="C17" s="137" t="s">
        <v>132</v>
      </c>
      <c r="D17" s="249">
        <v>20</v>
      </c>
      <c r="E17" s="217">
        <v>9</v>
      </c>
      <c r="F17" s="217">
        <f t="shared" si="8"/>
        <v>2</v>
      </c>
      <c r="G17" s="137">
        <v>0</v>
      </c>
      <c r="H17" s="137">
        <v>0</v>
      </c>
      <c r="I17" s="138">
        <f t="shared" ca="1" si="0"/>
        <v>20</v>
      </c>
      <c r="J17" s="137">
        <f t="shared" ca="1" si="1"/>
        <v>31</v>
      </c>
      <c r="K17" s="252" t="str">
        <f t="shared" ca="1" si="3"/>
        <v>þ</v>
      </c>
      <c r="L17" s="137"/>
    </row>
    <row r="18" spans="1:12" x14ac:dyDescent="0.3">
      <c r="A18" s="139" t="s">
        <v>125</v>
      </c>
      <c r="B18" s="140" t="s">
        <v>112</v>
      </c>
      <c r="C18" s="140" t="s">
        <v>112</v>
      </c>
      <c r="D18" s="250">
        <v>20</v>
      </c>
      <c r="E18" s="220">
        <f t="shared" si="7"/>
        <v>6</v>
      </c>
      <c r="F18" s="220">
        <f t="shared" si="8"/>
        <v>2</v>
      </c>
      <c r="G18" s="140">
        <v>0</v>
      </c>
      <c r="H18" s="140">
        <v>0</v>
      </c>
      <c r="I18" s="141">
        <f t="shared" ca="1" si="0"/>
        <v>17</v>
      </c>
      <c r="J18" s="140">
        <f t="shared" ca="1" si="1"/>
        <v>25</v>
      </c>
      <c r="K18" s="251" t="str">
        <f t="shared" ca="1" si="3"/>
        <v>ý</v>
      </c>
      <c r="L18" s="140"/>
    </row>
    <row r="19" spans="1:12" x14ac:dyDescent="0.3">
      <c r="A19" s="136" t="s">
        <v>126</v>
      </c>
      <c r="B19" s="137" t="s">
        <v>143</v>
      </c>
      <c r="C19" s="137" t="s">
        <v>144</v>
      </c>
      <c r="D19" s="249">
        <v>20</v>
      </c>
      <c r="E19" s="217">
        <f t="shared" ref="E19:E23" si="9">5+1</f>
        <v>6</v>
      </c>
      <c r="F19" s="137">
        <v>0</v>
      </c>
      <c r="G19" s="137">
        <v>2</v>
      </c>
      <c r="H19" s="137">
        <v>0</v>
      </c>
      <c r="I19" s="138">
        <f t="shared" ca="1" si="0"/>
        <v>7</v>
      </c>
      <c r="J19" s="137">
        <f t="shared" ca="1" si="1"/>
        <v>15</v>
      </c>
      <c r="K19" s="252" t="str">
        <f t="shared" ca="1" si="3"/>
        <v>ý</v>
      </c>
      <c r="L19" s="223"/>
    </row>
    <row r="20" spans="1:12" x14ac:dyDescent="0.3">
      <c r="A20" s="136" t="s">
        <v>126</v>
      </c>
      <c r="B20" s="137" t="s">
        <v>145</v>
      </c>
      <c r="C20" s="137" t="s">
        <v>146</v>
      </c>
      <c r="D20" s="249">
        <v>20</v>
      </c>
      <c r="E20" s="217">
        <f t="shared" si="9"/>
        <v>6</v>
      </c>
      <c r="F20" s="137">
        <v>0</v>
      </c>
      <c r="G20" s="137">
        <v>1</v>
      </c>
      <c r="H20" s="137">
        <v>0</v>
      </c>
      <c r="I20" s="138">
        <f t="shared" ca="1" si="0"/>
        <v>13</v>
      </c>
      <c r="J20" s="137">
        <f t="shared" ca="1" si="1"/>
        <v>20</v>
      </c>
      <c r="K20" s="252" t="str">
        <f t="shared" ca="1" si="3"/>
        <v>ý</v>
      </c>
      <c r="L20" s="223"/>
    </row>
    <row r="21" spans="1:12" x14ac:dyDescent="0.3">
      <c r="A21" s="136" t="s">
        <v>126</v>
      </c>
      <c r="B21" s="223" t="s">
        <v>147</v>
      </c>
      <c r="C21" s="137" t="s">
        <v>148</v>
      </c>
      <c r="D21" s="249">
        <v>20</v>
      </c>
      <c r="E21" s="217">
        <f t="shared" si="9"/>
        <v>6</v>
      </c>
      <c r="F21" s="137">
        <v>1</v>
      </c>
      <c r="G21" s="137">
        <v>0</v>
      </c>
      <c r="H21" s="137">
        <v>0</v>
      </c>
      <c r="I21" s="138">
        <f t="shared" ca="1" si="0"/>
        <v>17</v>
      </c>
      <c r="J21" s="137">
        <f t="shared" ca="1" si="1"/>
        <v>24</v>
      </c>
      <c r="K21" s="252" t="str">
        <f t="shared" ca="1" si="3"/>
        <v>ý</v>
      </c>
      <c r="L21" s="223" t="s">
        <v>158</v>
      </c>
    </row>
    <row r="22" spans="1:12" x14ac:dyDescent="0.3">
      <c r="A22" s="136" t="s">
        <v>126</v>
      </c>
      <c r="B22" s="137" t="s">
        <v>131</v>
      </c>
      <c r="C22" s="137" t="s">
        <v>132</v>
      </c>
      <c r="D22" s="249">
        <v>20</v>
      </c>
      <c r="E22" s="217">
        <f t="shared" si="9"/>
        <v>6</v>
      </c>
      <c r="F22" s="137">
        <v>1</v>
      </c>
      <c r="G22" s="137">
        <v>0</v>
      </c>
      <c r="H22" s="137">
        <v>0</v>
      </c>
      <c r="I22" s="138">
        <f t="shared" ca="1" si="0"/>
        <v>3</v>
      </c>
      <c r="J22" s="137">
        <f t="shared" ca="1" si="1"/>
        <v>10</v>
      </c>
      <c r="K22" s="252" t="str">
        <f t="shared" ca="1" si="3"/>
        <v>ý</v>
      </c>
      <c r="L22" s="223"/>
    </row>
    <row r="23" spans="1:12" x14ac:dyDescent="0.3">
      <c r="A23" s="139" t="s">
        <v>126</v>
      </c>
      <c r="B23" s="140" t="s">
        <v>112</v>
      </c>
      <c r="C23" s="140" t="s">
        <v>112</v>
      </c>
      <c r="D23" s="250">
        <v>20</v>
      </c>
      <c r="E23" s="220">
        <f t="shared" si="9"/>
        <v>6</v>
      </c>
      <c r="F23" s="140">
        <v>0</v>
      </c>
      <c r="G23" s="140">
        <v>0</v>
      </c>
      <c r="H23" s="140">
        <v>0</v>
      </c>
      <c r="I23" s="141">
        <f t="shared" ca="1" si="0"/>
        <v>19</v>
      </c>
      <c r="J23" s="140">
        <f t="shared" ca="1" si="1"/>
        <v>25</v>
      </c>
      <c r="K23" s="251" t="str">
        <f t="shared" ca="1" si="3"/>
        <v>ý</v>
      </c>
      <c r="L23" s="224"/>
    </row>
    <row r="24" spans="1:12" x14ac:dyDescent="0.3">
      <c r="A24" s="136" t="s">
        <v>154</v>
      </c>
      <c r="B24" s="137" t="s">
        <v>159</v>
      </c>
      <c r="C24" s="137" t="s">
        <v>196</v>
      </c>
      <c r="D24" s="249">
        <v>18</v>
      </c>
      <c r="E24" s="217">
        <f t="shared" ref="E24:E36" si="10">13+1</f>
        <v>14</v>
      </c>
      <c r="F24" s="217">
        <v>3</v>
      </c>
      <c r="G24" s="137">
        <v>1</v>
      </c>
      <c r="H24" s="137">
        <v>0</v>
      </c>
      <c r="I24" s="138">
        <f t="shared" ca="1" si="0"/>
        <v>6</v>
      </c>
      <c r="J24" s="137">
        <f t="shared" ref="J24:J36" ca="1" si="11">SUM(E24:I24)</f>
        <v>24</v>
      </c>
      <c r="K24" s="252" t="str">
        <f t="shared" ca="1" si="3"/>
        <v>ý</v>
      </c>
      <c r="L24" s="223"/>
    </row>
    <row r="25" spans="1:12" x14ac:dyDescent="0.3">
      <c r="A25" s="136" t="s">
        <v>154</v>
      </c>
      <c r="B25" s="137" t="s">
        <v>128</v>
      </c>
      <c r="C25" s="137" t="s">
        <v>196</v>
      </c>
      <c r="D25" s="249">
        <v>18</v>
      </c>
      <c r="E25" s="217">
        <f>E24-5</f>
        <v>9</v>
      </c>
      <c r="F25" s="217">
        <v>3</v>
      </c>
      <c r="G25" s="137">
        <v>1</v>
      </c>
      <c r="H25" s="137">
        <v>0</v>
      </c>
      <c r="I25" s="138">
        <f t="shared" ca="1" si="0"/>
        <v>4</v>
      </c>
      <c r="J25" s="137">
        <f t="shared" ref="J25:J27" ca="1" si="12">SUM(E25:I25)</f>
        <v>17</v>
      </c>
      <c r="K25" s="252" t="str">
        <f t="shared" ca="1" si="3"/>
        <v>ý</v>
      </c>
      <c r="L25" s="223"/>
    </row>
    <row r="26" spans="1:12" x14ac:dyDescent="0.3">
      <c r="A26" s="136" t="s">
        <v>154</v>
      </c>
      <c r="B26" s="137" t="s">
        <v>129</v>
      </c>
      <c r="C26" s="137" t="s">
        <v>196</v>
      </c>
      <c r="D26" s="249">
        <v>18</v>
      </c>
      <c r="E26" s="217">
        <f>E25-5</f>
        <v>4</v>
      </c>
      <c r="F26" s="217">
        <v>3</v>
      </c>
      <c r="G26" s="137">
        <v>1</v>
      </c>
      <c r="H26" s="137">
        <v>0</v>
      </c>
      <c r="I26" s="138">
        <f t="shared" ca="1" si="0"/>
        <v>13</v>
      </c>
      <c r="J26" s="137">
        <f t="shared" ca="1" si="12"/>
        <v>21</v>
      </c>
      <c r="K26" s="252" t="str">
        <f t="shared" ca="1" si="3"/>
        <v>ý</v>
      </c>
      <c r="L26" s="223"/>
    </row>
    <row r="27" spans="1:12" x14ac:dyDescent="0.3">
      <c r="A27" s="136" t="s">
        <v>154</v>
      </c>
      <c r="B27" s="137" t="s">
        <v>184</v>
      </c>
      <c r="C27" s="137" t="s">
        <v>196</v>
      </c>
      <c r="D27" s="249">
        <v>18</v>
      </c>
      <c r="E27" s="217">
        <f t="shared" si="10"/>
        <v>14</v>
      </c>
      <c r="F27" s="217">
        <v>3</v>
      </c>
      <c r="G27" s="137">
        <v>1</v>
      </c>
      <c r="H27" s="137">
        <v>0</v>
      </c>
      <c r="I27" s="138">
        <f t="shared" ca="1" si="0"/>
        <v>11</v>
      </c>
      <c r="J27" s="137">
        <f t="shared" ca="1" si="12"/>
        <v>29</v>
      </c>
      <c r="K27" s="252" t="str">
        <f t="shared" ca="1" si="3"/>
        <v>ý</v>
      </c>
      <c r="L27" s="223"/>
    </row>
    <row r="28" spans="1:12" x14ac:dyDescent="0.3">
      <c r="A28" s="136" t="s">
        <v>154</v>
      </c>
      <c r="B28" s="137" t="s">
        <v>188</v>
      </c>
      <c r="C28" s="137" t="s">
        <v>195</v>
      </c>
      <c r="D28" s="249">
        <v>15</v>
      </c>
      <c r="E28" s="217">
        <f t="shared" si="10"/>
        <v>14</v>
      </c>
      <c r="F28" s="217">
        <v>3</v>
      </c>
      <c r="G28" s="137">
        <v>2</v>
      </c>
      <c r="H28" s="137">
        <v>0</v>
      </c>
      <c r="I28" s="138">
        <f t="shared" ca="1" si="0"/>
        <v>7</v>
      </c>
      <c r="J28" s="137">
        <f t="shared" ca="1" si="11"/>
        <v>26</v>
      </c>
      <c r="K28" s="252" t="str">
        <f t="shared" ca="1" si="3"/>
        <v>ý</v>
      </c>
      <c r="L28" s="223"/>
    </row>
    <row r="29" spans="1:12" x14ac:dyDescent="0.3">
      <c r="A29" s="136" t="s">
        <v>154</v>
      </c>
      <c r="B29" s="137" t="s">
        <v>128</v>
      </c>
      <c r="C29" s="137" t="s">
        <v>195</v>
      </c>
      <c r="D29" s="249">
        <v>15</v>
      </c>
      <c r="E29" s="217">
        <f>E28-5</f>
        <v>9</v>
      </c>
      <c r="F29" s="217">
        <v>3</v>
      </c>
      <c r="G29" s="137">
        <v>2</v>
      </c>
      <c r="H29" s="137">
        <v>0</v>
      </c>
      <c r="I29" s="138">
        <f t="shared" ca="1" si="0"/>
        <v>2</v>
      </c>
      <c r="J29" s="137">
        <f t="shared" ref="J29:J31" ca="1" si="13">SUM(E29:I29)</f>
        <v>16</v>
      </c>
      <c r="K29" s="252" t="str">
        <f t="shared" ca="1" si="3"/>
        <v>ý</v>
      </c>
      <c r="L29" s="223"/>
    </row>
    <row r="30" spans="1:12" x14ac:dyDescent="0.3">
      <c r="A30" s="136" t="s">
        <v>154</v>
      </c>
      <c r="B30" s="137" t="s">
        <v>129</v>
      </c>
      <c r="C30" s="137" t="s">
        <v>195</v>
      </c>
      <c r="D30" s="249">
        <v>15</v>
      </c>
      <c r="E30" s="217">
        <f>E29-5</f>
        <v>4</v>
      </c>
      <c r="F30" s="217">
        <v>3</v>
      </c>
      <c r="G30" s="137">
        <v>2</v>
      </c>
      <c r="H30" s="137">
        <v>0</v>
      </c>
      <c r="I30" s="138">
        <f t="shared" ca="1" si="0"/>
        <v>3</v>
      </c>
      <c r="J30" s="137">
        <f t="shared" ca="1" si="13"/>
        <v>12</v>
      </c>
      <c r="K30" s="252" t="str">
        <f t="shared" ca="1" si="3"/>
        <v>ý</v>
      </c>
      <c r="L30" s="223"/>
    </row>
    <row r="31" spans="1:12" x14ac:dyDescent="0.3">
      <c r="A31" s="136" t="s">
        <v>154</v>
      </c>
      <c r="B31" s="137" t="s">
        <v>185</v>
      </c>
      <c r="C31" s="137" t="s">
        <v>195</v>
      </c>
      <c r="D31" s="249">
        <v>15</v>
      </c>
      <c r="E31" s="217">
        <f t="shared" si="10"/>
        <v>14</v>
      </c>
      <c r="F31" s="217">
        <v>3</v>
      </c>
      <c r="G31" s="137">
        <v>2</v>
      </c>
      <c r="H31" s="137">
        <v>0</v>
      </c>
      <c r="I31" s="138">
        <f t="shared" ca="1" si="0"/>
        <v>13</v>
      </c>
      <c r="J31" s="137">
        <f t="shared" ca="1" si="13"/>
        <v>32</v>
      </c>
      <c r="K31" s="252" t="str">
        <f t="shared" ca="1" si="3"/>
        <v>ý</v>
      </c>
      <c r="L31" s="223"/>
    </row>
    <row r="32" spans="1:12" x14ac:dyDescent="0.3">
      <c r="A32" s="136" t="s">
        <v>154</v>
      </c>
      <c r="B32" s="137" t="s">
        <v>161</v>
      </c>
      <c r="C32" s="137" t="s">
        <v>174</v>
      </c>
      <c r="D32" s="249">
        <v>20</v>
      </c>
      <c r="E32" s="217">
        <f t="shared" si="10"/>
        <v>14</v>
      </c>
      <c r="F32" s="137">
        <v>3</v>
      </c>
      <c r="G32" s="137">
        <v>3</v>
      </c>
      <c r="H32" s="137">
        <v>0</v>
      </c>
      <c r="I32" s="138">
        <f t="shared" ca="1" si="0"/>
        <v>18</v>
      </c>
      <c r="J32" s="137">
        <f t="shared" ca="1" si="11"/>
        <v>38</v>
      </c>
      <c r="K32" s="252" t="str">
        <f t="shared" ca="1" si="3"/>
        <v>ý</v>
      </c>
      <c r="L32" s="223"/>
    </row>
    <row r="33" spans="1:12" x14ac:dyDescent="0.3">
      <c r="A33" s="136" t="s">
        <v>154</v>
      </c>
      <c r="B33" s="137" t="s">
        <v>128</v>
      </c>
      <c r="C33" s="137" t="s">
        <v>174</v>
      </c>
      <c r="D33" s="249">
        <v>20</v>
      </c>
      <c r="E33" s="217">
        <f>E32-5</f>
        <v>9</v>
      </c>
      <c r="F33" s="137">
        <v>3</v>
      </c>
      <c r="G33" s="137">
        <v>3</v>
      </c>
      <c r="H33" s="137">
        <v>0</v>
      </c>
      <c r="I33" s="138">
        <f t="shared" ca="1" si="0"/>
        <v>16</v>
      </c>
      <c r="J33" s="137">
        <f t="shared" ref="J33:J35" ca="1" si="14">SUM(E33:I33)</f>
        <v>31</v>
      </c>
      <c r="K33" s="252" t="str">
        <f t="shared" ca="1" si="3"/>
        <v>ý</v>
      </c>
      <c r="L33" s="223"/>
    </row>
    <row r="34" spans="1:12" x14ac:dyDescent="0.3">
      <c r="A34" s="136" t="s">
        <v>154</v>
      </c>
      <c r="B34" s="137" t="s">
        <v>129</v>
      </c>
      <c r="C34" s="137" t="s">
        <v>174</v>
      </c>
      <c r="D34" s="249">
        <v>20</v>
      </c>
      <c r="E34" s="217">
        <f>E33-5</f>
        <v>4</v>
      </c>
      <c r="F34" s="137">
        <v>3</v>
      </c>
      <c r="G34" s="137">
        <v>3</v>
      </c>
      <c r="H34" s="137">
        <v>0</v>
      </c>
      <c r="I34" s="138">
        <f t="shared" ca="1" si="0"/>
        <v>12</v>
      </c>
      <c r="J34" s="137">
        <f t="shared" ca="1" si="14"/>
        <v>22</v>
      </c>
      <c r="K34" s="252" t="str">
        <f t="shared" ca="1" si="3"/>
        <v>ý</v>
      </c>
      <c r="L34" s="223"/>
    </row>
    <row r="35" spans="1:12" x14ac:dyDescent="0.3">
      <c r="A35" s="136" t="s">
        <v>154</v>
      </c>
      <c r="B35" s="137" t="s">
        <v>186</v>
      </c>
      <c r="C35" s="137" t="s">
        <v>174</v>
      </c>
      <c r="D35" s="249">
        <v>20</v>
      </c>
      <c r="E35" s="217">
        <f t="shared" si="10"/>
        <v>14</v>
      </c>
      <c r="F35" s="137">
        <v>3</v>
      </c>
      <c r="G35" s="137">
        <v>3</v>
      </c>
      <c r="H35" s="137">
        <v>0</v>
      </c>
      <c r="I35" s="138">
        <f t="shared" ca="1" si="0"/>
        <v>1</v>
      </c>
      <c r="J35" s="137">
        <f t="shared" ca="1" si="14"/>
        <v>21</v>
      </c>
      <c r="K35" s="252" t="str">
        <f t="shared" ca="1" si="3"/>
        <v>ý</v>
      </c>
      <c r="L35" s="223"/>
    </row>
    <row r="36" spans="1:12" x14ac:dyDescent="0.3">
      <c r="A36" s="139" t="s">
        <v>154</v>
      </c>
      <c r="B36" s="140" t="s">
        <v>112</v>
      </c>
      <c r="C36" s="140" t="s">
        <v>112</v>
      </c>
      <c r="D36" s="250">
        <v>20</v>
      </c>
      <c r="E36" s="217">
        <f t="shared" si="10"/>
        <v>14</v>
      </c>
      <c r="F36" s="140">
        <v>0</v>
      </c>
      <c r="G36" s="140">
        <v>0</v>
      </c>
      <c r="H36" s="140">
        <v>0</v>
      </c>
      <c r="I36" s="141">
        <f t="shared" ca="1" si="0"/>
        <v>12</v>
      </c>
      <c r="J36" s="140">
        <f t="shared" ca="1" si="11"/>
        <v>26</v>
      </c>
      <c r="K36" s="251" t="str">
        <f t="shared" ca="1" si="3"/>
        <v>ý</v>
      </c>
      <c r="L36" s="224"/>
    </row>
    <row r="37" spans="1:12" x14ac:dyDescent="0.3">
      <c r="A37" s="260" t="s">
        <v>201</v>
      </c>
      <c r="B37" s="137" t="s">
        <v>133</v>
      </c>
      <c r="C37" s="137" t="s">
        <v>202</v>
      </c>
      <c r="D37" s="249">
        <v>20</v>
      </c>
      <c r="E37" s="257">
        <v>9</v>
      </c>
      <c r="F37" s="137">
        <v>10</v>
      </c>
      <c r="G37" s="137">
        <v>0</v>
      </c>
      <c r="H37" s="137">
        <v>0</v>
      </c>
      <c r="I37" s="138">
        <f t="shared" ca="1" si="0"/>
        <v>2</v>
      </c>
      <c r="J37" s="137">
        <f t="shared" ref="J37:J38" ca="1" si="15">SUM(E37:I37)</f>
        <v>21</v>
      </c>
      <c r="K37" s="252" t="str">
        <f t="shared" ref="K37:K40" ca="1" si="16">IF(I37&gt;(D37-1),"þ","ý")</f>
        <v>ý</v>
      </c>
      <c r="L37" s="223"/>
    </row>
    <row r="38" spans="1:12" x14ac:dyDescent="0.3">
      <c r="A38" s="260" t="s">
        <v>201</v>
      </c>
      <c r="B38" s="137" t="s">
        <v>135</v>
      </c>
      <c r="C38" s="137" t="s">
        <v>202</v>
      </c>
      <c r="D38" s="249">
        <v>20</v>
      </c>
      <c r="E38" s="258">
        <v>9</v>
      </c>
      <c r="F38" s="137">
        <v>10</v>
      </c>
      <c r="G38" s="137">
        <v>0</v>
      </c>
      <c r="H38" s="137">
        <v>0</v>
      </c>
      <c r="I38" s="138">
        <f t="shared" ca="1" si="0"/>
        <v>14</v>
      </c>
      <c r="J38" s="137">
        <f t="shared" ca="1" si="15"/>
        <v>33</v>
      </c>
      <c r="K38" s="252" t="str">
        <f t="shared" ca="1" si="16"/>
        <v>ý</v>
      </c>
      <c r="L38" s="223"/>
    </row>
    <row r="39" spans="1:12" x14ac:dyDescent="0.3">
      <c r="A39" s="260" t="s">
        <v>201</v>
      </c>
      <c r="B39" s="137" t="s">
        <v>136</v>
      </c>
      <c r="C39" s="137" t="s">
        <v>203</v>
      </c>
      <c r="D39" s="249">
        <v>20</v>
      </c>
      <c r="E39" s="258">
        <v>3</v>
      </c>
      <c r="F39" s="137">
        <v>10</v>
      </c>
      <c r="G39" s="137">
        <v>0</v>
      </c>
      <c r="H39" s="137">
        <v>0</v>
      </c>
      <c r="I39" s="138">
        <f t="shared" ca="1" si="0"/>
        <v>9</v>
      </c>
      <c r="J39" s="137">
        <f t="shared" ref="J39" ca="1" si="17">SUM(E39:I39)</f>
        <v>22</v>
      </c>
      <c r="K39" s="252" t="str">
        <f t="shared" ref="K39" ca="1" si="18">IF(I39&gt;(D39-1),"þ","ý")</f>
        <v>ý</v>
      </c>
      <c r="L39" s="223"/>
    </row>
    <row r="40" spans="1:12" x14ac:dyDescent="0.3">
      <c r="A40" s="261" t="s">
        <v>201</v>
      </c>
      <c r="B40" s="140" t="s">
        <v>112</v>
      </c>
      <c r="C40" s="140" t="s">
        <v>112</v>
      </c>
      <c r="D40" s="250">
        <v>20</v>
      </c>
      <c r="E40" s="259">
        <v>9</v>
      </c>
      <c r="F40" s="140">
        <v>14</v>
      </c>
      <c r="G40" s="140">
        <v>0</v>
      </c>
      <c r="H40" s="140">
        <v>0</v>
      </c>
      <c r="I40" s="141">
        <f t="shared" ca="1" si="0"/>
        <v>1</v>
      </c>
      <c r="J40" s="140">
        <f t="shared" ref="J40" ca="1" si="19">SUM(E40:I40)</f>
        <v>24</v>
      </c>
      <c r="K40" s="251" t="str">
        <f t="shared" ca="1" si="16"/>
        <v>ý</v>
      </c>
      <c r="L40" s="224"/>
    </row>
  </sheetData>
  <conditionalFormatting sqref="K2:K36">
    <cfRule type="cellIs" dxfId="38" priority="3" operator="equal">
      <formula>"þ"</formula>
    </cfRule>
  </conditionalFormatting>
  <conditionalFormatting sqref="K37:K38 K40">
    <cfRule type="cellIs" dxfId="37" priority="2" operator="equal">
      <formula>"þ"</formula>
    </cfRule>
  </conditionalFormatting>
  <conditionalFormatting sqref="K39">
    <cfRule type="cellIs" dxfId="3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Normal="100" workbookViewId="0"/>
  </sheetViews>
  <sheetFormatPr defaultColWidth="3.8984375" defaultRowHeight="15.6" x14ac:dyDescent="0.3"/>
  <cols>
    <col min="1" max="1" width="14.7968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20.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20" t="s">
        <v>0</v>
      </c>
      <c r="B1" s="120" t="s">
        <v>68</v>
      </c>
      <c r="C1" s="120" t="s">
        <v>42</v>
      </c>
      <c r="D1" s="119" t="s">
        <v>3</v>
      </c>
      <c r="E1" s="120" t="s">
        <v>43</v>
      </c>
      <c r="G1" s="120" t="s">
        <v>0</v>
      </c>
      <c r="H1" s="120" t="s">
        <v>92</v>
      </c>
      <c r="I1" s="120" t="s">
        <v>42</v>
      </c>
      <c r="J1" s="119" t="s">
        <v>3</v>
      </c>
      <c r="K1" s="120" t="s">
        <v>43</v>
      </c>
    </row>
    <row r="2" spans="1:11" x14ac:dyDescent="0.3">
      <c r="A2" s="71" t="s">
        <v>121</v>
      </c>
      <c r="B2" s="127" t="s">
        <v>44</v>
      </c>
      <c r="C2" s="72"/>
      <c r="D2" s="117">
        <f t="shared" ref="D2:D4" ca="1" si="0">RANDBETWEEN(1,20)</f>
        <v>11</v>
      </c>
      <c r="E2" s="72">
        <f t="shared" ref="E2:E4" ca="1" si="1">D2+C2</f>
        <v>11</v>
      </c>
      <c r="G2" s="76"/>
      <c r="H2" s="128" t="s">
        <v>76</v>
      </c>
      <c r="I2" s="125"/>
      <c r="J2" s="118">
        <f t="shared" ref="J2:J11" ca="1" si="2">RANDBETWEEN(1,20)</f>
        <v>8</v>
      </c>
      <c r="K2" s="77">
        <f t="shared" ref="K2:K11" ca="1" si="3">J2+I2</f>
        <v>8</v>
      </c>
    </row>
    <row r="3" spans="1:11" x14ac:dyDescent="0.3">
      <c r="A3" s="73" t="s">
        <v>121</v>
      </c>
      <c r="B3" s="127" t="s">
        <v>45</v>
      </c>
      <c r="C3" s="74"/>
      <c r="D3" s="116">
        <f t="shared" ca="1" si="0"/>
        <v>3</v>
      </c>
      <c r="E3" s="74">
        <f t="shared" ca="1" si="1"/>
        <v>3</v>
      </c>
      <c r="G3" s="76"/>
      <c r="H3" s="128" t="s">
        <v>73</v>
      </c>
      <c r="I3" s="125"/>
      <c r="J3" s="118">
        <f t="shared" ca="1" si="2"/>
        <v>1</v>
      </c>
      <c r="K3" s="77">
        <f t="shared" ca="1" si="3"/>
        <v>1</v>
      </c>
    </row>
    <row r="4" spans="1:11" x14ac:dyDescent="0.3">
      <c r="A4" s="76" t="s">
        <v>121</v>
      </c>
      <c r="B4" s="128" t="s">
        <v>46</v>
      </c>
      <c r="C4" s="77"/>
      <c r="D4" s="118">
        <f t="shared" ca="1" si="0"/>
        <v>7</v>
      </c>
      <c r="E4" s="77">
        <f t="shared" ca="1" si="1"/>
        <v>7</v>
      </c>
      <c r="G4" s="76"/>
      <c r="H4" s="128" t="s">
        <v>72</v>
      </c>
      <c r="I4" s="125"/>
      <c r="J4" s="118">
        <f t="shared" ca="1" si="2"/>
        <v>5</v>
      </c>
      <c r="K4" s="77">
        <f t="shared" ca="1" si="3"/>
        <v>5</v>
      </c>
    </row>
    <row r="5" spans="1:11" x14ac:dyDescent="0.3">
      <c r="G5" s="76"/>
      <c r="H5" s="128" t="s">
        <v>88</v>
      </c>
      <c r="I5" s="125"/>
      <c r="J5" s="118">
        <f t="shared" ca="1" si="2"/>
        <v>12</v>
      </c>
      <c r="K5" s="77">
        <f t="shared" ca="1" si="3"/>
        <v>12</v>
      </c>
    </row>
    <row r="6" spans="1:11" x14ac:dyDescent="0.3">
      <c r="G6" s="170"/>
      <c r="H6" s="174" t="s">
        <v>95</v>
      </c>
      <c r="I6" s="175"/>
      <c r="J6" s="172">
        <f t="shared" ca="1" si="2"/>
        <v>1</v>
      </c>
      <c r="K6" s="173">
        <f t="shared" ca="1" si="3"/>
        <v>1</v>
      </c>
    </row>
    <row r="7" spans="1:11" x14ac:dyDescent="0.3">
      <c r="G7" s="170"/>
      <c r="H7" s="174" t="s">
        <v>77</v>
      </c>
      <c r="I7" s="175"/>
      <c r="J7" s="172">
        <f t="shared" ca="1" si="2"/>
        <v>4</v>
      </c>
      <c r="K7" s="173">
        <f t="shared" ca="1" si="3"/>
        <v>4</v>
      </c>
    </row>
    <row r="8" spans="1:11" x14ac:dyDescent="0.3">
      <c r="G8" s="170"/>
      <c r="H8" s="171" t="s">
        <v>75</v>
      </c>
      <c r="I8" s="171"/>
      <c r="J8" s="172">
        <f t="shared" ca="1" si="2"/>
        <v>8</v>
      </c>
      <c r="K8" s="173">
        <f t="shared" ca="1" si="3"/>
        <v>8</v>
      </c>
    </row>
    <row r="9" spans="1:11" x14ac:dyDescent="0.3">
      <c r="G9" s="76"/>
      <c r="H9" s="163" t="s">
        <v>71</v>
      </c>
      <c r="I9" s="163"/>
      <c r="J9" s="118">
        <f t="shared" ca="1" si="2"/>
        <v>19</v>
      </c>
      <c r="K9" s="77">
        <f t="shared" ca="1" si="3"/>
        <v>19</v>
      </c>
    </row>
    <row r="10" spans="1:11" x14ac:dyDescent="0.3">
      <c r="G10" s="76"/>
      <c r="H10" s="176" t="s">
        <v>74</v>
      </c>
      <c r="I10" s="177"/>
      <c r="J10" s="118">
        <f t="shared" ca="1" si="2"/>
        <v>20</v>
      </c>
      <c r="K10" s="77">
        <f t="shared" ca="1" si="3"/>
        <v>20</v>
      </c>
    </row>
    <row r="11" spans="1:11" x14ac:dyDescent="0.3">
      <c r="G11" s="76"/>
      <c r="H11" s="128" t="s">
        <v>94</v>
      </c>
      <c r="I11" s="125"/>
      <c r="J11" s="118">
        <f t="shared" ca="1" si="2"/>
        <v>19</v>
      </c>
      <c r="K11" s="77">
        <f t="shared" ca="1" si="3"/>
        <v>19</v>
      </c>
    </row>
  </sheetData>
  <sortState ref="H2:I15">
    <sortCondition ref="H2:H15"/>
  </sortState>
  <conditionalFormatting sqref="G6">
    <cfRule type="cellIs" dxfId="35" priority="129" operator="equal">
      <formula>"No"</formula>
    </cfRule>
    <cfRule type="cellIs" dxfId="34" priority="130" operator="equal">
      <formula>"Yes"</formula>
    </cfRule>
  </conditionalFormatting>
  <conditionalFormatting sqref="G6">
    <cfRule type="cellIs" dxfId="33" priority="135" operator="equal">
      <formula>"No"</formula>
    </cfRule>
    <cfRule type="cellIs" dxfId="32" priority="136" operator="equal">
      <formula>"Yes"</formula>
    </cfRule>
  </conditionalFormatting>
  <conditionalFormatting sqref="G6">
    <cfRule type="cellIs" dxfId="31" priority="133" operator="equal">
      <formula>"No"</formula>
    </cfRule>
    <cfRule type="cellIs" dxfId="30" priority="134" operator="equal">
      <formula>"Yes"</formula>
    </cfRule>
  </conditionalFormatting>
  <conditionalFormatting sqref="G6">
    <cfRule type="cellIs" dxfId="29" priority="131" operator="equal">
      <formula>"No"</formula>
    </cfRule>
    <cfRule type="cellIs" dxfId="28" priority="132" operator="equal">
      <formula>"Yes"</formula>
    </cfRule>
  </conditionalFormatting>
  <conditionalFormatting sqref="G7">
    <cfRule type="cellIs" dxfId="27" priority="121" operator="equal">
      <formula>"No"</formula>
    </cfRule>
    <cfRule type="cellIs" dxfId="26" priority="122" operator="equal">
      <formula>"Yes"</formula>
    </cfRule>
  </conditionalFormatting>
  <conditionalFormatting sqref="G7">
    <cfRule type="cellIs" dxfId="25" priority="127" operator="equal">
      <formula>"No"</formula>
    </cfRule>
    <cfRule type="cellIs" dxfId="24" priority="128" operator="equal">
      <formula>"Yes"</formula>
    </cfRule>
  </conditionalFormatting>
  <conditionalFormatting sqref="G7">
    <cfRule type="cellIs" dxfId="23" priority="125" operator="equal">
      <formula>"No"</formula>
    </cfRule>
    <cfRule type="cellIs" dxfId="22" priority="126" operator="equal">
      <formula>"Yes"</formula>
    </cfRule>
  </conditionalFormatting>
  <conditionalFormatting sqref="G7">
    <cfRule type="cellIs" dxfId="21" priority="123" operator="equal">
      <formula>"No"</formula>
    </cfRule>
    <cfRule type="cellIs" dxfId="20" priority="124" operator="equal">
      <formula>"Yes"</formula>
    </cfRule>
  </conditionalFormatting>
  <conditionalFormatting sqref="G10">
    <cfRule type="cellIs" dxfId="19" priority="9" operator="equal">
      <formula>"No"</formula>
    </cfRule>
    <cfRule type="cellIs" dxfId="18" priority="10" operator="equal">
      <formula>"Yes"</formula>
    </cfRule>
  </conditionalFormatting>
  <conditionalFormatting sqref="G10">
    <cfRule type="cellIs" dxfId="17" priority="15" operator="equal">
      <formula>"No"</formula>
    </cfRule>
    <cfRule type="cellIs" dxfId="16" priority="16" operator="equal">
      <formula>"Yes"</formula>
    </cfRule>
  </conditionalFormatting>
  <conditionalFormatting sqref="G10">
    <cfRule type="cellIs" dxfId="15" priority="13" operator="equal">
      <formula>"No"</formula>
    </cfRule>
    <cfRule type="cellIs" dxfId="14" priority="14" operator="equal">
      <formula>"Yes"</formula>
    </cfRule>
  </conditionalFormatting>
  <conditionalFormatting sqref="G10">
    <cfRule type="cellIs" dxfId="13" priority="11" operator="equal">
      <formula>"No"</formula>
    </cfRule>
    <cfRule type="cellIs" dxfId="12" priority="12" operator="equal">
      <formula>"Yes"</formula>
    </cfRule>
  </conditionalFormatting>
  <conditionalFormatting sqref="G11">
    <cfRule type="cellIs" dxfId="11" priority="1" operator="equal">
      <formula>"No"</formula>
    </cfRule>
    <cfRule type="cellIs" dxfId="10" priority="2" operator="equal">
      <formula>"Yes"</formula>
    </cfRule>
  </conditionalFormatting>
  <conditionalFormatting sqref="G11">
    <cfRule type="cellIs" dxfId="9" priority="7" operator="equal">
      <formula>"No"</formula>
    </cfRule>
    <cfRule type="cellIs" dxfId="8" priority="8" operator="equal">
      <formula>"Yes"</formula>
    </cfRule>
  </conditionalFormatting>
  <conditionalFormatting sqref="G11">
    <cfRule type="cellIs" dxfId="7" priority="5" operator="equal">
      <formula>"No"</formula>
    </cfRule>
    <cfRule type="cellIs" dxfId="6" priority="6" operator="equal">
      <formula>"Yes"</formula>
    </cfRule>
  </conditionalFormatting>
  <conditionalFormatting sqref="G11">
    <cfRule type="cellIs" dxfId="5" priority="3" operator="equal">
      <formula>"No"</formula>
    </cfRule>
    <cfRule type="cellIs" dxfId="4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/>
  </sheetViews>
  <sheetFormatPr defaultColWidth="3.8984375" defaultRowHeight="15.6" x14ac:dyDescent="0.3"/>
  <cols>
    <col min="1" max="1" width="16.2968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16384" width="3.8984375" style="21"/>
  </cols>
  <sheetData>
    <row r="1" spans="1:8" s="24" customFormat="1" x14ac:dyDescent="0.3">
      <c r="A1" s="120" t="s">
        <v>0</v>
      </c>
      <c r="B1" s="120" t="s">
        <v>68</v>
      </c>
      <c r="C1" s="120" t="s">
        <v>42</v>
      </c>
      <c r="D1" s="119" t="s">
        <v>3</v>
      </c>
      <c r="E1" s="120" t="s">
        <v>43</v>
      </c>
      <c r="F1" s="21"/>
      <c r="G1" s="21"/>
      <c r="H1" s="21"/>
    </row>
    <row r="2" spans="1:8" x14ac:dyDescent="0.3">
      <c r="A2" s="126" t="s">
        <v>127</v>
      </c>
      <c r="B2" s="127" t="s">
        <v>44</v>
      </c>
      <c r="C2" s="213">
        <f>6+2</f>
        <v>8</v>
      </c>
      <c r="D2" s="117">
        <f t="shared" ref="D2:D10" ca="1" si="0">RANDBETWEEN(1,20)</f>
        <v>7</v>
      </c>
      <c r="E2" s="72">
        <f t="shared" ref="E2:E4" ca="1" si="1">D2+C2</f>
        <v>15</v>
      </c>
    </row>
    <row r="3" spans="1:8" x14ac:dyDescent="0.3">
      <c r="A3" s="75" t="s">
        <v>127</v>
      </c>
      <c r="B3" s="127" t="s">
        <v>45</v>
      </c>
      <c r="C3" s="214">
        <f>7+1</f>
        <v>8</v>
      </c>
      <c r="D3" s="116">
        <f t="shared" ca="1" si="0"/>
        <v>18</v>
      </c>
      <c r="E3" s="74">
        <f t="shared" ca="1" si="1"/>
        <v>26</v>
      </c>
    </row>
    <row r="4" spans="1:8" x14ac:dyDescent="0.3">
      <c r="A4" s="124" t="s">
        <v>127</v>
      </c>
      <c r="B4" s="128" t="s">
        <v>46</v>
      </c>
      <c r="C4" s="215">
        <f>9+2</f>
        <v>11</v>
      </c>
      <c r="D4" s="118">
        <f t="shared" ca="1" si="0"/>
        <v>10</v>
      </c>
      <c r="E4" s="77">
        <f t="shared" ca="1" si="1"/>
        <v>21</v>
      </c>
    </row>
    <row r="5" spans="1:8" x14ac:dyDescent="0.3">
      <c r="A5" s="126" t="s">
        <v>125</v>
      </c>
      <c r="B5" s="127" t="s">
        <v>44</v>
      </c>
      <c r="C5" s="213">
        <f>6+1</f>
        <v>7</v>
      </c>
      <c r="D5" s="117">
        <f t="shared" ca="1" si="0"/>
        <v>12</v>
      </c>
      <c r="E5" s="72">
        <f t="shared" ref="E5:E10" ca="1" si="2">D5+C5</f>
        <v>19</v>
      </c>
    </row>
    <row r="6" spans="1:8" x14ac:dyDescent="0.3">
      <c r="A6" s="75" t="s">
        <v>125</v>
      </c>
      <c r="B6" s="127" t="s">
        <v>45</v>
      </c>
      <c r="C6" s="214">
        <f>7+1</f>
        <v>8</v>
      </c>
      <c r="D6" s="116">
        <f t="shared" ca="1" si="0"/>
        <v>10</v>
      </c>
      <c r="E6" s="74">
        <f t="shared" ca="1" si="2"/>
        <v>18</v>
      </c>
    </row>
    <row r="7" spans="1:8" x14ac:dyDescent="0.3">
      <c r="A7" s="124" t="s">
        <v>125</v>
      </c>
      <c r="B7" s="128" t="s">
        <v>46</v>
      </c>
      <c r="C7" s="215">
        <f>9+1</f>
        <v>10</v>
      </c>
      <c r="D7" s="118">
        <f t="shared" ca="1" si="0"/>
        <v>19</v>
      </c>
      <c r="E7" s="77">
        <f t="shared" ca="1" si="2"/>
        <v>29</v>
      </c>
    </row>
    <row r="8" spans="1:8" x14ac:dyDescent="0.3">
      <c r="A8" s="126" t="s">
        <v>126</v>
      </c>
      <c r="B8" s="127" t="s">
        <v>44</v>
      </c>
      <c r="C8" s="239">
        <f>9</f>
        <v>9</v>
      </c>
      <c r="D8" s="117">
        <f t="shared" ca="1" si="0"/>
        <v>6</v>
      </c>
      <c r="E8" s="72">
        <f t="shared" ca="1" si="2"/>
        <v>15</v>
      </c>
    </row>
    <row r="9" spans="1:8" x14ac:dyDescent="0.3">
      <c r="A9" s="75" t="s">
        <v>126</v>
      </c>
      <c r="B9" s="127" t="s">
        <v>45</v>
      </c>
      <c r="C9" s="214">
        <f>5+1</f>
        <v>6</v>
      </c>
      <c r="D9" s="116">
        <f t="shared" ca="1" si="0"/>
        <v>3</v>
      </c>
      <c r="E9" s="74">
        <f t="shared" ca="1" si="2"/>
        <v>9</v>
      </c>
    </row>
    <row r="10" spans="1:8" x14ac:dyDescent="0.3">
      <c r="A10" s="124" t="s">
        <v>126</v>
      </c>
      <c r="B10" s="128" t="s">
        <v>46</v>
      </c>
      <c r="C10" s="240">
        <f>9</f>
        <v>9</v>
      </c>
      <c r="D10" s="118">
        <f t="shared" ca="1" si="0"/>
        <v>4</v>
      </c>
      <c r="E10" s="77">
        <f t="shared" ca="1" si="2"/>
        <v>13</v>
      </c>
    </row>
    <row r="11" spans="1:8" x14ac:dyDescent="0.3">
      <c r="A11" s="126" t="s">
        <v>123</v>
      </c>
      <c r="B11" s="127" t="s">
        <v>44</v>
      </c>
      <c r="C11" s="214">
        <f>8+2</f>
        <v>10</v>
      </c>
      <c r="D11" s="117">
        <f t="shared" ref="D11:D17" ca="1" si="3">RANDBETWEEN(1,20)</f>
        <v>8</v>
      </c>
      <c r="E11" s="72">
        <f t="shared" ref="E11:E16" ca="1" si="4">D11+C11</f>
        <v>18</v>
      </c>
    </row>
    <row r="12" spans="1:8" x14ac:dyDescent="0.3">
      <c r="A12" s="75" t="s">
        <v>123</v>
      </c>
      <c r="B12" s="127" t="s">
        <v>45</v>
      </c>
      <c r="C12" s="214">
        <f>11+2+2+1</f>
        <v>16</v>
      </c>
      <c r="D12" s="116">
        <f t="shared" ca="1" si="3"/>
        <v>10</v>
      </c>
      <c r="E12" s="74">
        <f t="shared" ca="1" si="4"/>
        <v>26</v>
      </c>
    </row>
    <row r="13" spans="1:8" x14ac:dyDescent="0.3">
      <c r="A13" s="124" t="s">
        <v>123</v>
      </c>
      <c r="B13" s="128" t="s">
        <v>46</v>
      </c>
      <c r="C13" s="216">
        <f>11+2</f>
        <v>13</v>
      </c>
      <c r="D13" s="118">
        <f t="shared" ca="1" si="3"/>
        <v>5</v>
      </c>
      <c r="E13" s="77">
        <f t="shared" ca="1" si="4"/>
        <v>18</v>
      </c>
    </row>
    <row r="14" spans="1:8" x14ac:dyDescent="0.3">
      <c r="A14" s="126" t="s">
        <v>154</v>
      </c>
      <c r="B14" s="127" t="s">
        <v>44</v>
      </c>
      <c r="C14" s="239">
        <v>8</v>
      </c>
      <c r="D14" s="117">
        <f t="shared" ca="1" si="3"/>
        <v>15</v>
      </c>
      <c r="E14" s="72">
        <f t="shared" ca="1" si="4"/>
        <v>23</v>
      </c>
    </row>
    <row r="15" spans="1:8" x14ac:dyDescent="0.3">
      <c r="A15" s="75" t="s">
        <v>154</v>
      </c>
      <c r="B15" s="127" t="s">
        <v>45</v>
      </c>
      <c r="C15" s="214">
        <f>4+2</f>
        <v>6</v>
      </c>
      <c r="D15" s="116">
        <f t="shared" ca="1" si="3"/>
        <v>10</v>
      </c>
      <c r="E15" s="74">
        <f t="shared" ca="1" si="4"/>
        <v>16</v>
      </c>
    </row>
    <row r="16" spans="1:8" x14ac:dyDescent="0.3">
      <c r="A16" s="124" t="s">
        <v>154</v>
      </c>
      <c r="B16" s="128" t="s">
        <v>46</v>
      </c>
      <c r="C16" s="240">
        <v>4</v>
      </c>
      <c r="D16" s="118">
        <f t="shared" ca="1" si="3"/>
        <v>4</v>
      </c>
      <c r="E16" s="77">
        <f t="shared" ca="1" si="4"/>
        <v>8</v>
      </c>
    </row>
    <row r="17" spans="1:5" x14ac:dyDescent="0.3">
      <c r="A17" s="124" t="s">
        <v>154</v>
      </c>
      <c r="B17" s="128" t="s">
        <v>187</v>
      </c>
      <c r="C17" s="240">
        <v>14</v>
      </c>
      <c r="D17" s="118">
        <f t="shared" ca="1" si="3"/>
        <v>19</v>
      </c>
      <c r="E17" s="77">
        <f t="shared" ref="E17" ca="1" si="5">D17+C17</f>
        <v>33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5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23.8984375" style="24" bestFit="1" customWidth="1"/>
    <col min="2" max="2" width="5" style="24" bestFit="1" customWidth="1"/>
    <col min="3" max="3" width="5.8984375" style="24" bestFit="1" customWidth="1"/>
    <col min="4" max="4" width="3.69921875" style="24" bestFit="1" customWidth="1"/>
    <col min="5" max="5" width="6.09765625" style="24" bestFit="1" customWidth="1"/>
    <col min="6" max="6" width="13.09765625" style="21" bestFit="1" customWidth="1"/>
    <col min="7" max="7" width="1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5" style="21" bestFit="1" customWidth="1"/>
    <col min="16" max="17" width="6.09765625" style="21" bestFit="1" customWidth="1"/>
    <col min="18" max="18" width="5" style="21" bestFit="1" customWidth="1"/>
    <col min="19" max="19" width="5.796875" style="21" bestFit="1" customWidth="1"/>
    <col min="20" max="20" width="6.69921875" style="21" bestFit="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5.69921875" style="21" bestFit="1" customWidth="1"/>
    <col min="25" max="25" width="7.3984375" style="21" bestFit="1" customWidth="1"/>
    <col min="26" max="26" width="4.3984375" style="21" bestFit="1" customWidth="1"/>
    <col min="27" max="27" width="6.69921875" style="21" hidden="1" customWidth="1"/>
    <col min="28" max="28" width="7.59765625" style="21" bestFit="1" customWidth="1"/>
    <col min="29" max="29" width="1.5" style="21" customWidth="1"/>
    <col min="30" max="30" width="9.09765625" style="21" bestFit="1" customWidth="1"/>
    <col min="31" max="16384" width="9.69921875" style="21"/>
  </cols>
  <sheetData>
    <row r="1" spans="1:30" s="17" customFormat="1" ht="32.4" thickTop="1" thickBot="1" x14ac:dyDescent="0.35">
      <c r="A1" s="55" t="s">
        <v>0</v>
      </c>
      <c r="B1" s="143" t="s">
        <v>48</v>
      </c>
      <c r="C1" s="144" t="s">
        <v>47</v>
      </c>
      <c r="D1" s="145" t="s">
        <v>49</v>
      </c>
      <c r="E1" s="121" t="s">
        <v>70</v>
      </c>
      <c r="F1" s="100" t="s">
        <v>50</v>
      </c>
      <c r="G1" s="101"/>
      <c r="H1" s="52" t="s">
        <v>51</v>
      </c>
      <c r="I1" s="16" t="s">
        <v>52</v>
      </c>
      <c r="J1" s="18" t="s">
        <v>53</v>
      </c>
      <c r="K1" s="25" t="s">
        <v>54</v>
      </c>
      <c r="L1" s="28" t="s">
        <v>55</v>
      </c>
      <c r="M1" s="31" t="s">
        <v>56</v>
      </c>
      <c r="N1" s="37" t="s">
        <v>57</v>
      </c>
      <c r="O1" s="40" t="s">
        <v>89</v>
      </c>
      <c r="P1" s="155" t="s">
        <v>85</v>
      </c>
      <c r="Q1" s="43" t="s">
        <v>58</v>
      </c>
      <c r="R1" s="46" t="s">
        <v>59</v>
      </c>
      <c r="S1" s="49" t="s">
        <v>86</v>
      </c>
      <c r="T1" s="34" t="s">
        <v>91</v>
      </c>
      <c r="U1" s="56" t="s">
        <v>60</v>
      </c>
      <c r="V1" s="59" t="s">
        <v>61</v>
      </c>
      <c r="W1" s="65" t="s">
        <v>62</v>
      </c>
      <c r="X1" s="157" t="s">
        <v>87</v>
      </c>
      <c r="Y1" s="68" t="s">
        <v>63</v>
      </c>
      <c r="Z1" s="63" t="s">
        <v>64</v>
      </c>
      <c r="AA1" s="59" t="s">
        <v>65</v>
      </c>
      <c r="AB1" s="62" t="s">
        <v>66</v>
      </c>
      <c r="AD1" s="156" t="s">
        <v>81</v>
      </c>
    </row>
    <row r="2" spans="1:30" ht="16.2" thickTop="1" x14ac:dyDescent="0.3">
      <c r="A2" s="160" t="s">
        <v>78</v>
      </c>
      <c r="B2" s="147">
        <f>13</f>
        <v>13</v>
      </c>
      <c r="C2" s="150">
        <f>18+4</f>
        <v>22</v>
      </c>
      <c r="D2" s="149">
        <f>21+4</f>
        <v>25</v>
      </c>
      <c r="E2" s="122">
        <v>0</v>
      </c>
      <c r="F2" s="102" t="s">
        <v>67</v>
      </c>
      <c r="G2" s="103">
        <v>0</v>
      </c>
      <c r="H2" s="53">
        <v>104</v>
      </c>
      <c r="I2" s="19"/>
      <c r="J2" s="20"/>
      <c r="K2" s="26">
        <v>4</v>
      </c>
      <c r="L2" s="29"/>
      <c r="M2" s="32">
        <v>7</v>
      </c>
      <c r="N2" s="38"/>
      <c r="O2" s="41"/>
      <c r="P2" s="151"/>
      <c r="Q2" s="44"/>
      <c r="R2" s="47"/>
      <c r="S2" s="50"/>
      <c r="T2" s="35"/>
      <c r="U2" s="57"/>
      <c r="V2" s="60">
        <f t="shared" ref="V2:V9" si="0">SUM(H2:U2)</f>
        <v>115</v>
      </c>
      <c r="W2" s="66"/>
      <c r="X2" s="158">
        <v>19</v>
      </c>
      <c r="Y2" s="69"/>
      <c r="Z2" s="64">
        <f>72</f>
        <v>72</v>
      </c>
      <c r="AA2" s="61">
        <f t="shared" ref="AA2:AA9" si="1">SUM(Y2:Z2)-(V2+W2)</f>
        <v>-43</v>
      </c>
      <c r="AB2" s="110">
        <f t="shared" ref="AB2:AB9" si="2">SMALL(Z2:AA2,1)+X2</f>
        <v>-24</v>
      </c>
      <c r="AD2" s="164"/>
    </row>
    <row r="3" spans="1:30" x14ac:dyDescent="0.3">
      <c r="A3" s="256" t="s">
        <v>199</v>
      </c>
      <c r="B3" s="147">
        <f>13</f>
        <v>13</v>
      </c>
      <c r="C3" s="150">
        <f>18+4</f>
        <v>22</v>
      </c>
      <c r="D3" s="149">
        <f>21+4</f>
        <v>25</v>
      </c>
      <c r="E3" s="122">
        <v>0</v>
      </c>
      <c r="F3" s="102" t="s">
        <v>67</v>
      </c>
      <c r="G3" s="103">
        <v>0</v>
      </c>
      <c r="H3" s="53">
        <v>50</v>
      </c>
      <c r="I3" s="19"/>
      <c r="J3" s="20"/>
      <c r="K3" s="26"/>
      <c r="L3" s="29"/>
      <c r="M3" s="32"/>
      <c r="N3" s="38"/>
      <c r="O3" s="41">
        <v>10</v>
      </c>
      <c r="P3" s="151"/>
      <c r="Q3" s="44"/>
      <c r="R3" s="47"/>
      <c r="S3" s="50"/>
      <c r="T3" s="35"/>
      <c r="U3" s="57"/>
      <c r="V3" s="60">
        <f t="shared" ref="V3" si="3">SUM(H3:U3)</f>
        <v>60</v>
      </c>
      <c r="W3" s="66"/>
      <c r="X3" s="158"/>
      <c r="Y3" s="69"/>
      <c r="Z3" s="64">
        <f>72</f>
        <v>72</v>
      </c>
      <c r="AA3" s="61">
        <f t="shared" ref="AA3" si="4">SUM(Y3:Z3)-(V3+W3)</f>
        <v>12</v>
      </c>
      <c r="AB3" s="110">
        <f t="shared" ref="AB3" si="5">SMALL(Z3:AA3,1)+X3</f>
        <v>12</v>
      </c>
      <c r="AD3" s="164"/>
    </row>
    <row r="4" spans="1:30" x14ac:dyDescent="0.3">
      <c r="A4" s="161" t="s">
        <v>80</v>
      </c>
      <c r="B4" s="147">
        <f>14</f>
        <v>14</v>
      </c>
      <c r="C4" s="154">
        <f>15</f>
        <v>15</v>
      </c>
      <c r="D4" s="146">
        <f>19</f>
        <v>19</v>
      </c>
      <c r="E4" s="123">
        <v>0</v>
      </c>
      <c r="F4" s="104" t="s">
        <v>67</v>
      </c>
      <c r="G4" s="105">
        <v>0</v>
      </c>
      <c r="H4" s="54">
        <v>5</v>
      </c>
      <c r="I4" s="22"/>
      <c r="J4" s="23"/>
      <c r="K4" s="27">
        <v>9</v>
      </c>
      <c r="L4" s="30"/>
      <c r="M4" s="33">
        <v>26</v>
      </c>
      <c r="N4" s="39"/>
      <c r="O4" s="42"/>
      <c r="P4" s="152"/>
      <c r="Q4" s="168" t="s">
        <v>90</v>
      </c>
      <c r="R4" s="48"/>
      <c r="S4" s="51"/>
      <c r="T4" s="36"/>
      <c r="U4" s="57"/>
      <c r="V4" s="60">
        <f t="shared" si="0"/>
        <v>40</v>
      </c>
      <c r="W4" s="67"/>
      <c r="X4" s="159">
        <v>15</v>
      </c>
      <c r="Y4" s="70"/>
      <c r="Z4" s="64">
        <f>66</f>
        <v>66</v>
      </c>
      <c r="AA4" s="61">
        <f t="shared" si="1"/>
        <v>26</v>
      </c>
      <c r="AB4" s="110">
        <f t="shared" si="2"/>
        <v>41</v>
      </c>
      <c r="AD4" s="164"/>
    </row>
    <row r="5" spans="1:30" x14ac:dyDescent="0.3">
      <c r="A5" s="161" t="s">
        <v>108</v>
      </c>
      <c r="B5" s="207">
        <f>13+4</f>
        <v>17</v>
      </c>
      <c r="C5" s="150">
        <f>15+6+4</f>
        <v>25</v>
      </c>
      <c r="D5" s="149">
        <f>18+6+4</f>
        <v>28</v>
      </c>
      <c r="E5" s="123">
        <v>0</v>
      </c>
      <c r="F5" s="104" t="s">
        <v>67</v>
      </c>
      <c r="G5" s="105">
        <v>0</v>
      </c>
      <c r="H5" s="54">
        <v>67</v>
      </c>
      <c r="I5" s="22"/>
      <c r="J5" s="23">
        <v>36</v>
      </c>
      <c r="K5" s="27">
        <v>5</v>
      </c>
      <c r="L5" s="30">
        <v>12</v>
      </c>
      <c r="M5" s="33">
        <v>9</v>
      </c>
      <c r="N5" s="39"/>
      <c r="O5" s="42"/>
      <c r="P5" s="190" t="s">
        <v>90</v>
      </c>
      <c r="Q5" s="45"/>
      <c r="R5" s="48"/>
      <c r="S5" s="51"/>
      <c r="T5" s="36"/>
      <c r="U5" s="57"/>
      <c r="V5" s="60">
        <f t="shared" si="0"/>
        <v>129</v>
      </c>
      <c r="W5" s="67"/>
      <c r="X5" s="159">
        <f>17+12</f>
        <v>29</v>
      </c>
      <c r="Y5" s="70"/>
      <c r="Z5" s="64">
        <f>72</f>
        <v>72</v>
      </c>
      <c r="AA5" s="61">
        <f t="shared" si="1"/>
        <v>-57</v>
      </c>
      <c r="AB5" s="110">
        <f t="shared" si="2"/>
        <v>-28</v>
      </c>
      <c r="AD5" s="164"/>
    </row>
    <row r="6" spans="1:30" x14ac:dyDescent="0.3">
      <c r="A6" s="191" t="s">
        <v>111</v>
      </c>
      <c r="B6" s="147">
        <v>12</v>
      </c>
      <c r="C6" s="148">
        <v>21</v>
      </c>
      <c r="D6" s="146">
        <v>22</v>
      </c>
      <c r="E6" s="123">
        <v>0</v>
      </c>
      <c r="F6" s="104" t="s">
        <v>113</v>
      </c>
      <c r="G6" s="105">
        <v>5</v>
      </c>
      <c r="H6" s="54"/>
      <c r="I6" s="22"/>
      <c r="J6" s="23"/>
      <c r="K6" s="27"/>
      <c r="L6" s="30"/>
      <c r="M6" s="33"/>
      <c r="N6" s="39"/>
      <c r="O6" s="42"/>
      <c r="P6" s="190" t="s">
        <v>90</v>
      </c>
      <c r="Q6" s="45"/>
      <c r="R6" s="169" t="s">
        <v>90</v>
      </c>
      <c r="S6" s="51"/>
      <c r="T6" s="36"/>
      <c r="U6" s="57"/>
      <c r="V6" s="60">
        <f t="shared" ref="V6" si="6">SUM(H6:U6)</f>
        <v>0</v>
      </c>
      <c r="W6" s="67"/>
      <c r="X6" s="159"/>
      <c r="Y6" s="70"/>
      <c r="Z6" s="64">
        <v>72</v>
      </c>
      <c r="AA6" s="61">
        <f t="shared" ref="AA6" si="7">SUM(Y6:Z6)-(V6+W6)</f>
        <v>72</v>
      </c>
      <c r="AB6" s="110">
        <f>SMALL(Z6:AA6,1)+X6</f>
        <v>72</v>
      </c>
      <c r="AD6" s="164"/>
    </row>
    <row r="7" spans="1:30" x14ac:dyDescent="0.3">
      <c r="A7" s="161" t="s">
        <v>79</v>
      </c>
      <c r="B7" s="147">
        <f>10+3</f>
        <v>13</v>
      </c>
      <c r="C7" s="150">
        <f>21+4</f>
        <v>25</v>
      </c>
      <c r="D7" s="149">
        <f>21+4</f>
        <v>25</v>
      </c>
      <c r="E7" s="123">
        <v>0</v>
      </c>
      <c r="F7" s="104" t="s">
        <v>67</v>
      </c>
      <c r="G7" s="105">
        <v>0</v>
      </c>
      <c r="H7" s="54">
        <v>112</v>
      </c>
      <c r="I7" s="22"/>
      <c r="J7" s="153" t="s">
        <v>116</v>
      </c>
      <c r="K7" s="27">
        <v>5</v>
      </c>
      <c r="L7" s="30"/>
      <c r="M7" s="33">
        <v>8</v>
      </c>
      <c r="N7" s="39"/>
      <c r="O7" s="42"/>
      <c r="P7" s="152"/>
      <c r="Q7" s="168" t="s">
        <v>90</v>
      </c>
      <c r="R7" s="48"/>
      <c r="S7" s="51"/>
      <c r="T7" s="36">
        <v>27</v>
      </c>
      <c r="U7" s="57"/>
      <c r="V7" s="60">
        <f t="shared" si="0"/>
        <v>152</v>
      </c>
      <c r="W7" s="67"/>
      <c r="X7" s="159">
        <v>22</v>
      </c>
      <c r="Y7" s="70"/>
      <c r="Z7" s="64">
        <f>114</f>
        <v>114</v>
      </c>
      <c r="AA7" s="61">
        <f t="shared" si="1"/>
        <v>-38</v>
      </c>
      <c r="AB7" s="110">
        <f t="shared" si="2"/>
        <v>-16</v>
      </c>
      <c r="AD7" s="164"/>
    </row>
    <row r="8" spans="1:30" x14ac:dyDescent="0.3">
      <c r="A8" s="161" t="s">
        <v>93</v>
      </c>
      <c r="B8" s="207">
        <f>10+3</f>
        <v>13</v>
      </c>
      <c r="C8" s="150">
        <f>15+3</f>
        <v>18</v>
      </c>
      <c r="D8" s="150">
        <f>15+3</f>
        <v>18</v>
      </c>
      <c r="E8" s="123">
        <v>0</v>
      </c>
      <c r="F8" s="104" t="s">
        <v>67</v>
      </c>
      <c r="G8" s="105">
        <v>0</v>
      </c>
      <c r="H8" s="54">
        <v>11</v>
      </c>
      <c r="I8" s="22"/>
      <c r="J8" s="23"/>
      <c r="K8" s="27">
        <v>7</v>
      </c>
      <c r="L8" s="30"/>
      <c r="M8" s="33">
        <v>5</v>
      </c>
      <c r="N8" s="39"/>
      <c r="O8" s="42"/>
      <c r="P8" s="190" t="s">
        <v>90</v>
      </c>
      <c r="Q8" s="45"/>
      <c r="R8" s="169" t="s">
        <v>90</v>
      </c>
      <c r="S8" s="51"/>
      <c r="T8" s="36"/>
      <c r="U8" s="57"/>
      <c r="V8" s="60">
        <f t="shared" si="0"/>
        <v>23</v>
      </c>
      <c r="W8" s="67"/>
      <c r="X8" s="159">
        <v>18</v>
      </c>
      <c r="Y8" s="70"/>
      <c r="Z8" s="64">
        <v>87</v>
      </c>
      <c r="AA8" s="61">
        <f t="shared" si="1"/>
        <v>64</v>
      </c>
      <c r="AB8" s="110">
        <f t="shared" si="2"/>
        <v>82</v>
      </c>
      <c r="AD8" s="164"/>
    </row>
    <row r="9" spans="1:30" x14ac:dyDescent="0.3">
      <c r="A9" s="161" t="s">
        <v>109</v>
      </c>
      <c r="B9" s="147">
        <v>15</v>
      </c>
      <c r="C9" s="148">
        <v>15</v>
      </c>
      <c r="D9" s="146">
        <v>21</v>
      </c>
      <c r="E9" s="123">
        <v>0</v>
      </c>
      <c r="F9" s="104" t="s">
        <v>67</v>
      </c>
      <c r="G9" s="105">
        <v>0</v>
      </c>
      <c r="H9" s="54">
        <v>94</v>
      </c>
      <c r="I9" s="22"/>
      <c r="J9" s="23">
        <v>19</v>
      </c>
      <c r="K9" s="27">
        <v>10</v>
      </c>
      <c r="L9" s="30">
        <v>14</v>
      </c>
      <c r="M9" s="33"/>
      <c r="N9" s="39"/>
      <c r="O9" s="42"/>
      <c r="P9" s="190" t="s">
        <v>90</v>
      </c>
      <c r="Q9" s="45"/>
      <c r="R9" s="48"/>
      <c r="S9" s="51"/>
      <c r="T9" s="36"/>
      <c r="U9" s="58"/>
      <c r="V9" s="60">
        <f t="shared" si="0"/>
        <v>137</v>
      </c>
      <c r="W9" s="67"/>
      <c r="X9" s="159">
        <v>16</v>
      </c>
      <c r="Y9" s="70"/>
      <c r="Z9" s="64">
        <v>94</v>
      </c>
      <c r="AA9" s="61">
        <f t="shared" si="1"/>
        <v>-43</v>
      </c>
      <c r="AB9" s="110">
        <f t="shared" si="2"/>
        <v>-27</v>
      </c>
      <c r="AD9" s="164"/>
    </row>
    <row r="10" spans="1:30" x14ac:dyDescent="0.3">
      <c r="A10" s="212" t="s">
        <v>122</v>
      </c>
      <c r="B10" s="207">
        <f>14+4+1</f>
        <v>19</v>
      </c>
      <c r="C10" s="150">
        <f>20+4+4</f>
        <v>28</v>
      </c>
      <c r="D10" s="150">
        <f>24+4+4+1</f>
        <v>33</v>
      </c>
      <c r="E10" s="122">
        <v>25</v>
      </c>
      <c r="F10" s="104" t="s">
        <v>67</v>
      </c>
      <c r="G10" s="105">
        <v>0</v>
      </c>
      <c r="H10" s="53"/>
      <c r="I10" s="19"/>
      <c r="J10" s="153" t="s">
        <v>183</v>
      </c>
      <c r="K10" s="208" t="s">
        <v>183</v>
      </c>
      <c r="L10" s="247" t="s">
        <v>183</v>
      </c>
      <c r="M10" s="32"/>
      <c r="N10" s="38"/>
      <c r="O10" s="209" t="s">
        <v>90</v>
      </c>
      <c r="P10" s="151"/>
      <c r="Q10" s="168" t="s">
        <v>90</v>
      </c>
      <c r="R10" s="47"/>
      <c r="S10" s="50"/>
      <c r="T10" s="35"/>
      <c r="U10" s="57"/>
      <c r="V10" s="60">
        <f t="shared" ref="V10:V14" si="8">SUM(H10:U10)</f>
        <v>0</v>
      </c>
      <c r="W10" s="66"/>
      <c r="X10" s="159"/>
      <c r="Y10" s="69"/>
      <c r="Z10" s="210">
        <f>91+39</f>
        <v>130</v>
      </c>
      <c r="AA10" s="61">
        <f t="shared" ref="AA10:AA14" si="9">SUM(Y10:Z10)-(V10+W10)</f>
        <v>130</v>
      </c>
      <c r="AB10" s="110">
        <f t="shared" ref="AB10:AB14" si="10">SMALL(Z10:AA10,1)+X10</f>
        <v>130</v>
      </c>
      <c r="AD10" s="164"/>
    </row>
    <row r="11" spans="1:30" x14ac:dyDescent="0.3">
      <c r="A11" s="212" t="s">
        <v>123</v>
      </c>
      <c r="B11" s="207">
        <f>20+2+4+2+1</f>
        <v>29</v>
      </c>
      <c r="C11" s="150">
        <f>20+2+4+4</f>
        <v>30</v>
      </c>
      <c r="D11" s="149">
        <f>23+2+4+4+2+1</f>
        <v>36</v>
      </c>
      <c r="E11" s="123">
        <v>0</v>
      </c>
      <c r="F11" s="102" t="s">
        <v>124</v>
      </c>
      <c r="G11" s="103">
        <v>5</v>
      </c>
      <c r="H11" s="54"/>
      <c r="I11" s="22"/>
      <c r="J11" s="153" t="s">
        <v>116</v>
      </c>
      <c r="K11" s="27"/>
      <c r="L11" s="30"/>
      <c r="M11" s="33"/>
      <c r="N11" s="39"/>
      <c r="O11" s="209" t="s">
        <v>90</v>
      </c>
      <c r="P11" s="152"/>
      <c r="Q11" s="45"/>
      <c r="R11" s="48"/>
      <c r="S11" s="51"/>
      <c r="T11" s="36"/>
      <c r="U11" s="57"/>
      <c r="V11" s="60">
        <f t="shared" si="8"/>
        <v>0</v>
      </c>
      <c r="W11" s="67"/>
      <c r="X11" s="159"/>
      <c r="Y11" s="69"/>
      <c r="Z11" s="210">
        <f>Z10*0.5</f>
        <v>65</v>
      </c>
      <c r="AA11" s="61">
        <f t="shared" si="9"/>
        <v>65</v>
      </c>
      <c r="AB11" s="110">
        <f t="shared" si="10"/>
        <v>65</v>
      </c>
      <c r="AD11" s="164"/>
    </row>
    <row r="12" spans="1:30" x14ac:dyDescent="0.3">
      <c r="A12" s="212" t="s">
        <v>127</v>
      </c>
      <c r="B12" s="207">
        <f>10</f>
        <v>10</v>
      </c>
      <c r="C12" s="150">
        <f>23+3</f>
        <v>26</v>
      </c>
      <c r="D12" s="149">
        <f>23+3+1</f>
        <v>27</v>
      </c>
      <c r="E12" s="123">
        <v>0</v>
      </c>
      <c r="F12" s="104" t="s">
        <v>67</v>
      </c>
      <c r="G12" s="105">
        <v>0</v>
      </c>
      <c r="H12" s="54">
        <v>69</v>
      </c>
      <c r="I12" s="22"/>
      <c r="J12" s="23"/>
      <c r="K12" s="27"/>
      <c r="L12" s="30">
        <v>13</v>
      </c>
      <c r="M12" s="33"/>
      <c r="N12" s="39"/>
      <c r="O12" s="209" t="s">
        <v>90</v>
      </c>
      <c r="P12" s="152"/>
      <c r="Q12" s="45"/>
      <c r="R12" s="169" t="s">
        <v>90</v>
      </c>
      <c r="S12" s="51"/>
      <c r="T12" s="36"/>
      <c r="U12" s="57"/>
      <c r="V12" s="60">
        <f t="shared" si="8"/>
        <v>82</v>
      </c>
      <c r="W12" s="67"/>
      <c r="X12" s="159"/>
      <c r="Y12" s="69"/>
      <c r="Z12" s="210">
        <f>196+26</f>
        <v>222</v>
      </c>
      <c r="AA12" s="61">
        <f t="shared" si="9"/>
        <v>140</v>
      </c>
      <c r="AB12" s="110">
        <f t="shared" si="10"/>
        <v>140</v>
      </c>
      <c r="AD12" s="164"/>
    </row>
    <row r="13" spans="1:30" x14ac:dyDescent="0.3">
      <c r="A13" s="212" t="s">
        <v>125</v>
      </c>
      <c r="B13" s="207">
        <f>14+4</f>
        <v>18</v>
      </c>
      <c r="C13" s="150">
        <f>15+4</f>
        <v>19</v>
      </c>
      <c r="D13" s="149">
        <f>18+4</f>
        <v>22</v>
      </c>
      <c r="E13" s="123">
        <v>0</v>
      </c>
      <c r="F13" s="104" t="s">
        <v>67</v>
      </c>
      <c r="G13" s="105">
        <v>0</v>
      </c>
      <c r="H13" s="54"/>
      <c r="I13" s="22">
        <v>92</v>
      </c>
      <c r="J13" s="23"/>
      <c r="K13" s="27"/>
      <c r="L13" s="30"/>
      <c r="M13" s="33"/>
      <c r="N13" s="39"/>
      <c r="O13" s="209" t="s">
        <v>90</v>
      </c>
      <c r="P13" s="152"/>
      <c r="Q13" s="45"/>
      <c r="R13" s="48"/>
      <c r="S13" s="51"/>
      <c r="T13" s="36"/>
      <c r="U13" s="57"/>
      <c r="V13" s="60">
        <f t="shared" si="8"/>
        <v>92</v>
      </c>
      <c r="W13" s="67"/>
      <c r="X13" s="159"/>
      <c r="Y13" s="69"/>
      <c r="Z13" s="210">
        <f>42+22</f>
        <v>64</v>
      </c>
      <c r="AA13" s="61">
        <f t="shared" si="9"/>
        <v>-28</v>
      </c>
      <c r="AB13" s="110">
        <f t="shared" si="10"/>
        <v>-28</v>
      </c>
      <c r="AD13" s="164"/>
    </row>
    <row r="14" spans="1:30" x14ac:dyDescent="0.3">
      <c r="A14" s="212" t="s">
        <v>126</v>
      </c>
      <c r="B14" s="207">
        <f>12+3</f>
        <v>15</v>
      </c>
      <c r="C14" s="150">
        <f>18+3</f>
        <v>21</v>
      </c>
      <c r="D14" s="149">
        <f>22+3</f>
        <v>25</v>
      </c>
      <c r="E14" s="123">
        <v>0</v>
      </c>
      <c r="F14" s="104" t="s">
        <v>67</v>
      </c>
      <c r="G14" s="105">
        <v>0</v>
      </c>
      <c r="H14" s="54">
        <v>49</v>
      </c>
      <c r="I14" s="22"/>
      <c r="J14" s="23"/>
      <c r="K14" s="211"/>
      <c r="L14" s="129"/>
      <c r="M14" s="33"/>
      <c r="N14" s="39"/>
      <c r="O14" s="209"/>
      <c r="P14" s="152"/>
      <c r="Q14" s="168" t="s">
        <v>90</v>
      </c>
      <c r="R14" s="48"/>
      <c r="S14" s="51"/>
      <c r="T14" s="36"/>
      <c r="U14" s="57"/>
      <c r="V14" s="60">
        <f t="shared" si="8"/>
        <v>49</v>
      </c>
      <c r="W14" s="67"/>
      <c r="X14" s="159"/>
      <c r="Y14" s="69"/>
      <c r="Z14" s="210">
        <f>91+22</f>
        <v>113</v>
      </c>
      <c r="AA14" s="61">
        <f t="shared" si="9"/>
        <v>64</v>
      </c>
      <c r="AB14" s="110">
        <f t="shared" si="10"/>
        <v>64</v>
      </c>
      <c r="AD14" s="164"/>
    </row>
    <row r="15" spans="1:30" x14ac:dyDescent="0.3">
      <c r="A15" s="162" t="s">
        <v>154</v>
      </c>
      <c r="B15" s="207">
        <f>14+1+2</f>
        <v>17</v>
      </c>
      <c r="C15" s="148">
        <v>19</v>
      </c>
      <c r="D15" s="149">
        <f>23+1+2</f>
        <v>26</v>
      </c>
      <c r="E15" s="123">
        <v>0</v>
      </c>
      <c r="F15" s="104" t="s">
        <v>67</v>
      </c>
      <c r="G15" s="105">
        <v>0</v>
      </c>
      <c r="H15" s="54">
        <v>66</v>
      </c>
      <c r="I15" s="22"/>
      <c r="J15" s="23"/>
      <c r="K15" s="27"/>
      <c r="L15" s="129">
        <v>4</v>
      </c>
      <c r="M15" s="33"/>
      <c r="N15" s="39"/>
      <c r="O15" s="209" t="s">
        <v>90</v>
      </c>
      <c r="P15" s="152"/>
      <c r="Q15" s="45"/>
      <c r="R15" s="169"/>
      <c r="S15" s="51"/>
      <c r="T15" s="36"/>
      <c r="U15" s="58"/>
      <c r="V15" s="60">
        <f t="shared" ref="V15" si="11">SUM(H15:U15)</f>
        <v>70</v>
      </c>
      <c r="W15" s="67"/>
      <c r="X15" s="159"/>
      <c r="Y15" s="70"/>
      <c r="Z15" s="64">
        <v>111</v>
      </c>
      <c r="AA15" s="61">
        <f t="shared" ref="AA15" si="12">SUM(Y15:Z15)-(V15+W15)</f>
        <v>41</v>
      </c>
      <c r="AB15" s="110">
        <f t="shared" ref="AB15" si="13">SMALL(Z15:AA15,1)+X15</f>
        <v>41</v>
      </c>
      <c r="AD15" s="164"/>
    </row>
  </sheetData>
  <sortState ref="A2:AB10">
    <sortCondition ref="A2:A10"/>
  </sortState>
  <conditionalFormatting sqref="AB2 AB4:AB15">
    <cfRule type="cellIs" dxfId="3" priority="55" stopIfTrue="1" operator="lessThan">
      <formula>0.5</formula>
    </cfRule>
    <cfRule type="cellIs" dxfId="2" priority="56" operator="lessThan">
      <formula>0.5*Z2</formula>
    </cfRule>
  </conditionalFormatting>
  <conditionalFormatting sqref="AB3">
    <cfRule type="cellIs" dxfId="1" priority="1" stopIfTrue="1" operator="lessThan">
      <formula>0.5</formula>
    </cfRule>
    <cfRule type="cellIs" dxfId="0" priority="2" operator="lessThan">
      <formula>0.5*Z3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11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4</v>
      </c>
      <c r="E3" s="10">
        <f ca="1">RANDBETWEEN(1,4)+RANDBETWEEN(1,4)+RANDBETWEEN(1,4)</f>
        <v>9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7</v>
      </c>
      <c r="E4" s="10">
        <f ca="1">RANDBETWEEN(1,6)+RANDBETWEEN(1,6)+RANDBETWEEN(1,6)</f>
        <v>8</v>
      </c>
      <c r="F4" s="10">
        <f ca="1">RANDBETWEEN(1,6)+RANDBETWEEN(1,6)+RANDBETWEEN(1,6)+RANDBETWEEN(1,6)</f>
        <v>23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2</v>
      </c>
      <c r="D5" s="10">
        <f ca="1">RANDBETWEEN(1,8)+RANDBETWEEN(1,8)</f>
        <v>11</v>
      </c>
      <c r="E5" s="10">
        <f ca="1">RANDBETWEEN(1,8)+RANDBETWEEN(1,8)+RANDBETWEEN(1,8)</f>
        <v>12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21</v>
      </c>
      <c r="H5" s="11">
        <f ca="1">RANDBETWEEN(1,8)+RANDBETWEEN(1,8)+RANDBETWEEN(1,8)+RANDBETWEEN(1,8)+RANDBETWEEN(1,8)+RANDBETWEEN(1,8)</f>
        <v>21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4</v>
      </c>
      <c r="E6" s="10">
        <f ca="1">RANDBETWEEN(1,10)+RANDBETWEEN(1,10)+RANDBETWEEN(1,10)</f>
        <v>17</v>
      </c>
      <c r="F6" s="10">
        <f ca="1">RANDBETWEEN(1,10)+RANDBETWEEN(1,10)+RANDBETWEEN(1,10)+RANDBETWEEN(1,10)</f>
        <v>8</v>
      </c>
      <c r="G6" s="10">
        <f ca="1">RANDBETWEEN(1,10)+RANDBETWEEN(1,10)+RANDBETWEEN(1,10)+RANDBETWEEN(1,10)+RANDBETWEEN(1,10)</f>
        <v>32</v>
      </c>
      <c r="H6" s="11">
        <f ca="1">RANDBETWEEN(1,10)+RANDBETWEEN(1,10)+RANDBETWEEN(1,10)+RANDBETWEEN(1,10)+RANDBETWEEN(1,10)+RANDBETWEEN(1,10)</f>
        <v>41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4</v>
      </c>
      <c r="D7" s="10">
        <f ca="1">RANDBETWEEN(1,12)+RANDBETWEEN(1,12)</f>
        <v>9</v>
      </c>
      <c r="E7" s="10">
        <f ca="1">RANDBETWEEN(1,12)+RANDBETWEEN(1,12)+RANDBETWEEN(1,12)</f>
        <v>21</v>
      </c>
      <c r="F7" s="10">
        <f ca="1">RANDBETWEEN(1,12)+RANDBETWEEN(1,12)+RANDBETWEEN(1,12)+RANDBETWEEN(1,12)</f>
        <v>29</v>
      </c>
      <c r="G7" s="10">
        <f ca="1">RANDBETWEEN(1,12)+RANDBETWEEN(1,12)+RANDBETWEEN(1,12)+RANDBETWEEN(1,12)+RANDBETWEEN(1,12)</f>
        <v>32</v>
      </c>
      <c r="H7" s="11">
        <f ca="1">RANDBETWEEN(1,12)+RANDBETWEEN(1,12)+RANDBETWEEN(1,12)+RANDBETWEEN(1,12)+RANDBETWEEN(1,12)+RANDBETWEEN(1,12)</f>
        <v>41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6</v>
      </c>
      <c r="D8" s="10">
        <f ca="1">RANDBETWEEN(1,20)+RANDBETWEEN(1,20)</f>
        <v>28</v>
      </c>
      <c r="E8" s="10">
        <f ca="1">RANDBETWEEN(1,20)+RANDBETWEEN(1,20)+RANDBETWEEN(1,20)</f>
        <v>41</v>
      </c>
      <c r="F8" s="10">
        <f ca="1">RANDBETWEEN(1,20)+RANDBETWEEN(1,20)+RANDBETWEEN(1,20)+RANDBETWEEN(1,20)</f>
        <v>36</v>
      </c>
      <c r="G8" s="10">
        <f ca="1">RANDBETWEEN(1,20)+RANDBETWEEN(1,20)+RANDBETWEEN(1,20)+RANDBETWEEN(1,20)+RANDBETWEEN(1,20)</f>
        <v>50</v>
      </c>
      <c r="H8" s="11">
        <f ca="1">RANDBETWEEN(1,20)+RANDBETWEEN(1,20)+RANDBETWEEN(1,20)+RANDBETWEEN(1,20)+RANDBETWEEN(1,20)+RANDBETWEEN(1,20)</f>
        <v>69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83</v>
      </c>
      <c r="D9" s="13">
        <f ca="1">RANDBETWEEN(1,100)+RANDBETWEEN(1,100)</f>
        <v>112</v>
      </c>
      <c r="E9" s="13">
        <f ca="1">RANDBETWEEN(1,100)+RANDBETWEEN(1,100)+RANDBETWEEN(1,100)</f>
        <v>116</v>
      </c>
      <c r="F9" s="13">
        <f ca="1">RANDBETWEEN(1,100)+RANDBETWEEN(1,100)+RANDBETWEEN(1,100)+RANDBETWEEN(1,100)</f>
        <v>125</v>
      </c>
      <c r="G9" s="13">
        <f ca="1">RANDBETWEEN(1,100)+RANDBETWEEN(1,100)+RANDBETWEEN(1,100)+RANDBETWEEN(1,100)+RANDBETWEEN(1,100)</f>
        <v>240</v>
      </c>
      <c r="H9" s="14">
        <f ca="1">RANDBETWEEN(1,100)+RANDBETWEEN(1,100)+RANDBETWEEN(1,100)+RANDBETWEEN(1,100)+RANDBETWEEN(1,100)+RANDBETWEEN(1,100)</f>
        <v>342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165"/>
      <c r="U27" s="165"/>
      <c r="V27" s="165"/>
    </row>
    <row r="28" spans="1:22" x14ac:dyDescent="0.3">
      <c r="A28" s="1"/>
      <c r="C28" s="1"/>
      <c r="D28" s="1"/>
      <c r="E28" s="1"/>
      <c r="F28" s="1"/>
      <c r="T28" s="165"/>
      <c r="U28" s="165"/>
      <c r="V28" s="165"/>
    </row>
    <row r="29" spans="1:22" x14ac:dyDescent="0.3">
      <c r="A29" s="1"/>
      <c r="C29" s="1"/>
      <c r="D29" s="1"/>
      <c r="E29" s="1"/>
      <c r="F29" s="1"/>
      <c r="Q29" s="165"/>
      <c r="R29" s="165"/>
      <c r="S29" s="165"/>
      <c r="T29" s="165"/>
      <c r="U29" s="165"/>
      <c r="V29" s="16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Initiative</vt:lpstr>
      <vt:lpstr>Spells</vt:lpstr>
      <vt:lpstr>Attacks</vt:lpstr>
      <vt:lpstr>Saves (allies)</vt:lpstr>
      <vt:lpstr>Saves (foes)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2018-09-03T10:39:53Z</cp:lastPrinted>
  <dcterms:created xsi:type="dcterms:W3CDTF">2014-01-30T16:13:23Z</dcterms:created>
  <dcterms:modified xsi:type="dcterms:W3CDTF">2019-06-11T21:48:38Z</dcterms:modified>
</cp:coreProperties>
</file>