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/>
  </bookViews>
  <sheets>
    <sheet name="Initiative" sheetId="1" r:id="rId1"/>
    <sheet name="Spells" sheetId="8" r:id="rId2"/>
    <sheet name="Attacks" sheetId="6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E15" i="8" l="1"/>
  <c r="F15" i="8" s="1"/>
  <c r="H15" i="8" s="1"/>
  <c r="F5" i="8" l="1"/>
  <c r="H5" i="8" s="1"/>
  <c r="D11" i="1" l="1"/>
  <c r="D10" i="1"/>
  <c r="D9" i="1"/>
  <c r="D8" i="1"/>
  <c r="D7" i="1"/>
  <c r="D6" i="1"/>
  <c r="D5" i="1"/>
  <c r="D4" i="1"/>
  <c r="D3" i="1"/>
  <c r="D2" i="1"/>
  <c r="E9" i="8" l="1"/>
  <c r="V23" i="5" l="1"/>
  <c r="AA23" i="5" s="1"/>
  <c r="AB23" i="5" s="1"/>
  <c r="E13" i="8" l="1"/>
  <c r="M53" i="6" l="1"/>
  <c r="L53" i="6" s="1"/>
  <c r="M52" i="6"/>
  <c r="L52" i="6" s="1"/>
  <c r="M51" i="6"/>
  <c r="L51" i="6" s="1"/>
  <c r="M50" i="6"/>
  <c r="L50" i="6" s="1"/>
  <c r="M49" i="6"/>
  <c r="L49" i="6" s="1"/>
  <c r="M48" i="6"/>
  <c r="L48" i="6" s="1"/>
  <c r="M47" i="6"/>
  <c r="L47" i="6" s="1"/>
  <c r="M46" i="6"/>
  <c r="L46" i="6" s="1"/>
  <c r="M45" i="6"/>
  <c r="L45" i="6" s="1"/>
  <c r="M44" i="6"/>
  <c r="L44" i="6" s="1"/>
  <c r="M43" i="6"/>
  <c r="L43" i="6" s="1"/>
  <c r="M42" i="6"/>
  <c r="L42" i="6" s="1"/>
  <c r="M41" i="6"/>
  <c r="L41" i="6" s="1"/>
  <c r="M40" i="6"/>
  <c r="L40" i="6" s="1"/>
  <c r="M39" i="6"/>
  <c r="L39" i="6" s="1"/>
  <c r="M38" i="6"/>
  <c r="L38" i="6" s="1"/>
  <c r="M37" i="6"/>
  <c r="L37" i="6" s="1"/>
  <c r="M36" i="6"/>
  <c r="L36" i="6" s="1"/>
  <c r="M35" i="6"/>
  <c r="L35" i="6" s="1"/>
  <c r="M34" i="6"/>
  <c r="L34" i="6" s="1"/>
  <c r="M33" i="6"/>
  <c r="L33" i="6" s="1"/>
  <c r="M32" i="6"/>
  <c r="L32" i="6" s="1"/>
  <c r="M31" i="6"/>
  <c r="L31" i="6" s="1"/>
  <c r="M30" i="6"/>
  <c r="L30" i="6" s="1"/>
  <c r="M29" i="6"/>
  <c r="L29" i="6" s="1"/>
  <c r="M28" i="6"/>
  <c r="L28" i="6" s="1"/>
  <c r="M27" i="6"/>
  <c r="L27" i="6" s="1"/>
  <c r="M26" i="6"/>
  <c r="L26" i="6" s="1"/>
  <c r="M25" i="6"/>
  <c r="L25" i="6" s="1"/>
  <c r="M24" i="6"/>
  <c r="L24" i="6" s="1"/>
  <c r="M23" i="6"/>
  <c r="L23" i="6" s="1"/>
  <c r="M22" i="6"/>
  <c r="L22" i="6" s="1"/>
  <c r="M21" i="6"/>
  <c r="L21" i="6" s="1"/>
  <c r="E8" i="8" l="1"/>
  <c r="F8" i="8" s="1"/>
  <c r="H8" i="8" s="1"/>
  <c r="X6" i="5" l="1"/>
  <c r="V22" i="5" l="1"/>
  <c r="AA22" i="5" s="1"/>
  <c r="AB22" i="5" s="1"/>
  <c r="F20" i="6" l="1"/>
  <c r="F19" i="6"/>
  <c r="F18" i="6"/>
  <c r="F14" i="6"/>
  <c r="F15" i="6"/>
  <c r="F16" i="6"/>
  <c r="F13" i="8" l="1"/>
  <c r="H13" i="8" s="1"/>
  <c r="E12" i="8" l="1"/>
  <c r="F12" i="8" s="1"/>
  <c r="H12" i="8" s="1"/>
  <c r="I36" i="6" l="1"/>
  <c r="K36" i="6" s="1"/>
  <c r="I35" i="6"/>
  <c r="J35" i="6" s="1"/>
  <c r="I34" i="6"/>
  <c r="J34" i="6" s="1"/>
  <c r="I30" i="6"/>
  <c r="K30" i="6" s="1"/>
  <c r="I53" i="6"/>
  <c r="K53" i="6" s="1"/>
  <c r="I52" i="6"/>
  <c r="J52" i="6" s="1"/>
  <c r="I51" i="6"/>
  <c r="J51" i="6" s="1"/>
  <c r="I50" i="6"/>
  <c r="J50" i="6" s="1"/>
  <c r="I27" i="6"/>
  <c r="J27" i="6" s="1"/>
  <c r="I41" i="6"/>
  <c r="J41" i="6" s="1"/>
  <c r="I23" i="6"/>
  <c r="K23" i="6" s="1"/>
  <c r="I33" i="6"/>
  <c r="K33" i="6" s="1"/>
  <c r="I32" i="6"/>
  <c r="K32" i="6" s="1"/>
  <c r="I29" i="6"/>
  <c r="K29" i="6" s="1"/>
  <c r="I49" i="6"/>
  <c r="J49" i="6" s="1"/>
  <c r="I48" i="6"/>
  <c r="K48" i="6" s="1"/>
  <c r="I47" i="6"/>
  <c r="K47" i="6" s="1"/>
  <c r="I46" i="6"/>
  <c r="K46" i="6" s="1"/>
  <c r="I40" i="6"/>
  <c r="K40" i="6" s="1"/>
  <c r="I26" i="6"/>
  <c r="K26" i="6" s="1"/>
  <c r="I22" i="6"/>
  <c r="K22" i="6" s="1"/>
  <c r="I28" i="6"/>
  <c r="K28" i="6" s="1"/>
  <c r="I45" i="6"/>
  <c r="J45" i="6" s="1"/>
  <c r="I39" i="6"/>
  <c r="J39" i="6" s="1"/>
  <c r="I38" i="6"/>
  <c r="K38" i="6" s="1"/>
  <c r="I25" i="6"/>
  <c r="J25" i="6" s="1"/>
  <c r="I21" i="6"/>
  <c r="J21" i="6" s="1"/>
  <c r="I31" i="6"/>
  <c r="J31" i="6" s="1"/>
  <c r="I44" i="6"/>
  <c r="K44" i="6" s="1"/>
  <c r="I43" i="6"/>
  <c r="K43" i="6" s="1"/>
  <c r="I42" i="6"/>
  <c r="J42" i="6" s="1"/>
  <c r="K51" i="6" l="1"/>
  <c r="J30" i="6"/>
  <c r="K50" i="6"/>
  <c r="K34" i="6"/>
  <c r="K27" i="6"/>
  <c r="J33" i="6"/>
  <c r="K52" i="6"/>
  <c r="K35" i="6"/>
  <c r="J53" i="6"/>
  <c r="J36" i="6"/>
  <c r="J46" i="6"/>
  <c r="K41" i="6"/>
  <c r="J47" i="6"/>
  <c r="K25" i="6"/>
  <c r="J26" i="6"/>
  <c r="J29" i="6"/>
  <c r="J28" i="6"/>
  <c r="J40" i="6"/>
  <c r="J48" i="6"/>
  <c r="K49" i="6"/>
  <c r="J32" i="6"/>
  <c r="J23" i="6"/>
  <c r="J38" i="6"/>
  <c r="K39" i="6"/>
  <c r="K45" i="6"/>
  <c r="J22" i="6"/>
  <c r="K42" i="6"/>
  <c r="K21" i="6"/>
  <c r="J44" i="6"/>
  <c r="J43" i="6"/>
  <c r="K31" i="6"/>
  <c r="Z6" i="5"/>
  <c r="I6" i="6" l="1"/>
  <c r="K6" i="6" s="1"/>
  <c r="I5" i="6"/>
  <c r="K5" i="6" s="1"/>
  <c r="I4" i="6"/>
  <c r="J4" i="6" s="1"/>
  <c r="I12" i="6"/>
  <c r="J12" i="6" s="1"/>
  <c r="I11" i="6"/>
  <c r="J11" i="6" s="1"/>
  <c r="I8" i="6"/>
  <c r="J8" i="6" s="1"/>
  <c r="I7" i="6"/>
  <c r="K7" i="6" s="1"/>
  <c r="I3" i="6"/>
  <c r="K3" i="6" s="1"/>
  <c r="K4" i="6" l="1"/>
  <c r="J5" i="6"/>
  <c r="J6" i="6"/>
  <c r="K12" i="6"/>
  <c r="K11" i="6"/>
  <c r="J7" i="6"/>
  <c r="K8" i="6"/>
  <c r="J3" i="6"/>
  <c r="I9" i="6"/>
  <c r="J9" i="6" s="1"/>
  <c r="I10" i="6"/>
  <c r="K10" i="6" s="1"/>
  <c r="E10" i="1"/>
  <c r="J10" i="6" l="1"/>
  <c r="K9" i="6"/>
  <c r="Z5" i="5"/>
  <c r="V5" i="5"/>
  <c r="E7" i="8"/>
  <c r="F7" i="8" s="1"/>
  <c r="H7" i="8" s="1"/>
  <c r="E6" i="8"/>
  <c r="F6" i="8" s="1"/>
  <c r="H6" i="8" s="1"/>
  <c r="E5" i="1"/>
  <c r="AA5" i="5" l="1"/>
  <c r="AB5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V16" i="5"/>
  <c r="AA16" i="5" s="1"/>
  <c r="AB16" i="5" s="1"/>
  <c r="V15" i="5"/>
  <c r="AA15" i="5" s="1"/>
  <c r="AB15" i="5" s="1"/>
  <c r="V25" i="5"/>
  <c r="AA25" i="5" s="1"/>
  <c r="AB25" i="5" s="1"/>
  <c r="V26" i="5"/>
  <c r="AA26" i="5" s="1"/>
  <c r="AB26" i="5" s="1"/>
  <c r="D14" i="7"/>
  <c r="E14" i="7" s="1"/>
  <c r="D13" i="7"/>
  <c r="E13" i="7" s="1"/>
  <c r="M7" i="1"/>
  <c r="I14" i="6"/>
  <c r="K14" i="6" s="1"/>
  <c r="I13" i="6"/>
  <c r="K13" i="6" s="1"/>
  <c r="E17" i="8"/>
  <c r="F17" i="8" s="1"/>
  <c r="H17" i="8" s="1"/>
  <c r="J13" i="6" l="1"/>
  <c r="J14" i="6"/>
  <c r="E11" i="1"/>
  <c r="D12" i="7"/>
  <c r="E12" i="7" s="1"/>
  <c r="E14" i="8" l="1"/>
  <c r="I12" i="1" l="1"/>
  <c r="I37" i="6" l="1"/>
  <c r="J37" i="6" s="1"/>
  <c r="I24" i="6"/>
  <c r="K24" i="6" s="1"/>
  <c r="K37" i="6" l="1"/>
  <c r="J24" i="6"/>
  <c r="D6" i="5" l="1"/>
  <c r="C6" i="5"/>
  <c r="E16" i="8" l="1"/>
  <c r="F16" i="8" s="1"/>
  <c r="H16" i="8" s="1"/>
  <c r="E9" i="1"/>
  <c r="D11" i="7" l="1"/>
  <c r="E11" i="7" s="1"/>
  <c r="I19" i="6"/>
  <c r="K19" i="6" s="1"/>
  <c r="I18" i="6"/>
  <c r="K18" i="6" s="1"/>
  <c r="I16" i="6"/>
  <c r="K16" i="6" s="1"/>
  <c r="I15" i="6"/>
  <c r="K15" i="6" s="1"/>
  <c r="J16" i="6" l="1"/>
  <c r="D8" i="5" l="1"/>
  <c r="C8" i="5"/>
  <c r="B8" i="5"/>
  <c r="E11" i="8" l="1"/>
  <c r="F11" i="8" s="1"/>
  <c r="H11" i="8" s="1"/>
  <c r="E10" i="8"/>
  <c r="F10" i="8" l="1"/>
  <c r="H10" i="8" s="1"/>
  <c r="J19" i="6" l="1"/>
  <c r="J18" i="6"/>
  <c r="J15" i="6"/>
  <c r="I20" i="6" l="1"/>
  <c r="K20" i="6" s="1"/>
  <c r="I17" i="6"/>
  <c r="K17" i="6" s="1"/>
  <c r="I2" i="6"/>
  <c r="K2" i="6" s="1"/>
  <c r="D10" i="7"/>
  <c r="D9" i="7"/>
  <c r="E9" i="7" s="1"/>
  <c r="D8" i="7"/>
  <c r="V11" i="5"/>
  <c r="AA11" i="5" s="1"/>
  <c r="AB11" i="5" s="1"/>
  <c r="V24" i="5"/>
  <c r="AA24" i="5" s="1"/>
  <c r="AB24" i="5" s="1"/>
  <c r="D13" i="1"/>
  <c r="J2" i="6" l="1"/>
  <c r="J17" i="6"/>
  <c r="J20" i="6"/>
  <c r="E8" i="7"/>
  <c r="E10" i="7"/>
  <c r="D7" i="7" l="1"/>
  <c r="E7" i="7" s="1"/>
  <c r="D6" i="7"/>
  <c r="E6" i="7" s="1"/>
  <c r="D5" i="7"/>
  <c r="E5" i="7" s="1"/>
  <c r="V14" i="5"/>
  <c r="V13" i="5"/>
  <c r="V12" i="5"/>
  <c r="V10" i="5"/>
  <c r="AA12" i="5" l="1"/>
  <c r="AB12" i="5" s="1"/>
  <c r="AA13" i="5"/>
  <c r="AB13" i="5" s="1"/>
  <c r="AA14" i="5"/>
  <c r="AB14" i="5" s="1"/>
  <c r="AA10" i="5"/>
  <c r="AB10" i="5" s="1"/>
  <c r="B6" i="5" l="1"/>
  <c r="C4" i="5" l="1"/>
  <c r="D4" i="5"/>
  <c r="B4" i="5" l="1"/>
  <c r="D2" i="7" l="1"/>
  <c r="E2" i="7" s="1"/>
  <c r="D3" i="7"/>
  <c r="E3" i="7" s="1"/>
  <c r="D4" i="7"/>
  <c r="E4" i="7" s="1"/>
  <c r="Z3" i="5" l="1"/>
  <c r="Z2" i="5"/>
  <c r="F14" i="8" l="1"/>
  <c r="H14" i="8" s="1"/>
  <c r="D2" i="5" l="1"/>
  <c r="B2" i="5"/>
  <c r="V7" i="5" l="1"/>
  <c r="AA7" i="5" s="1"/>
  <c r="AB7" i="5" s="1"/>
  <c r="F9" i="8" l="1"/>
  <c r="H9" i="8" s="1"/>
  <c r="F4" i="8"/>
  <c r="H4" i="8" s="1"/>
  <c r="E3" i="8"/>
  <c r="F3" i="8" s="1"/>
  <c r="H3" i="8" s="1"/>
  <c r="E2" i="8"/>
  <c r="F2" i="8" s="1"/>
  <c r="H2" i="8" s="1"/>
  <c r="Z4" i="5" l="1"/>
  <c r="V8" i="5" l="1"/>
  <c r="AA8" i="5" s="1"/>
  <c r="AB8" i="5" s="1"/>
  <c r="E6" i="1" l="1"/>
  <c r="M8" i="1" l="1"/>
  <c r="M6" i="1"/>
  <c r="M14" i="1" s="1"/>
  <c r="H6" i="4" l="1"/>
  <c r="B3" i="5" l="1"/>
  <c r="D3" i="5"/>
  <c r="C3" i="5"/>
  <c r="D4" i="4" l="1"/>
  <c r="V9" i="5" l="1"/>
  <c r="AA9" i="5" s="1"/>
  <c r="AB9" i="5" s="1"/>
  <c r="E7" i="1" l="1"/>
  <c r="E4" i="1"/>
  <c r="E2" i="1"/>
  <c r="E3" i="1"/>
  <c r="E8" i="1"/>
  <c r="V6" i="5"/>
  <c r="AA6" i="5" s="1"/>
  <c r="AB6" i="5" s="1"/>
  <c r="V3" i="5"/>
  <c r="AA3" i="5" s="1"/>
  <c r="AB3" i="5" s="1"/>
  <c r="V4" i="5"/>
  <c r="AA4" i="5" s="1"/>
  <c r="AB4" i="5" s="1"/>
  <c r="V2" i="5"/>
  <c r="AA2" i="5" s="1"/>
  <c r="AB2" i="5" s="1"/>
  <c r="C2" i="5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1" i="1"/>
  <c r="I13" i="1" s="1"/>
  <c r="I10" i="1"/>
  <c r="M10" i="1" l="1"/>
  <c r="I14" i="1"/>
  <c r="M11" i="1" s="1"/>
  <c r="M12" i="1"/>
</calcChain>
</file>

<file path=xl/comments1.xml><?xml version="1.0" encoding="utf-8"?>
<comments xmlns="http://schemas.openxmlformats.org/spreadsheetml/2006/main">
  <authors>
    <author>Alexis Álvarez</author>
  </authors>
  <commentList>
    <comment ref="F11" authorId="0">
      <text>
        <r>
          <rPr>
            <i/>
            <sz val="12"/>
            <color theme="1"/>
            <rFont val="Times New Roman"/>
            <family val="1"/>
          </rPr>
          <t>Rage +10’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1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6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C18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8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C19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9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20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X6" authorId="0">
      <text>
        <r>
          <rPr>
            <i/>
            <sz val="12"/>
            <color theme="1"/>
            <rFont val="Times New Roman"/>
            <family val="1"/>
          </rPr>
          <t>divine power +1/lvl</t>
        </r>
      </text>
    </comment>
    <comment ref="B8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shield +4
mage armor +4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shield +4
mage armor +4
haste +1</t>
        </r>
      </text>
    </comment>
  </commentList>
</comments>
</file>

<file path=xl/sharedStrings.xml><?xml version="1.0" encoding="utf-8"?>
<sst xmlns="http://schemas.openxmlformats.org/spreadsheetml/2006/main" count="475" uniqueCount="199">
  <si>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</si>
  <si>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</si>
  <si>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</si>
  <si>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</si>
  <si>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</si>
  <si>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</si>
  <si>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</si>
  <si>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</si>
  <si>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</si>
  <si>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</si>
  <si>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</si>
  <si>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</si>
  <si>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</si>
  <si>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</si>
  <si>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</si>
  <si>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</si>
  <si>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</si>
  <si>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</si>
  <si>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</si>
  <si>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</si>
  <si>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</si>
  <si>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</si>
  <si>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</si>
  <si>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</si>
  <si>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</si>
  <si>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</si>
  <si>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</si>
  <si>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</si>
  <si>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</si>
  <si>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</si>
  <si>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</si>
  <si>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</si>
  <si>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</si>
  <si>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</si>
  <si>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</si>
  <si>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</si>
  <si>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</si>
  <si>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</si>
  <si>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</si>
  <si>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</si>
  <si>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</si>
  <si>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</si>
  <si>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</si>
  <si>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</si>
  <si>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</si>
  <si>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</si>
  <si>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</si>
  <si>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</si>
  <si>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</si>
  <si>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</si>
  <si>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</si>
  <si>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</si>
  <si>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</si>
  <si>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</si>
  <si>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</si>
  <si>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</si>
  <si>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</si>
  <si>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</si>
  <si>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</si>
  <si>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</si>
  <si>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</si>
  <si>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</si>
  <si>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</si>
  <si>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Climb</t>
  </si>
  <si>
    <t>Allisa</t>
  </si>
  <si>
    <t>Lauren</t>
  </si>
  <si>
    <t>Fingers</t>
  </si>
  <si>
    <t>Stoneskin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</si>
  <si>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</si>
  <si>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</si>
  <si>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</si>
  <si>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</si>
  <si>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</si>
  <si>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</si>
  <si>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</si>
  <si>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Imm</t>
  </si>
  <si>
    <t>Magic/
Force</t>
  </si>
  <si>
    <t>Samara</t>
  </si>
  <si>
    <t>Favored Soul-Divine Agent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</si>
  <si>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</si>
  <si>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</si>
  <si>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</si>
  <si>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</si>
  <si>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</si>
  <si>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</si>
  <si>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</si>
  <si>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</si>
  <si>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</si>
  <si>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</si>
  <si>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</si>
  <si>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Flint</t>
  </si>
  <si>
    <t>Tali</t>
  </si>
  <si>
    <t>Cleric-Factotum-Chameleon</t>
  </si>
  <si>
    <t>Kedrik</t>
  </si>
  <si>
    <t>prc/slash</t>
  </si>
  <si>
    <t>Shooting Star-Deadwood Sniper</t>
  </si>
  <si>
    <t>40’</t>
  </si>
  <si>
    <t>R10</t>
  </si>
  <si>
    <t>CR</t>
  </si>
  <si>
    <t>Barkskin</t>
  </si>
  <si>
    <t>Shield of Faith</t>
  </si>
  <si>
    <t>Bear’s Endurance</t>
  </si>
  <si>
    <t>Greater Mage Armor</t>
  </si>
  <si>
    <t>Greater Invisibility</t>
  </si>
  <si>
    <t>Jump</t>
  </si>
  <si>
    <t>X</t>
  </si>
  <si>
    <t>Threat</t>
  </si>
  <si>
    <t>Crit</t>
  </si>
  <si>
    <t>Call Lightning</t>
  </si>
  <si>
    <t>þ</t>
  </si>
  <si>
    <t>Ice Trolls</t>
  </si>
  <si>
    <t>Mountain Trolls</t>
  </si>
  <si>
    <t>Ice Troll</t>
  </si>
  <si>
    <t>Mountain Troll</t>
  </si>
  <si>
    <t>Mountain Troll 1</t>
  </si>
  <si>
    <t>Mountain Troll 2</t>
  </si>
  <si>
    <t>Mountain Troll 3</t>
  </si>
  <si>
    <t>Faith</t>
  </si>
  <si>
    <t>20’</t>
  </si>
  <si>
    <t>Bull’s Strength</t>
  </si>
  <si>
    <t>20’ or 30’</t>
  </si>
  <si>
    <t>Grapple</t>
  </si>
  <si>
    <t>Greatclub</t>
  </si>
  <si>
    <t>Bite</t>
  </si>
  <si>
    <t>1d8+11</t>
  </si>
  <si>
    <t>Claw 1</t>
  </si>
  <si>
    <t>Claw 2</t>
  </si>
  <si>
    <t>Ice Troll 1 (Rider)</t>
  </si>
  <si>
    <t>Ice Troll 2 (Rider)</t>
  </si>
  <si>
    <t>Claw</t>
  </si>
  <si>
    <t>1d10+9</t>
  </si>
  <si>
    <t>Greatsword +1</t>
  </si>
  <si>
    <t>1d6+6</t>
  </si>
  <si>
    <t>1d6+3</t>
  </si>
  <si>
    <t>Spittle</t>
  </si>
  <si>
    <t>1d4 cold</t>
  </si>
  <si>
    <t>MW Warhammer</t>
  </si>
  <si>
    <t>2d6+10+1</t>
  </si>
  <si>
    <t>Ice Troll 3 (std.lth.arm.)</t>
  </si>
  <si>
    <t>Ice Troll 4 (std.lth.arm.)</t>
  </si>
  <si>
    <t>Ice Troll 5 (std.lth.arm.)</t>
  </si>
  <si>
    <t>Ice Troll 6 (std.lth.arm.)</t>
  </si>
  <si>
    <t>Ice Troll 7 (std.lth.arm.)</t>
  </si>
  <si>
    <t>/all</t>
  </si>
  <si>
    <t>Archer</t>
  </si>
  <si>
    <t>Composite Longbow</t>
  </si>
  <si>
    <t>Longbow</t>
  </si>
  <si>
    <t>Shortbow</t>
  </si>
  <si>
    <t>Heavy Crossbow</t>
  </si>
  <si>
    <t>Light Crossbow</t>
  </si>
  <si>
    <t>Siege Engineer</t>
  </si>
  <si>
    <t>Ballista</t>
  </si>
  <si>
    <t>Crossbow Operator</t>
  </si>
  <si>
    <t>See Invisibility</t>
  </si>
  <si>
    <t>Haste</t>
  </si>
  <si>
    <t>3d8+28+2</t>
  </si>
  <si>
    <t>1d8+17+2</t>
  </si>
  <si>
    <t>30’+10’</t>
  </si>
  <si>
    <t>Targeting</t>
  </si>
  <si>
    <t>Elite Archer</t>
  </si>
  <si>
    <t>Ice Troll 4</t>
  </si>
  <si>
    <t>Ice Troll 8</t>
  </si>
  <si>
    <t>Ice Troll 5</t>
  </si>
  <si>
    <t>Ice Troll 11</t>
  </si>
  <si>
    <t>Ice Troll 9</t>
  </si>
  <si>
    <t>Ice Troll 7</t>
  </si>
  <si>
    <t>Ice Troll 1</t>
  </si>
  <si>
    <t>1d8</t>
  </si>
  <si>
    <t>1d8+2</t>
  </si>
  <si>
    <t>1d8+1</t>
  </si>
  <si>
    <t>1d10</t>
  </si>
  <si>
    <t>3d12</t>
  </si>
  <si>
    <t>1d6</t>
  </si>
  <si>
    <t>Flell Spillblood (Rider)</t>
  </si>
  <si>
    <t>Flell Spillblood</t>
  </si>
  <si>
    <t>MM III</t>
  </si>
  <si>
    <t>Unapproachable East</t>
  </si>
  <si>
    <t>Ice Troll Fighter</t>
  </si>
  <si>
    <t>Ice Troll 12 (lth.arm.)</t>
  </si>
  <si>
    <t>Ice Troll 10 (lth.arm.)</t>
  </si>
  <si>
    <t>Ice Troll 11 (lth.arm.)</t>
  </si>
  <si>
    <t>Ice Troll 8 (lth.arm.)</t>
  </si>
  <si>
    <t>Ice Troll 9 (lth.arm.)</t>
  </si>
  <si>
    <t>Flight</t>
  </si>
  <si>
    <t>Ice Troll 10</t>
  </si>
  <si>
    <t>Ice Troll 12</t>
  </si>
  <si>
    <t>d3</t>
  </si>
  <si>
    <t>d4</t>
  </si>
  <si>
    <t>d6</t>
  </si>
  <si>
    <t>d8</t>
  </si>
  <si>
    <t>d10</t>
  </si>
  <si>
    <t>d12</t>
  </si>
  <si>
    <t>d20</t>
  </si>
  <si>
    <t>d100</t>
  </si>
  <si>
    <t>Ice Troll 13 (lth.arm.)</t>
  </si>
  <si>
    <t>Vanisher Cloak</t>
  </si>
  <si>
    <t>Mountain Trolls, 3</t>
  </si>
  <si>
    <t>Citizens of Longsaddle</t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</si>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</sst>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249977111117893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3300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/>
    </xf>
    <xf numFmtId="0" fontId="8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/>
    </xf>
    <xf numFmtId="0" fontId="9" fillId="16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6" fillId="21" borderId="2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16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3" borderId="58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 wrapText="1"/>
    </xf>
    <xf numFmtId="0" fontId="0" fillId="20" borderId="28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4" fillId="24" borderId="57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3" borderId="43" xfId="0" quotePrefix="1" applyFill="1" applyBorder="1" applyAlignment="1"/>
    <xf numFmtId="164" fontId="0" fillId="5" borderId="0" xfId="0" applyNumberFormat="1" applyFill="1" applyBorder="1" applyAlignment="1">
      <alignment horizontal="center"/>
    </xf>
    <xf numFmtId="0" fontId="18" fillId="12" borderId="8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/>
    </xf>
    <xf numFmtId="0" fontId="2" fillId="25" borderId="39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3" fillId="27" borderId="29" xfId="11" applyNumberFormat="1" applyFont="1" applyFill="1" applyBorder="1" applyAlignment="1">
      <alignment horizontal="center" vertical="center" shrinkToFit="1"/>
    </xf>
    <xf numFmtId="0" fontId="23" fillId="20" borderId="29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18" fillId="22" borderId="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4" fillId="26" borderId="62" xfId="0" applyFont="1" applyFill="1" applyBorder="1" applyAlignment="1">
      <alignment horizontal="center" vertical="center"/>
    </xf>
    <xf numFmtId="0" fontId="17" fillId="19" borderId="62" xfId="0" applyFont="1" applyFill="1" applyBorder="1" applyAlignment="1">
      <alignment horizontal="center" vertical="center"/>
    </xf>
    <xf numFmtId="0" fontId="14" fillId="21" borderId="62" xfId="0" applyFont="1" applyFill="1" applyBorder="1" applyAlignment="1">
      <alignment horizontal="center" vertical="center"/>
    </xf>
    <xf numFmtId="0" fontId="17" fillId="28" borderId="62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29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17" fillId="7" borderId="62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5" fillId="25" borderId="37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5" borderId="5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14" fillId="18" borderId="62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/>
    </xf>
    <xf numFmtId="0" fontId="5" fillId="0" borderId="67" xfId="0" applyFont="1" applyFill="1" applyBorder="1" applyAlignment="1">
      <alignment horizontal="center"/>
    </xf>
    <xf numFmtId="0" fontId="17" fillId="30" borderId="62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/>
    </xf>
    <xf numFmtId="0" fontId="6" fillId="21" borderId="8" xfId="0" applyFont="1" applyFill="1" applyBorder="1" applyAlignment="1">
      <alignment horizontal="center"/>
    </xf>
  </cellXfs>
  <cellStyles count="12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" xfId="11" builtinId="5"/>
    <cellStyle name="Percent 2" xfId="6"/>
    <cellStyle name="Percent 2 2" xfId="8"/>
  </cellStyles>
  <dxfs count="7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3300"/>
      <color rgb="FF00FF00"/>
      <color rgb="FF663300"/>
      <color rgb="FFFF9900"/>
      <color rgb="FFCC0000"/>
      <color rgb="FF0033CC"/>
      <color rgb="FF006666"/>
      <color rgb="FFFF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17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15</c:v>
                </c:pt>
                <c:pt idx="3">
                  <c:v>18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13</c:v>
                </c:pt>
                <c:pt idx="3">
                  <c:v>20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16</c:v>
                </c:pt>
                <c:pt idx="3">
                  <c:v>18</c:v>
                </c:pt>
                <c:pt idx="4">
                  <c:v>40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29</c:v>
                </c:pt>
                <c:pt idx="3">
                  <c:v>32</c:v>
                </c:pt>
                <c:pt idx="4">
                  <c:v>42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20</c:v>
                </c:pt>
                <c:pt idx="2">
                  <c:v>17</c:v>
                </c:pt>
                <c:pt idx="3">
                  <c:v>52</c:v>
                </c:pt>
                <c:pt idx="4">
                  <c:v>60</c:v>
                </c:pt>
                <c:pt idx="5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460928"/>
        <c:axId val="158270208"/>
        <c:axId val="86262208"/>
      </c:area3DChart>
      <c:catAx>
        <c:axId val="158460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270208"/>
        <c:crosses val="autoZero"/>
        <c:auto val="1"/>
        <c:lblAlgn val="ctr"/>
        <c:lblOffset val="100"/>
        <c:noMultiLvlLbl val="0"/>
      </c:catAx>
      <c:valAx>
        <c:axId val="15827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460928"/>
        <c:crosses val="autoZero"/>
        <c:crossBetween val="midCat"/>
      </c:valAx>
      <c:serAx>
        <c:axId val="86262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2702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29</c:v>
                </c:pt>
                <c:pt idx="6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32</c:v>
                </c:pt>
                <c:pt idx="6">
                  <c:v>52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17</c:v>
                </c:pt>
                <c:pt idx="2">
                  <c:v>10</c:v>
                </c:pt>
                <c:pt idx="3">
                  <c:v>16</c:v>
                </c:pt>
                <c:pt idx="4">
                  <c:v>40</c:v>
                </c:pt>
                <c:pt idx="5">
                  <c:v>42</c:v>
                </c:pt>
                <c:pt idx="6">
                  <c:v>60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16</c:v>
                </c:pt>
                <c:pt idx="4">
                  <c:v>28</c:v>
                </c:pt>
                <c:pt idx="5">
                  <c:v>50</c:v>
                </c:pt>
                <c:pt idx="6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03744"/>
        <c:axId val="158305280"/>
        <c:axId val="156350656"/>
      </c:area3DChart>
      <c:catAx>
        <c:axId val="158303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305280"/>
        <c:crosses val="autoZero"/>
        <c:auto val="1"/>
        <c:lblAlgn val="ctr"/>
        <c:lblOffset val="100"/>
        <c:noMultiLvlLbl val="0"/>
      </c:catAx>
      <c:valAx>
        <c:axId val="15830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303744"/>
        <c:crosses val="autoZero"/>
        <c:crossBetween val="midCat"/>
      </c:valAx>
      <c:serAx>
        <c:axId val="156350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583052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17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15</c:v>
                </c:pt>
                <c:pt idx="3">
                  <c:v>18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13</c:v>
                </c:pt>
                <c:pt idx="3">
                  <c:v>20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16</c:v>
                </c:pt>
                <c:pt idx="3">
                  <c:v>18</c:v>
                </c:pt>
                <c:pt idx="4">
                  <c:v>40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29</c:v>
                </c:pt>
                <c:pt idx="3">
                  <c:v>32</c:v>
                </c:pt>
                <c:pt idx="4">
                  <c:v>42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20</c:v>
                </c:pt>
                <c:pt idx="2">
                  <c:v>17</c:v>
                </c:pt>
                <c:pt idx="3">
                  <c:v>52</c:v>
                </c:pt>
                <c:pt idx="4">
                  <c:v>60</c:v>
                </c:pt>
                <c:pt idx="5">
                  <c:v>85</c:v>
                </c:pt>
              </c:numCache>
            </c:numRef>
          </c:val>
        </c:ser>
        <c:bandFmts/>
        <c:axId val="158487296"/>
        <c:axId val="158488832"/>
        <c:axId val="158328576"/>
      </c:surface3DChart>
      <c:catAx>
        <c:axId val="158487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488832"/>
        <c:crosses val="autoZero"/>
        <c:auto val="1"/>
        <c:lblAlgn val="ctr"/>
        <c:lblOffset val="100"/>
        <c:noMultiLvlLbl val="0"/>
      </c:catAx>
      <c:valAx>
        <c:axId val="15848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487296"/>
        <c:crosses val="autoZero"/>
        <c:crossBetween val="midCat"/>
      </c:valAx>
      <c:serAx>
        <c:axId val="158328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84888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14</xdr:row>
      <xdr:rowOff>175260</xdr:rowOff>
    </xdr:from>
    <xdr:to>
      <xdr:col>9</xdr:col>
      <xdr:colOff>1973580</xdr:colOff>
      <xdr:row>19</xdr:row>
      <xdr:rowOff>38100</xdr:rowOff>
    </xdr:to>
    <xdr:sp macro="" textlink="">
      <xdr:nvSpPr>
        <xdr:cNvPr id="2" name="TextBox 1"/>
        <xdr:cNvSpPr txBox="1"/>
      </xdr:nvSpPr>
      <xdr:spPr>
        <a:xfrm>
          <a:off x="4320540" y="3208020"/>
          <a:ext cx="339090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Faith, 3 siege engineers, some spellcasters, and a bunch of townsfolk with bows and crossbows also participated in this conflict.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213360</xdr:colOff>
      <xdr:row>16</xdr:row>
      <xdr:rowOff>70485</xdr:rowOff>
    </xdr:from>
    <xdr:to>
      <xdr:col>22</xdr:col>
      <xdr:colOff>451486</xdr:colOff>
      <xdr:row>32</xdr:row>
      <xdr:rowOff>41910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showGridLines="0" tabSelected="1" workbookViewId="0"/>
  </sheetViews>
  <sheetFormatPr defaultRowHeight="15.6" x14ac:dyDescent="0.3"/>
  <cols>
    <col min="1" max="1" width="19.19921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.5" style="21" bestFit="1" customWidth="1"/>
    <col min="7" max="7" width="4.19921875" customWidth="1"/>
    <col min="8" max="8" width="14.09765625" bestFit="1" customWidth="1"/>
    <col min="9" max="9" width="4.8984375" bestFit="1" customWidth="1"/>
    <col min="10" max="10" width="27" bestFit="1" customWidth="1"/>
    <col min="11" max="11" width="4.19921875" customWidth="1"/>
    <col min="12" max="12" width="19.59765625" bestFit="1" customWidth="1"/>
    <col min="13" max="13" width="7.3984375" bestFit="1" customWidth="1"/>
    <col min="14" max="14" width="23" bestFit="1" customWidth="1"/>
  </cols>
  <sheetData>
    <row r="1" spans="1:14" s="96" customFormat="1" ht="31.8" thickBot="1" x14ac:dyDescent="0.35">
      <c r="A1" s="94" t="s">
        <v>0</v>
      </c>
      <c r="B1" s="94" t="s">
        <v>1</v>
      </c>
      <c r="C1" s="94" t="s">
        <v>2</v>
      </c>
      <c r="D1" s="95" t="s">
        <v>3</v>
      </c>
      <c r="E1" s="94" t="s">
        <v>4</v>
      </c>
      <c r="F1" s="94" t="s">
        <v>5</v>
      </c>
      <c r="H1" s="97" t="s">
        <v>13</v>
      </c>
      <c r="I1" s="97"/>
      <c r="J1" s="97"/>
      <c r="K1" s="97"/>
      <c r="L1" s="97" t="s">
        <v>89</v>
      </c>
      <c r="M1" s="97"/>
      <c r="N1" s="97"/>
    </row>
    <row r="2" spans="1:14" ht="16.8" thickTop="1" thickBot="1" x14ac:dyDescent="0.35">
      <c r="A2" s="72" t="s">
        <v>91</v>
      </c>
      <c r="B2" s="72">
        <v>1</v>
      </c>
      <c r="C2" s="73">
        <v>8</v>
      </c>
      <c r="D2" s="114">
        <f t="shared" ref="D2:D11" ca="1" si="0">RANDBETWEEN(1,20)</f>
        <v>7</v>
      </c>
      <c r="E2" s="73">
        <f t="shared" ref="E2:E11" ca="1" si="1">SUM(C2:D2)</f>
        <v>15</v>
      </c>
      <c r="F2" s="73" t="s">
        <v>96</v>
      </c>
      <c r="H2" s="77" t="s">
        <v>0</v>
      </c>
      <c r="I2" s="78" t="s">
        <v>14</v>
      </c>
      <c r="J2" s="79" t="s">
        <v>15</v>
      </c>
      <c r="L2" s="88" t="s">
        <v>0</v>
      </c>
      <c r="M2" s="89" t="s">
        <v>98</v>
      </c>
      <c r="N2" s="90" t="s">
        <v>61</v>
      </c>
    </row>
    <row r="3" spans="1:14" x14ac:dyDescent="0.3">
      <c r="A3" s="83" t="s">
        <v>65</v>
      </c>
      <c r="B3" s="83">
        <v>1</v>
      </c>
      <c r="C3" s="73">
        <v>4</v>
      </c>
      <c r="D3" s="114">
        <f t="shared" ca="1" si="0"/>
        <v>10</v>
      </c>
      <c r="E3" s="73">
        <f t="shared" ca="1" si="1"/>
        <v>14</v>
      </c>
      <c r="F3" s="73" t="s">
        <v>6</v>
      </c>
      <c r="H3" s="80" t="s">
        <v>64</v>
      </c>
      <c r="I3" s="81">
        <v>12</v>
      </c>
      <c r="J3" s="82" t="s">
        <v>68</v>
      </c>
      <c r="L3" s="91" t="s">
        <v>174</v>
      </c>
      <c r="M3" s="74">
        <v>9</v>
      </c>
      <c r="N3" s="92" t="s">
        <v>177</v>
      </c>
    </row>
    <row r="4" spans="1:14" x14ac:dyDescent="0.3">
      <c r="A4" s="72" t="s">
        <v>90</v>
      </c>
      <c r="B4" s="72">
        <v>1</v>
      </c>
      <c r="C4" s="73">
        <v>3</v>
      </c>
      <c r="D4" s="114">
        <f t="shared" ca="1" si="0"/>
        <v>3</v>
      </c>
      <c r="E4" s="73">
        <f t="shared" ca="1" si="1"/>
        <v>6</v>
      </c>
      <c r="F4" s="73" t="s">
        <v>6</v>
      </c>
      <c r="H4" s="80" t="s">
        <v>66</v>
      </c>
      <c r="I4" s="83">
        <v>12</v>
      </c>
      <c r="J4" s="82" t="s">
        <v>69</v>
      </c>
      <c r="L4" s="91" t="s">
        <v>110</v>
      </c>
      <c r="M4" s="74">
        <v>4</v>
      </c>
      <c r="N4" s="92" t="s">
        <v>176</v>
      </c>
    </row>
    <row r="5" spans="1:14" ht="16.2" thickBot="1" x14ac:dyDescent="0.35">
      <c r="A5" s="72" t="s">
        <v>197</v>
      </c>
      <c r="B5" s="72">
        <v>1</v>
      </c>
      <c r="C5" s="73">
        <v>0</v>
      </c>
      <c r="D5" s="114">
        <f t="shared" ca="1" si="0"/>
        <v>19</v>
      </c>
      <c r="E5" s="73">
        <f t="shared" ca="1" si="1"/>
        <v>19</v>
      </c>
      <c r="F5" s="73" t="s">
        <v>118</v>
      </c>
      <c r="H5" s="199" t="s">
        <v>93</v>
      </c>
      <c r="I5" s="72">
        <v>13</v>
      </c>
      <c r="J5" s="200" t="s">
        <v>198</v>
      </c>
      <c r="L5" s="209" t="s">
        <v>196</v>
      </c>
      <c r="M5" s="210">
        <v>11</v>
      </c>
      <c r="N5" s="211" t="s">
        <v>175</v>
      </c>
    </row>
    <row r="6" spans="1:14" x14ac:dyDescent="0.3">
      <c r="A6" s="72" t="s">
        <v>77</v>
      </c>
      <c r="B6" s="72">
        <v>1</v>
      </c>
      <c r="C6" s="73">
        <v>0</v>
      </c>
      <c r="D6" s="114">
        <f t="shared" ca="1" si="0"/>
        <v>12</v>
      </c>
      <c r="E6" s="73">
        <f t="shared" ca="1" si="1"/>
        <v>12</v>
      </c>
      <c r="F6" s="73" t="s">
        <v>6</v>
      </c>
      <c r="H6" s="80" t="s">
        <v>65</v>
      </c>
      <c r="I6" s="83">
        <v>12</v>
      </c>
      <c r="J6" s="82" t="s">
        <v>70</v>
      </c>
      <c r="L6" s="112" t="s">
        <v>17</v>
      </c>
      <c r="M6" s="163">
        <f>SUM(M3:M5)</f>
        <v>24</v>
      </c>
      <c r="N6" s="92"/>
    </row>
    <row r="7" spans="1:14" x14ac:dyDescent="0.3">
      <c r="A7" s="83" t="s">
        <v>66</v>
      </c>
      <c r="B7" s="83">
        <v>1</v>
      </c>
      <c r="C7" s="73">
        <v>4</v>
      </c>
      <c r="D7" s="114">
        <f t="shared" ca="1" si="0"/>
        <v>4</v>
      </c>
      <c r="E7" s="73">
        <f t="shared" ca="1" si="1"/>
        <v>8</v>
      </c>
      <c r="F7" s="73" t="s">
        <v>6</v>
      </c>
      <c r="H7" s="199" t="s">
        <v>77</v>
      </c>
      <c r="I7" s="72">
        <v>12</v>
      </c>
      <c r="J7" s="200" t="s">
        <v>78</v>
      </c>
      <c r="L7" s="112" t="s">
        <v>16</v>
      </c>
      <c r="M7" s="163">
        <f>IF(SUM(M3:M5)=0,0,AVERAGE(M3:M5))</f>
        <v>8</v>
      </c>
      <c r="N7" s="92"/>
    </row>
    <row r="8" spans="1:14" ht="16.2" thickBot="1" x14ac:dyDescent="0.35">
      <c r="A8" s="83" t="s">
        <v>64</v>
      </c>
      <c r="B8" s="83">
        <v>1</v>
      </c>
      <c r="C8" s="73">
        <v>3</v>
      </c>
      <c r="D8" s="114">
        <f t="shared" ca="1" si="0"/>
        <v>6</v>
      </c>
      <c r="E8" s="73">
        <f t="shared" ca="1" si="1"/>
        <v>9</v>
      </c>
      <c r="F8" s="73" t="s">
        <v>6</v>
      </c>
      <c r="H8" s="199" t="s">
        <v>90</v>
      </c>
      <c r="I8" s="72">
        <v>12</v>
      </c>
      <c r="J8" s="200" t="s">
        <v>92</v>
      </c>
      <c r="L8" s="113" t="s">
        <v>18</v>
      </c>
      <c r="M8" s="104">
        <f>COUNT(M3:M5)</f>
        <v>3</v>
      </c>
      <c r="N8" s="93"/>
    </row>
    <row r="9" spans="1:14" ht="16.8" thickTop="1" thickBot="1" x14ac:dyDescent="0.35">
      <c r="A9" s="72" t="s">
        <v>93</v>
      </c>
      <c r="B9" s="72">
        <v>1</v>
      </c>
      <c r="C9" s="73">
        <v>2</v>
      </c>
      <c r="D9" s="114">
        <f t="shared" ca="1" si="0"/>
        <v>11</v>
      </c>
      <c r="E9" s="73">
        <f t="shared" ca="1" si="1"/>
        <v>13</v>
      </c>
      <c r="F9" s="73" t="s">
        <v>6</v>
      </c>
      <c r="H9" s="199" t="s">
        <v>91</v>
      </c>
      <c r="I9" s="72">
        <v>11</v>
      </c>
      <c r="J9" s="200" t="s">
        <v>95</v>
      </c>
    </row>
    <row r="10" spans="1:14" x14ac:dyDescent="0.3">
      <c r="A10" s="167" t="s">
        <v>110</v>
      </c>
      <c r="B10" s="74">
        <v>2</v>
      </c>
      <c r="C10" s="73">
        <v>2</v>
      </c>
      <c r="D10" s="114">
        <f t="shared" ca="1" si="0"/>
        <v>19</v>
      </c>
      <c r="E10" s="73">
        <f t="shared" ca="1" si="1"/>
        <v>21</v>
      </c>
      <c r="F10" s="73" t="s">
        <v>120</v>
      </c>
      <c r="H10" s="109" t="s">
        <v>16</v>
      </c>
      <c r="I10" s="84">
        <f>AVERAGE(I3:I9)</f>
        <v>12</v>
      </c>
      <c r="J10" s="85"/>
      <c r="L10" s="76" t="s">
        <v>24</v>
      </c>
      <c r="M10" s="107">
        <f>I13</f>
        <v>21</v>
      </c>
      <c r="N10" s="127"/>
    </row>
    <row r="11" spans="1:14" x14ac:dyDescent="0.3">
      <c r="A11" s="167" t="s">
        <v>111</v>
      </c>
      <c r="B11" s="74">
        <v>2</v>
      </c>
      <c r="C11" s="73">
        <v>1</v>
      </c>
      <c r="D11" s="114">
        <f t="shared" ca="1" si="0"/>
        <v>20</v>
      </c>
      <c r="E11" s="73">
        <f t="shared" ca="1" si="1"/>
        <v>21</v>
      </c>
      <c r="F11" s="218" t="s">
        <v>157</v>
      </c>
      <c r="H11" s="110" t="s">
        <v>17</v>
      </c>
      <c r="I11" s="86">
        <f>SUM(I3:I9)</f>
        <v>84</v>
      </c>
      <c r="J11" s="82"/>
      <c r="L11" s="76" t="s">
        <v>25</v>
      </c>
      <c r="M11" s="107">
        <f>I14</f>
        <v>42</v>
      </c>
      <c r="N11" s="127"/>
    </row>
    <row r="12" spans="1:14" x14ac:dyDescent="0.3">
      <c r="H12" s="110" t="s">
        <v>18</v>
      </c>
      <c r="I12" s="86">
        <f>COUNT(I3:I9)</f>
        <v>7</v>
      </c>
      <c r="J12" s="162"/>
      <c r="L12" s="76" t="s">
        <v>26</v>
      </c>
      <c r="M12" s="107">
        <f>I11</f>
        <v>84</v>
      </c>
      <c r="N12" s="127"/>
    </row>
    <row r="13" spans="1:14" x14ac:dyDescent="0.3">
      <c r="D13" s="114">
        <f ca="1">RANDBETWEEN(1,20)</f>
        <v>20</v>
      </c>
      <c r="H13" s="110" t="s">
        <v>20</v>
      </c>
      <c r="I13" s="105">
        <f>I11/4</f>
        <v>21</v>
      </c>
      <c r="J13" s="82" t="s">
        <v>21</v>
      </c>
      <c r="N13" s="127"/>
    </row>
    <row r="14" spans="1:14" ht="16.2" thickBot="1" x14ac:dyDescent="0.35">
      <c r="H14" s="111" t="s">
        <v>22</v>
      </c>
      <c r="I14" s="106">
        <f>I13*2</f>
        <v>42</v>
      </c>
      <c r="J14" s="87" t="s">
        <v>23</v>
      </c>
      <c r="L14" s="15" t="s">
        <v>27</v>
      </c>
      <c r="M14" s="107">
        <f>M6</f>
        <v>24</v>
      </c>
    </row>
    <row r="15" spans="1:14" ht="16.2" thickTop="1" x14ac:dyDescent="0.3">
      <c r="H15" s="127"/>
      <c r="I15" s="127"/>
      <c r="J15" s="127"/>
    </row>
  </sheetData>
  <sortState ref="A2:F11">
    <sortCondition descending="1" ref="E2:E11"/>
    <sortCondition descending="1" ref="C2:C11"/>
  </sortState>
  <conditionalFormatting sqref="M14">
    <cfRule type="cellIs" dxfId="78" priority="1434" operator="greaterThan">
      <formula>$M$12</formula>
    </cfRule>
    <cfRule type="cellIs" dxfId="77" priority="1435" operator="between">
      <formula>$M$11</formula>
      <formula>$M$12</formula>
    </cfRule>
    <cfRule type="cellIs" dxfId="76" priority="1436" operator="between">
      <formula>$M$10</formula>
      <formula>$M$11</formula>
    </cfRule>
    <cfRule type="cellIs" dxfId="75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19921875" style="139" bestFit="1" customWidth="1"/>
    <col min="2" max="2" width="19.3984375" style="139" bestFit="1" customWidth="1"/>
    <col min="3" max="3" width="7.296875" style="139" bestFit="1" customWidth="1"/>
    <col min="4" max="4" width="3.59765625" style="139" bestFit="1" customWidth="1"/>
    <col min="5" max="5" width="8.5" style="139" bestFit="1" customWidth="1"/>
    <col min="6" max="6" width="9.796875" style="139" bestFit="1" customWidth="1"/>
    <col min="7" max="7" width="7.296875" style="173" bestFit="1" customWidth="1"/>
    <col min="8" max="8" width="7.8984375" style="173" customWidth="1"/>
    <col min="9" max="9" width="2.296875" style="139" customWidth="1"/>
    <col min="10" max="10" width="7.59765625" style="139" bestFit="1" customWidth="1"/>
    <col min="11" max="11" width="4.69921875" style="139" customWidth="1"/>
    <col min="12" max="16384" width="8.796875" style="139"/>
  </cols>
  <sheetData>
    <row r="1" spans="1:11" s="169" customFormat="1" ht="31.8" thickBot="1" x14ac:dyDescent="0.35">
      <c r="A1" s="168" t="s">
        <v>79</v>
      </c>
      <c r="B1" s="180" t="s">
        <v>80</v>
      </c>
      <c r="C1" s="176" t="s">
        <v>81</v>
      </c>
      <c r="D1" s="179" t="s">
        <v>82</v>
      </c>
      <c r="E1" s="168" t="s">
        <v>83</v>
      </c>
      <c r="F1" s="168" t="s">
        <v>84</v>
      </c>
      <c r="G1" s="179" t="s">
        <v>85</v>
      </c>
      <c r="H1" s="179" t="s">
        <v>86</v>
      </c>
      <c r="J1" s="206" t="s">
        <v>87</v>
      </c>
      <c r="K1" s="207">
        <v>1</v>
      </c>
    </row>
    <row r="2" spans="1:11" ht="16.8" x14ac:dyDescent="0.3">
      <c r="A2" s="181" t="s">
        <v>64</v>
      </c>
      <c r="B2" s="177" t="s">
        <v>99</v>
      </c>
      <c r="C2" s="178">
        <v>1</v>
      </c>
      <c r="D2" s="170">
        <v>10</v>
      </c>
      <c r="E2" s="170">
        <f>D2*100</f>
        <v>1000</v>
      </c>
      <c r="F2" s="170">
        <f t="shared" ref="F2:F14" si="0">E2+C2</f>
        <v>1001</v>
      </c>
      <c r="G2" s="171" t="s">
        <v>109</v>
      </c>
      <c r="H2" s="172" t="str">
        <f t="shared" ref="H2:H14" si="1">IF(F2&lt;=$K$1,"þ","q")</f>
        <v>q</v>
      </c>
    </row>
    <row r="3" spans="1:11" ht="16.8" x14ac:dyDescent="0.3">
      <c r="A3" s="182" t="s">
        <v>66</v>
      </c>
      <c r="B3" s="177" t="s">
        <v>103</v>
      </c>
      <c r="C3" s="178">
        <v>3</v>
      </c>
      <c r="D3" s="170">
        <v>9</v>
      </c>
      <c r="E3" s="170">
        <f>D3</f>
        <v>9</v>
      </c>
      <c r="F3" s="170">
        <f t="shared" si="0"/>
        <v>12</v>
      </c>
      <c r="G3" s="171" t="s">
        <v>109</v>
      </c>
      <c r="H3" s="172" t="str">
        <f t="shared" si="1"/>
        <v>q</v>
      </c>
    </row>
    <row r="4" spans="1:11" ht="16.8" x14ac:dyDescent="0.3">
      <c r="A4" s="182" t="s">
        <v>66</v>
      </c>
      <c r="B4" s="177" t="s">
        <v>153</v>
      </c>
      <c r="C4" s="178">
        <v>2</v>
      </c>
      <c r="D4" s="170" t="s">
        <v>105</v>
      </c>
      <c r="E4" s="170">
        <v>60</v>
      </c>
      <c r="F4" s="170">
        <f t="shared" si="0"/>
        <v>62</v>
      </c>
      <c r="G4" s="171" t="s">
        <v>109</v>
      </c>
      <c r="H4" s="172" t="str">
        <f t="shared" si="1"/>
        <v>q</v>
      </c>
    </row>
    <row r="5" spans="1:11" ht="16.8" x14ac:dyDescent="0.3">
      <c r="A5" s="182" t="s">
        <v>66</v>
      </c>
      <c r="B5" s="177" t="s">
        <v>195</v>
      </c>
      <c r="C5" s="178">
        <v>11</v>
      </c>
      <c r="D5" s="170" t="s">
        <v>105</v>
      </c>
      <c r="E5" s="170">
        <v>4</v>
      </c>
      <c r="F5" s="170">
        <f t="shared" ref="F5" si="2">E5+C5</f>
        <v>15</v>
      </c>
      <c r="G5" s="171" t="s">
        <v>109</v>
      </c>
      <c r="H5" s="172" t="str">
        <f t="shared" ref="H5" si="3">IF(F5&lt;=$K$1,"þ","q")</f>
        <v>q</v>
      </c>
    </row>
    <row r="6" spans="1:11" ht="16.8" x14ac:dyDescent="0.3">
      <c r="A6" s="215" t="s">
        <v>117</v>
      </c>
      <c r="B6" s="177" t="s">
        <v>119</v>
      </c>
      <c r="C6" s="178">
        <v>1</v>
      </c>
      <c r="D6" s="170">
        <v>6</v>
      </c>
      <c r="E6" s="170">
        <f t="shared" ref="E6:E7" si="4">D6*10</f>
        <v>60</v>
      </c>
      <c r="F6" s="170">
        <f t="shared" ref="F6:F7" si="5">E6+C6</f>
        <v>61</v>
      </c>
      <c r="G6" s="171" t="s">
        <v>109</v>
      </c>
      <c r="H6" s="172" t="str">
        <f t="shared" ref="H6:H7" si="6">IF(F6&lt;=$K$1,"þ","q")</f>
        <v>q</v>
      </c>
    </row>
    <row r="7" spans="1:11" ht="16.8" x14ac:dyDescent="0.3">
      <c r="A7" s="215" t="s">
        <v>117</v>
      </c>
      <c r="B7" s="177" t="s">
        <v>101</v>
      </c>
      <c r="C7" s="178">
        <v>2</v>
      </c>
      <c r="D7" s="170">
        <v>6</v>
      </c>
      <c r="E7" s="170">
        <f t="shared" si="4"/>
        <v>60</v>
      </c>
      <c r="F7" s="170">
        <f t="shared" si="5"/>
        <v>62</v>
      </c>
      <c r="G7" s="171" t="s">
        <v>109</v>
      </c>
      <c r="H7" s="172" t="str">
        <f t="shared" si="6"/>
        <v>q</v>
      </c>
    </row>
    <row r="8" spans="1:11" ht="16.8" x14ac:dyDescent="0.3">
      <c r="A8" s="215" t="s">
        <v>117</v>
      </c>
      <c r="B8" s="177" t="s">
        <v>183</v>
      </c>
      <c r="C8" s="178">
        <v>3</v>
      </c>
      <c r="D8" s="170">
        <v>8</v>
      </c>
      <c r="E8" s="170">
        <f t="shared" ref="E8" si="7">D8*10</f>
        <v>80</v>
      </c>
      <c r="F8" s="170">
        <f t="shared" ref="F8" si="8">E8+C8</f>
        <v>83</v>
      </c>
      <c r="G8" s="171" t="s">
        <v>109</v>
      </c>
      <c r="H8" s="172" t="str">
        <f t="shared" ref="H8" si="9">IF(F8&lt;=$K$1,"þ","q")</f>
        <v>q</v>
      </c>
    </row>
    <row r="9" spans="1:11" ht="16.8" x14ac:dyDescent="0.3">
      <c r="A9" s="183" t="s">
        <v>90</v>
      </c>
      <c r="B9" s="177" t="s">
        <v>103</v>
      </c>
      <c r="C9" s="178">
        <v>9</v>
      </c>
      <c r="D9" s="170">
        <v>14</v>
      </c>
      <c r="E9" s="170">
        <f>D9</f>
        <v>14</v>
      </c>
      <c r="F9" s="170">
        <f t="shared" si="0"/>
        <v>23</v>
      </c>
      <c r="G9" s="171" t="s">
        <v>109</v>
      </c>
      <c r="H9" s="172" t="str">
        <f t="shared" si="1"/>
        <v>q</v>
      </c>
    </row>
    <row r="10" spans="1:11" ht="16.8" x14ac:dyDescent="0.3">
      <c r="A10" s="183" t="s">
        <v>90</v>
      </c>
      <c r="B10" s="177" t="s">
        <v>102</v>
      </c>
      <c r="C10" s="178">
        <v>1</v>
      </c>
      <c r="D10" s="170">
        <v>14</v>
      </c>
      <c r="E10" s="170">
        <f>D10*600</f>
        <v>8400</v>
      </c>
      <c r="F10" s="170">
        <f t="shared" ref="F10" si="10">E10+C10</f>
        <v>8401</v>
      </c>
      <c r="G10" s="171" t="s">
        <v>109</v>
      </c>
      <c r="H10" s="172" t="str">
        <f t="shared" ref="H10" si="11">IF(F10&lt;=$K$1,"þ","q")</f>
        <v>q</v>
      </c>
    </row>
    <row r="11" spans="1:11" ht="16.8" x14ac:dyDescent="0.3">
      <c r="A11" s="184" t="s">
        <v>65</v>
      </c>
      <c r="B11" s="177" t="s">
        <v>99</v>
      </c>
      <c r="C11" s="178">
        <v>1</v>
      </c>
      <c r="D11" s="170">
        <v>12</v>
      </c>
      <c r="E11" s="170">
        <f>D11*100</f>
        <v>1200</v>
      </c>
      <c r="F11" s="170">
        <f t="shared" ref="F11" si="12">E11+C11</f>
        <v>1201</v>
      </c>
      <c r="G11" s="171" t="s">
        <v>109</v>
      </c>
      <c r="H11" s="172" t="str">
        <f t="shared" ref="H11" si="13">IF(F11&lt;=$K$1,"þ","q")</f>
        <v>q</v>
      </c>
    </row>
    <row r="12" spans="1:11" ht="16.8" x14ac:dyDescent="0.3">
      <c r="A12" s="184" t="s">
        <v>65</v>
      </c>
      <c r="B12" s="177" t="s">
        <v>119</v>
      </c>
      <c r="C12" s="178">
        <v>2</v>
      </c>
      <c r="D12" s="170">
        <v>12</v>
      </c>
      <c r="E12" s="170">
        <f>D12*100</f>
        <v>1200</v>
      </c>
      <c r="F12" s="170">
        <f t="shared" ref="F12" si="14">E12+C12</f>
        <v>1202</v>
      </c>
      <c r="G12" s="171" t="s">
        <v>109</v>
      </c>
      <c r="H12" s="172" t="str">
        <f t="shared" ref="H12" si="15">IF(F12&lt;=$K$1,"þ","q")</f>
        <v>q</v>
      </c>
    </row>
    <row r="13" spans="1:11" ht="16.8" x14ac:dyDescent="0.3">
      <c r="A13" s="184" t="s">
        <v>65</v>
      </c>
      <c r="B13" s="177" t="s">
        <v>154</v>
      </c>
      <c r="C13" s="178">
        <v>7</v>
      </c>
      <c r="D13" s="170">
        <v>12</v>
      </c>
      <c r="E13" s="170">
        <f>D13</f>
        <v>12</v>
      </c>
      <c r="F13" s="170">
        <f t="shared" ref="F13" si="16">E13+C13</f>
        <v>19</v>
      </c>
      <c r="G13" s="171" t="s">
        <v>109</v>
      </c>
      <c r="H13" s="172" t="str">
        <f t="shared" ref="H13" si="17">IF(F13&lt;=$K$1,"þ","q")</f>
        <v>q</v>
      </c>
    </row>
    <row r="14" spans="1:11" ht="16.8" x14ac:dyDescent="0.3">
      <c r="A14" s="191" t="s">
        <v>77</v>
      </c>
      <c r="B14" s="177" t="s">
        <v>100</v>
      </c>
      <c r="C14" s="178">
        <v>1</v>
      </c>
      <c r="D14" s="170">
        <v>6</v>
      </c>
      <c r="E14" s="170">
        <f>D14*10</f>
        <v>60</v>
      </c>
      <c r="F14" s="170">
        <f t="shared" si="0"/>
        <v>61</v>
      </c>
      <c r="G14" s="171" t="s">
        <v>109</v>
      </c>
      <c r="H14" s="172" t="str">
        <f t="shared" si="1"/>
        <v>q</v>
      </c>
    </row>
    <row r="15" spans="1:11" ht="16.8" x14ac:dyDescent="0.3">
      <c r="A15" s="212" t="s">
        <v>91</v>
      </c>
      <c r="B15" s="177"/>
      <c r="C15" s="178"/>
      <c r="D15" s="170"/>
      <c r="E15" s="170">
        <f>D15</f>
        <v>0</v>
      </c>
      <c r="F15" s="170">
        <f t="shared" ref="F15:F17" si="18">E15+C15</f>
        <v>0</v>
      </c>
      <c r="G15" s="171" t="s">
        <v>88</v>
      </c>
      <c r="H15" s="172" t="str">
        <f t="shared" ref="H15:H16" si="19">IF(F15&lt;=$K$1,"þ","q")</f>
        <v>þ</v>
      </c>
    </row>
    <row r="16" spans="1:11" ht="16.8" x14ac:dyDescent="0.3">
      <c r="A16" s="201" t="s">
        <v>93</v>
      </c>
      <c r="B16" s="177" t="s">
        <v>108</v>
      </c>
      <c r="C16" s="178">
        <v>2</v>
      </c>
      <c r="D16" s="170">
        <v>13</v>
      </c>
      <c r="E16" s="170">
        <f>D16*10</f>
        <v>130</v>
      </c>
      <c r="F16" s="170">
        <f t="shared" si="18"/>
        <v>132</v>
      </c>
      <c r="G16" s="171" t="s">
        <v>88</v>
      </c>
      <c r="H16" s="172" t="str">
        <f t="shared" si="19"/>
        <v>q</v>
      </c>
    </row>
    <row r="17" spans="1:8" ht="16.8" x14ac:dyDescent="0.3">
      <c r="A17" s="201" t="s">
        <v>93</v>
      </c>
      <c r="B17" s="177" t="s">
        <v>100</v>
      </c>
      <c r="C17" s="178">
        <v>1</v>
      </c>
      <c r="D17" s="170">
        <v>5</v>
      </c>
      <c r="E17" s="170">
        <f>D17*10</f>
        <v>50</v>
      </c>
      <c r="F17" s="170">
        <f t="shared" si="18"/>
        <v>51</v>
      </c>
      <c r="G17" s="171" t="s">
        <v>109</v>
      </c>
      <c r="H17" s="172" t="str">
        <f t="shared" ref="H17" si="20">IF(F17&lt;=$K$1,"þ","q")</f>
        <v>q</v>
      </c>
    </row>
  </sheetData>
  <sortState ref="A20:H39">
    <sortCondition ref="A20:A39"/>
    <sortCondition ref="C20:C39"/>
  </sortState>
  <conditionalFormatting sqref="G9:H11 G14:H14 G2:H4">
    <cfRule type="cellIs" dxfId="74" priority="474" stopIfTrue="1" operator="equal">
      <formula>"þ"</formula>
    </cfRule>
  </conditionalFormatting>
  <conditionalFormatting sqref="F9:F11 F14 F2:F4">
    <cfRule type="cellIs" dxfId="73" priority="472" operator="lessThan">
      <formula>$K$1</formula>
    </cfRule>
  </conditionalFormatting>
  <conditionalFormatting sqref="G18:H18">
    <cfRule type="cellIs" dxfId="72" priority="412" stopIfTrue="1" operator="equal">
      <formula>"þ"</formula>
    </cfRule>
  </conditionalFormatting>
  <conditionalFormatting sqref="F14">
    <cfRule type="cellIs" dxfId="71" priority="335" operator="lessThan">
      <formula>$K$1</formula>
    </cfRule>
  </conditionalFormatting>
  <conditionalFormatting sqref="H14">
    <cfRule type="cellIs" dxfId="70" priority="334" stopIfTrue="1" operator="equal">
      <formula>"þ"</formula>
    </cfRule>
  </conditionalFormatting>
  <conditionalFormatting sqref="H14">
    <cfRule type="cellIs" dxfId="69" priority="333" stopIfTrue="1" operator="equal">
      <formula>"þ"</formula>
    </cfRule>
  </conditionalFormatting>
  <conditionalFormatting sqref="F14">
    <cfRule type="cellIs" dxfId="68" priority="332" operator="lessThan">
      <formula>$K$1</formula>
    </cfRule>
  </conditionalFormatting>
  <conditionalFormatting sqref="H14">
    <cfRule type="cellIs" dxfId="67" priority="331" stopIfTrue="1" operator="equal">
      <formula>"þ"</formula>
    </cfRule>
  </conditionalFormatting>
  <conditionalFormatting sqref="H14">
    <cfRule type="cellIs" dxfId="66" priority="330" stopIfTrue="1" operator="equal">
      <formula>"þ"</formula>
    </cfRule>
  </conditionalFormatting>
  <conditionalFormatting sqref="F14">
    <cfRule type="cellIs" dxfId="65" priority="329" operator="lessThan">
      <formula>$K$1</formula>
    </cfRule>
  </conditionalFormatting>
  <conditionalFormatting sqref="H14">
    <cfRule type="cellIs" dxfId="64" priority="328" stopIfTrue="1" operator="equal">
      <formula>"þ"</formula>
    </cfRule>
  </conditionalFormatting>
  <conditionalFormatting sqref="H14">
    <cfRule type="cellIs" dxfId="63" priority="327" stopIfTrue="1" operator="equal">
      <formula>"þ"</formula>
    </cfRule>
  </conditionalFormatting>
  <conditionalFormatting sqref="F14">
    <cfRule type="cellIs" dxfId="62" priority="326" operator="lessThan">
      <formula>$K$1</formula>
    </cfRule>
  </conditionalFormatting>
  <conditionalFormatting sqref="G14">
    <cfRule type="cellIs" dxfId="61" priority="325" stopIfTrue="1" operator="equal">
      <formula>"þ"</formula>
    </cfRule>
  </conditionalFormatting>
  <conditionalFormatting sqref="G15">
    <cfRule type="cellIs" dxfId="60" priority="303" stopIfTrue="1" operator="equal">
      <formula>"þ"</formula>
    </cfRule>
  </conditionalFormatting>
  <conditionalFormatting sqref="F15">
    <cfRule type="cellIs" dxfId="59" priority="313" operator="lessThan">
      <formula>$K$1</formula>
    </cfRule>
  </conditionalFormatting>
  <conditionalFormatting sqref="H15">
    <cfRule type="cellIs" dxfId="58" priority="312" stopIfTrue="1" operator="equal">
      <formula>"þ"</formula>
    </cfRule>
  </conditionalFormatting>
  <conditionalFormatting sqref="H15">
    <cfRule type="cellIs" dxfId="57" priority="311" stopIfTrue="1" operator="equal">
      <formula>"þ"</formula>
    </cfRule>
  </conditionalFormatting>
  <conditionalFormatting sqref="F15">
    <cfRule type="cellIs" dxfId="56" priority="310" operator="lessThan">
      <formula>$K$1</formula>
    </cfRule>
  </conditionalFormatting>
  <conditionalFormatting sqref="H15">
    <cfRule type="cellIs" dxfId="55" priority="309" stopIfTrue="1" operator="equal">
      <formula>"þ"</formula>
    </cfRule>
  </conditionalFormatting>
  <conditionalFormatting sqref="H15">
    <cfRule type="cellIs" dxfId="54" priority="308" stopIfTrue="1" operator="equal">
      <formula>"þ"</formula>
    </cfRule>
  </conditionalFormatting>
  <conditionalFormatting sqref="F15">
    <cfRule type="cellIs" dxfId="53" priority="307" operator="lessThan">
      <formula>$K$1</formula>
    </cfRule>
  </conditionalFormatting>
  <conditionalFormatting sqref="H15">
    <cfRule type="cellIs" dxfId="52" priority="306" stopIfTrue="1" operator="equal">
      <formula>"þ"</formula>
    </cfRule>
  </conditionalFormatting>
  <conditionalFormatting sqref="H15">
    <cfRule type="cellIs" dxfId="51" priority="305" stopIfTrue="1" operator="equal">
      <formula>"þ"</formula>
    </cfRule>
  </conditionalFormatting>
  <conditionalFormatting sqref="F15">
    <cfRule type="cellIs" dxfId="50" priority="304" operator="lessThan">
      <formula>$K$1</formula>
    </cfRule>
  </conditionalFormatting>
  <conditionalFormatting sqref="G16:H16">
    <cfRule type="cellIs" dxfId="49" priority="54" stopIfTrue="1" operator="equal">
      <formula>"þ"</formula>
    </cfRule>
  </conditionalFormatting>
  <conditionalFormatting sqref="G16:H16">
    <cfRule type="cellIs" dxfId="48" priority="53" stopIfTrue="1" operator="equal">
      <formula>"þ"</formula>
    </cfRule>
  </conditionalFormatting>
  <conditionalFormatting sqref="F16">
    <cfRule type="cellIs" dxfId="47" priority="52" operator="lessThan">
      <formula>$K$1</formula>
    </cfRule>
  </conditionalFormatting>
  <conditionalFormatting sqref="K1">
    <cfRule type="cellIs" dxfId="46" priority="23" operator="equal">
      <formula>0</formula>
    </cfRule>
  </conditionalFormatting>
  <conditionalFormatting sqref="G17:H17">
    <cfRule type="cellIs" dxfId="45" priority="22" stopIfTrue="1" operator="equal">
      <formula>"þ"</formula>
    </cfRule>
  </conditionalFormatting>
  <conditionalFormatting sqref="G17:H17">
    <cfRule type="cellIs" dxfId="44" priority="21" stopIfTrue="1" operator="equal">
      <formula>"þ"</formula>
    </cfRule>
  </conditionalFormatting>
  <conditionalFormatting sqref="F17">
    <cfRule type="cellIs" dxfId="43" priority="15" operator="lessThan">
      <formula>$K$1</formula>
    </cfRule>
  </conditionalFormatting>
  <conditionalFormatting sqref="F17">
    <cfRule type="cellIs" dxfId="42" priority="19" operator="lessThan">
      <formula>$K$1</formula>
    </cfRule>
  </conditionalFormatting>
  <conditionalFormatting sqref="F17">
    <cfRule type="cellIs" dxfId="41" priority="18" operator="lessThan">
      <formula>$K$1</formula>
    </cfRule>
  </conditionalFormatting>
  <conditionalFormatting sqref="F17">
    <cfRule type="cellIs" dxfId="40" priority="17" operator="lessThan">
      <formula>$K$1</formula>
    </cfRule>
  </conditionalFormatting>
  <conditionalFormatting sqref="F17">
    <cfRule type="cellIs" dxfId="39" priority="16" operator="lessThan">
      <formula>$K$1</formula>
    </cfRule>
  </conditionalFormatting>
  <conditionalFormatting sqref="H6:H7">
    <cfRule type="cellIs" dxfId="38" priority="12" stopIfTrue="1" operator="equal">
      <formula>"þ"</formula>
    </cfRule>
  </conditionalFormatting>
  <conditionalFormatting sqref="F6:F7">
    <cfRule type="cellIs" dxfId="37" priority="11" operator="lessThan">
      <formula>$K$1</formula>
    </cfRule>
  </conditionalFormatting>
  <conditionalFormatting sqref="G6:G7">
    <cfRule type="cellIs" dxfId="36" priority="10" stopIfTrue="1" operator="equal">
      <formula>"þ"</formula>
    </cfRule>
  </conditionalFormatting>
  <conditionalFormatting sqref="G12:H12">
    <cfRule type="cellIs" dxfId="35" priority="9" stopIfTrue="1" operator="equal">
      <formula>"þ"</formula>
    </cfRule>
  </conditionalFormatting>
  <conditionalFormatting sqref="F12">
    <cfRule type="cellIs" dxfId="34" priority="8" operator="lessThan">
      <formula>$K$1</formula>
    </cfRule>
  </conditionalFormatting>
  <conditionalFormatting sqref="G13:H13">
    <cfRule type="cellIs" dxfId="33" priority="7" stopIfTrue="1" operator="equal">
      <formula>"þ"</formula>
    </cfRule>
  </conditionalFormatting>
  <conditionalFormatting sqref="F13">
    <cfRule type="cellIs" dxfId="32" priority="6" operator="lessThan">
      <formula>$K$1</formula>
    </cfRule>
  </conditionalFormatting>
  <conditionalFormatting sqref="H8">
    <cfRule type="cellIs" dxfId="31" priority="5" stopIfTrue="1" operator="equal">
      <formula>"þ"</formula>
    </cfRule>
  </conditionalFormatting>
  <conditionalFormatting sqref="F8">
    <cfRule type="cellIs" dxfId="30" priority="4" operator="lessThan">
      <formula>$K$1</formula>
    </cfRule>
  </conditionalFormatting>
  <conditionalFormatting sqref="G8">
    <cfRule type="cellIs" dxfId="29" priority="3" stopIfTrue="1" operator="equal">
      <formula>"þ"</formula>
    </cfRule>
  </conditionalFormatting>
  <conditionalFormatting sqref="G5:H5">
    <cfRule type="cellIs" dxfId="28" priority="2" stopIfTrue="1" operator="equal">
      <formula>"þ"</formula>
    </cfRule>
  </conditionalFormatting>
  <conditionalFormatting sqref="F5">
    <cfRule type="cellIs" dxfId="27" priority="1" operator="lessThan">
      <formula>$K$1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139" bestFit="1" customWidth="1"/>
    <col min="2" max="2" width="17.5" style="139" bestFit="1" customWidth="1"/>
    <col min="3" max="3" width="9.09765625" style="139" bestFit="1" customWidth="1"/>
    <col min="4" max="4" width="4.296875" style="139" bestFit="1" customWidth="1"/>
    <col min="5" max="5" width="4.8984375" style="139" bestFit="1" customWidth="1"/>
    <col min="6" max="6" width="5.796875" style="139" bestFit="1" customWidth="1"/>
    <col min="7" max="7" width="3.8984375" style="139" bestFit="1" customWidth="1"/>
    <col min="8" max="8" width="7.09765625" style="139" bestFit="1" customWidth="1"/>
    <col min="9" max="9" width="4.296875" style="139" bestFit="1" customWidth="1"/>
    <col min="10" max="10" width="5.3984375" style="139" bestFit="1" customWidth="1"/>
    <col min="11" max="11" width="6.69921875" style="139" bestFit="1" customWidth="1"/>
    <col min="12" max="12" width="20.296875" style="132" bestFit="1" customWidth="1"/>
    <col min="13" max="14" width="2.8984375" style="132" bestFit="1" customWidth="1"/>
    <col min="15" max="16384" width="8.796875" style="132"/>
  </cols>
  <sheetData>
    <row r="1" spans="1:15" ht="16.2" thickBot="1" x14ac:dyDescent="0.35">
      <c r="A1" s="128" t="s">
        <v>0</v>
      </c>
      <c r="B1" s="129" t="s">
        <v>28</v>
      </c>
      <c r="C1" s="129" t="s">
        <v>29</v>
      </c>
      <c r="D1" s="194" t="s">
        <v>107</v>
      </c>
      <c r="E1" s="166" t="s">
        <v>30</v>
      </c>
      <c r="F1" s="129" t="s">
        <v>31</v>
      </c>
      <c r="G1" s="129" t="s">
        <v>32</v>
      </c>
      <c r="H1" s="129" t="s">
        <v>33</v>
      </c>
      <c r="I1" s="130" t="s">
        <v>3</v>
      </c>
      <c r="J1" s="131" t="s">
        <v>19</v>
      </c>
      <c r="K1" s="131" t="s">
        <v>106</v>
      </c>
      <c r="L1" s="131" t="s">
        <v>158</v>
      </c>
    </row>
    <row r="2" spans="1:15" x14ac:dyDescent="0.3">
      <c r="A2" s="133" t="s">
        <v>174</v>
      </c>
      <c r="B2" s="208" t="s">
        <v>131</v>
      </c>
      <c r="C2" s="134" t="s">
        <v>137</v>
      </c>
      <c r="D2" s="195">
        <v>20</v>
      </c>
      <c r="E2" s="202">
        <v>5</v>
      </c>
      <c r="F2" s="204">
        <v>6</v>
      </c>
      <c r="G2" s="204">
        <v>1</v>
      </c>
      <c r="H2" s="204">
        <v>0</v>
      </c>
      <c r="I2" s="135">
        <f t="shared" ref="I2:I20" ca="1" si="0">RANDBETWEEN(1,20)</f>
        <v>5</v>
      </c>
      <c r="J2" s="134">
        <f t="shared" ref="J2:J20" ca="1" si="1">SUM(E2:I2)</f>
        <v>17</v>
      </c>
      <c r="K2" s="198" t="str">
        <f t="shared" ref="K2:K20" ca="1" si="2">IF(I2&gt;(D2-1),"þ","ý")</f>
        <v>ý</v>
      </c>
      <c r="L2" s="189"/>
      <c r="N2" s="132">
        <v>1</v>
      </c>
      <c r="O2" s="132" t="s">
        <v>174</v>
      </c>
    </row>
    <row r="3" spans="1:15" x14ac:dyDescent="0.3">
      <c r="A3" s="133" t="s">
        <v>174</v>
      </c>
      <c r="B3" s="134" t="s">
        <v>129</v>
      </c>
      <c r="C3" s="134" t="s">
        <v>132</v>
      </c>
      <c r="D3" s="195">
        <v>20</v>
      </c>
      <c r="E3" s="202">
        <v>5</v>
      </c>
      <c r="F3" s="204">
        <v>6</v>
      </c>
      <c r="G3" s="204">
        <v>0</v>
      </c>
      <c r="H3" s="204">
        <v>0</v>
      </c>
      <c r="I3" s="135">
        <f t="shared" ca="1" si="0"/>
        <v>5</v>
      </c>
      <c r="J3" s="134">
        <f t="shared" ref="J3" ca="1" si="3">SUM(E3:I3)</f>
        <v>16</v>
      </c>
      <c r="K3" s="198" t="str">
        <f t="shared" ca="1" si="2"/>
        <v>ý</v>
      </c>
      <c r="L3" s="189"/>
      <c r="N3" s="132">
        <v>2</v>
      </c>
      <c r="O3" s="132" t="s">
        <v>166</v>
      </c>
    </row>
    <row r="4" spans="1:15" x14ac:dyDescent="0.3">
      <c r="A4" s="133" t="s">
        <v>174</v>
      </c>
      <c r="B4" s="134" t="s">
        <v>129</v>
      </c>
      <c r="C4" s="134" t="s">
        <v>132</v>
      </c>
      <c r="D4" s="195">
        <v>20</v>
      </c>
      <c r="E4" s="202">
        <v>5</v>
      </c>
      <c r="F4" s="204">
        <v>6</v>
      </c>
      <c r="G4" s="204">
        <v>0</v>
      </c>
      <c r="H4" s="204">
        <v>0</v>
      </c>
      <c r="I4" s="135">
        <f t="shared" ca="1" si="0"/>
        <v>10</v>
      </c>
      <c r="J4" s="134">
        <f t="shared" ref="J4:J6" ca="1" si="4">SUM(E4:I4)</f>
        <v>21</v>
      </c>
      <c r="K4" s="198" t="str">
        <f t="shared" ref="K4:K6" ca="1" si="5">IF(I4&gt;(D4-1),"þ","ý")</f>
        <v>ý</v>
      </c>
      <c r="L4" s="189"/>
      <c r="N4" s="132">
        <v>3</v>
      </c>
      <c r="O4" s="132" t="s">
        <v>160</v>
      </c>
    </row>
    <row r="5" spans="1:15" x14ac:dyDescent="0.3">
      <c r="A5" s="133" t="s">
        <v>174</v>
      </c>
      <c r="B5" s="134" t="s">
        <v>123</v>
      </c>
      <c r="C5" s="134" t="s">
        <v>133</v>
      </c>
      <c r="D5" s="195">
        <v>20</v>
      </c>
      <c r="E5" s="202">
        <v>5</v>
      </c>
      <c r="F5" s="204">
        <v>6</v>
      </c>
      <c r="G5" s="204">
        <v>0</v>
      </c>
      <c r="H5" s="204">
        <v>0</v>
      </c>
      <c r="I5" s="135">
        <f t="shared" ca="1" si="0"/>
        <v>8</v>
      </c>
      <c r="J5" s="134">
        <f t="shared" ca="1" si="4"/>
        <v>19</v>
      </c>
      <c r="K5" s="198" t="str">
        <f t="shared" ca="1" si="5"/>
        <v>ý</v>
      </c>
      <c r="L5" s="189"/>
      <c r="N5" s="132">
        <v>4</v>
      </c>
      <c r="O5" s="132" t="s">
        <v>162</v>
      </c>
    </row>
    <row r="6" spans="1:15" x14ac:dyDescent="0.3">
      <c r="A6" s="133" t="s">
        <v>174</v>
      </c>
      <c r="B6" s="134" t="s">
        <v>134</v>
      </c>
      <c r="C6" s="134" t="s">
        <v>135</v>
      </c>
      <c r="D6" s="195">
        <v>20</v>
      </c>
      <c r="E6" s="202">
        <v>5</v>
      </c>
      <c r="F6" s="204">
        <v>2</v>
      </c>
      <c r="G6" s="204">
        <v>0</v>
      </c>
      <c r="H6" s="204">
        <v>0</v>
      </c>
      <c r="I6" s="135">
        <f t="shared" ca="1" si="0"/>
        <v>9</v>
      </c>
      <c r="J6" s="134">
        <f t="shared" ca="1" si="4"/>
        <v>16</v>
      </c>
      <c r="K6" s="198" t="str">
        <f t="shared" ca="1" si="5"/>
        <v>ý</v>
      </c>
      <c r="L6" s="189"/>
      <c r="N6" s="132">
        <v>5</v>
      </c>
      <c r="O6" s="132" t="s">
        <v>165</v>
      </c>
    </row>
    <row r="7" spans="1:15" x14ac:dyDescent="0.3">
      <c r="A7" s="136" t="s">
        <v>174</v>
      </c>
      <c r="B7" s="137" t="s">
        <v>121</v>
      </c>
      <c r="C7" s="137" t="s">
        <v>121</v>
      </c>
      <c r="D7" s="196">
        <v>20</v>
      </c>
      <c r="E7" s="203">
        <v>5</v>
      </c>
      <c r="F7" s="205">
        <v>11</v>
      </c>
      <c r="G7" s="205">
        <v>0</v>
      </c>
      <c r="H7" s="205">
        <v>0</v>
      </c>
      <c r="I7" s="138">
        <f t="shared" ca="1" si="0"/>
        <v>5</v>
      </c>
      <c r="J7" s="137">
        <f t="shared" ref="J7:J8" ca="1" si="6">SUM(E7:I7)</f>
        <v>21</v>
      </c>
      <c r="K7" s="197" t="str">
        <f t="shared" ca="1" si="2"/>
        <v>ý</v>
      </c>
      <c r="L7" s="190"/>
      <c r="N7" s="132">
        <v>6</v>
      </c>
      <c r="O7" s="132" t="s">
        <v>161</v>
      </c>
    </row>
    <row r="8" spans="1:15" x14ac:dyDescent="0.3">
      <c r="A8" s="133" t="s">
        <v>112</v>
      </c>
      <c r="B8" s="134" t="s">
        <v>136</v>
      </c>
      <c r="C8" s="134" t="s">
        <v>130</v>
      </c>
      <c r="D8" s="195">
        <v>20</v>
      </c>
      <c r="E8" s="202">
        <v>3</v>
      </c>
      <c r="F8" s="204">
        <v>5</v>
      </c>
      <c r="G8" s="204">
        <v>1</v>
      </c>
      <c r="H8" s="204">
        <v>0</v>
      </c>
      <c r="I8" s="135">
        <f t="shared" ca="1" si="0"/>
        <v>12</v>
      </c>
      <c r="J8" s="134">
        <f t="shared" ca="1" si="6"/>
        <v>21</v>
      </c>
      <c r="K8" s="198" t="str">
        <f t="shared" ca="1" si="2"/>
        <v>ý</v>
      </c>
      <c r="L8" s="189"/>
      <c r="N8" s="132">
        <v>7</v>
      </c>
      <c r="O8" s="132" t="s">
        <v>164</v>
      </c>
    </row>
    <row r="9" spans="1:15" x14ac:dyDescent="0.3">
      <c r="A9" s="133" t="s">
        <v>112</v>
      </c>
      <c r="B9" s="134" t="s">
        <v>129</v>
      </c>
      <c r="C9" s="134" t="s">
        <v>132</v>
      </c>
      <c r="D9" s="195">
        <v>20</v>
      </c>
      <c r="E9" s="202">
        <v>3</v>
      </c>
      <c r="F9" s="204">
        <v>5</v>
      </c>
      <c r="G9" s="204">
        <v>0</v>
      </c>
      <c r="H9" s="204">
        <v>0</v>
      </c>
      <c r="I9" s="135">
        <f t="shared" ca="1" si="0"/>
        <v>7</v>
      </c>
      <c r="J9" s="134">
        <f t="shared" ref="J9:J10" ca="1" si="7">SUM(E9:I9)</f>
        <v>15</v>
      </c>
      <c r="K9" s="198" t="str">
        <f t="shared" ref="K9:K10" ca="1" si="8">IF(I9&gt;(D9-1),"þ","ý")</f>
        <v>ý</v>
      </c>
      <c r="L9" s="189"/>
      <c r="N9" s="132">
        <v>8</v>
      </c>
      <c r="O9" s="132" t="s">
        <v>184</v>
      </c>
    </row>
    <row r="10" spans="1:15" x14ac:dyDescent="0.3">
      <c r="A10" s="133" t="s">
        <v>112</v>
      </c>
      <c r="B10" s="134" t="s">
        <v>129</v>
      </c>
      <c r="C10" s="134" t="s">
        <v>132</v>
      </c>
      <c r="D10" s="195">
        <v>20</v>
      </c>
      <c r="E10" s="202">
        <v>3</v>
      </c>
      <c r="F10" s="204">
        <v>5</v>
      </c>
      <c r="G10" s="204">
        <v>0</v>
      </c>
      <c r="H10" s="204">
        <v>0</v>
      </c>
      <c r="I10" s="135">
        <f t="shared" ca="1" si="0"/>
        <v>20</v>
      </c>
      <c r="J10" s="134">
        <f t="shared" ca="1" si="7"/>
        <v>28</v>
      </c>
      <c r="K10" s="198" t="str">
        <f t="shared" ca="1" si="8"/>
        <v>þ</v>
      </c>
      <c r="L10" s="189"/>
      <c r="N10" s="132">
        <v>9</v>
      </c>
      <c r="O10" s="132" t="s">
        <v>163</v>
      </c>
    </row>
    <row r="11" spans="1:15" x14ac:dyDescent="0.3">
      <c r="A11" s="133" t="s">
        <v>112</v>
      </c>
      <c r="B11" s="134" t="s">
        <v>123</v>
      </c>
      <c r="C11" s="134" t="s">
        <v>133</v>
      </c>
      <c r="D11" s="195">
        <v>20</v>
      </c>
      <c r="E11" s="202">
        <v>3</v>
      </c>
      <c r="F11" s="204">
        <v>5</v>
      </c>
      <c r="G11" s="204">
        <v>0</v>
      </c>
      <c r="H11" s="204">
        <v>0</v>
      </c>
      <c r="I11" s="135">
        <f t="shared" ca="1" si="0"/>
        <v>14</v>
      </c>
      <c r="J11" s="134">
        <f t="shared" ref="J11" ca="1" si="9">SUM(E11:I11)</f>
        <v>22</v>
      </c>
      <c r="K11" s="198" t="str">
        <f t="shared" ref="K11" ca="1" si="10">IF(I11&gt;(D11-1),"þ","ý")</f>
        <v>ý</v>
      </c>
      <c r="L11" s="189"/>
      <c r="N11" s="132">
        <v>10</v>
      </c>
      <c r="O11" s="132" t="s">
        <v>185</v>
      </c>
    </row>
    <row r="12" spans="1:15" x14ac:dyDescent="0.3">
      <c r="A12" s="133" t="s">
        <v>112</v>
      </c>
      <c r="B12" s="134" t="s">
        <v>134</v>
      </c>
      <c r="C12" s="134" t="s">
        <v>135</v>
      </c>
      <c r="D12" s="195">
        <v>20</v>
      </c>
      <c r="E12" s="202">
        <v>3</v>
      </c>
      <c r="F12" s="204">
        <v>1</v>
      </c>
      <c r="G12" s="204">
        <v>0</v>
      </c>
      <c r="H12" s="204">
        <v>0</v>
      </c>
      <c r="I12" s="135">
        <f t="shared" ca="1" si="0"/>
        <v>13</v>
      </c>
      <c r="J12" s="134">
        <f t="shared" ref="J12" ca="1" si="11">SUM(E12:I12)</f>
        <v>17</v>
      </c>
      <c r="K12" s="198" t="str">
        <f t="shared" ref="K12" ca="1" si="12">IF(I12&gt;(D12-1),"þ","ý")</f>
        <v>ý</v>
      </c>
      <c r="L12" s="189"/>
      <c r="N12" s="132">
        <v>11</v>
      </c>
      <c r="O12" s="132" t="s">
        <v>114</v>
      </c>
    </row>
    <row r="13" spans="1:15" x14ac:dyDescent="0.3">
      <c r="A13" s="136" t="s">
        <v>112</v>
      </c>
      <c r="B13" s="137" t="s">
        <v>121</v>
      </c>
      <c r="C13" s="137" t="s">
        <v>121</v>
      </c>
      <c r="D13" s="196">
        <v>20</v>
      </c>
      <c r="E13" s="203">
        <v>3</v>
      </c>
      <c r="F13" s="205">
        <v>10</v>
      </c>
      <c r="G13" s="205">
        <v>0</v>
      </c>
      <c r="H13" s="205">
        <v>0</v>
      </c>
      <c r="I13" s="138">
        <f t="shared" ca="1" si="0"/>
        <v>14</v>
      </c>
      <c r="J13" s="137">
        <f t="shared" ref="J13:J14" ca="1" si="13">SUM(E13:I13)</f>
        <v>27</v>
      </c>
      <c r="K13" s="197" t="str">
        <f t="shared" ref="K13:K14" ca="1" si="14">IF(I13&gt;(D13-1),"þ","ý")</f>
        <v>ý</v>
      </c>
      <c r="L13" s="190"/>
      <c r="N13" s="132">
        <v>12</v>
      </c>
      <c r="O13" s="132" t="s">
        <v>115</v>
      </c>
    </row>
    <row r="14" spans="1:15" x14ac:dyDescent="0.3">
      <c r="A14" s="133" t="s">
        <v>113</v>
      </c>
      <c r="B14" s="134" t="s">
        <v>122</v>
      </c>
      <c r="C14" s="216" t="s">
        <v>155</v>
      </c>
      <c r="D14" s="195">
        <v>20</v>
      </c>
      <c r="E14" s="202">
        <v>11</v>
      </c>
      <c r="F14" s="216">
        <f t="shared" ref="F14:F19" si="15">5+2</f>
        <v>7</v>
      </c>
      <c r="G14" s="204">
        <v>0</v>
      </c>
      <c r="H14" s="204">
        <v>0</v>
      </c>
      <c r="I14" s="135">
        <f t="shared" ca="1" si="0"/>
        <v>11</v>
      </c>
      <c r="J14" s="134">
        <f t="shared" ca="1" si="13"/>
        <v>29</v>
      </c>
      <c r="K14" s="198" t="str">
        <f t="shared" ca="1" si="14"/>
        <v>ý</v>
      </c>
      <c r="L14" s="189"/>
      <c r="N14" s="132">
        <v>13</v>
      </c>
      <c r="O14" s="132" t="s">
        <v>116</v>
      </c>
    </row>
    <row r="15" spans="1:15" x14ac:dyDescent="0.3">
      <c r="A15" s="133" t="s">
        <v>113</v>
      </c>
      <c r="B15" s="134" t="s">
        <v>122</v>
      </c>
      <c r="C15" s="216" t="s">
        <v>155</v>
      </c>
      <c r="D15" s="195">
        <v>20</v>
      </c>
      <c r="E15" s="202">
        <v>6</v>
      </c>
      <c r="F15" s="216">
        <f t="shared" si="15"/>
        <v>7</v>
      </c>
      <c r="G15" s="204">
        <v>0</v>
      </c>
      <c r="H15" s="204">
        <v>0</v>
      </c>
      <c r="I15" s="135">
        <f t="shared" ca="1" si="0"/>
        <v>16</v>
      </c>
      <c r="J15" s="134">
        <f t="shared" ref="J15:J16" ca="1" si="16">SUM(E15:I15)</f>
        <v>29</v>
      </c>
      <c r="K15" s="198" t="str">
        <f t="shared" ca="1" si="2"/>
        <v>ý</v>
      </c>
      <c r="L15" s="189"/>
    </row>
    <row r="16" spans="1:15" x14ac:dyDescent="0.3">
      <c r="A16" s="133" t="s">
        <v>113</v>
      </c>
      <c r="B16" s="134" t="s">
        <v>122</v>
      </c>
      <c r="C16" s="216" t="s">
        <v>155</v>
      </c>
      <c r="D16" s="195">
        <v>20</v>
      </c>
      <c r="E16" s="202">
        <v>1</v>
      </c>
      <c r="F16" s="216">
        <f t="shared" si="15"/>
        <v>7</v>
      </c>
      <c r="G16" s="204">
        <v>0</v>
      </c>
      <c r="H16" s="204">
        <v>0</v>
      </c>
      <c r="I16" s="135">
        <f t="shared" ca="1" si="0"/>
        <v>11</v>
      </c>
      <c r="J16" s="134">
        <f t="shared" ca="1" si="16"/>
        <v>19</v>
      </c>
      <c r="K16" s="198" t="str">
        <f t="shared" ca="1" si="2"/>
        <v>ý</v>
      </c>
      <c r="L16" s="189"/>
    </row>
    <row r="17" spans="1:13" x14ac:dyDescent="0.3">
      <c r="A17" s="133" t="s">
        <v>113</v>
      </c>
      <c r="B17" s="134" t="s">
        <v>123</v>
      </c>
      <c r="C17" s="204" t="s">
        <v>124</v>
      </c>
      <c r="D17" s="195">
        <v>20</v>
      </c>
      <c r="E17" s="202">
        <v>11</v>
      </c>
      <c r="F17" s="204">
        <v>0</v>
      </c>
      <c r="G17" s="204">
        <v>0</v>
      </c>
      <c r="H17" s="204">
        <v>0</v>
      </c>
      <c r="I17" s="135">
        <f t="shared" ca="1" si="0"/>
        <v>17</v>
      </c>
      <c r="J17" s="134">
        <f t="shared" ca="1" si="1"/>
        <v>28</v>
      </c>
      <c r="K17" s="198" t="str">
        <f t="shared" ca="1" si="2"/>
        <v>ý</v>
      </c>
      <c r="L17" s="189"/>
    </row>
    <row r="18" spans="1:13" x14ac:dyDescent="0.3">
      <c r="A18" s="133" t="s">
        <v>113</v>
      </c>
      <c r="B18" s="134" t="s">
        <v>125</v>
      </c>
      <c r="C18" s="216" t="s">
        <v>156</v>
      </c>
      <c r="D18" s="195">
        <v>20</v>
      </c>
      <c r="E18" s="202">
        <v>11</v>
      </c>
      <c r="F18" s="216">
        <f t="shared" si="15"/>
        <v>7</v>
      </c>
      <c r="G18" s="204">
        <v>0</v>
      </c>
      <c r="H18" s="204">
        <v>0</v>
      </c>
      <c r="I18" s="135">
        <f t="shared" ca="1" si="0"/>
        <v>5</v>
      </c>
      <c r="J18" s="134">
        <f t="shared" ref="J18:J19" ca="1" si="17">SUM(E18:I18)</f>
        <v>23</v>
      </c>
      <c r="K18" s="198" t="str">
        <f t="shared" ca="1" si="2"/>
        <v>ý</v>
      </c>
      <c r="L18" s="189"/>
    </row>
    <row r="19" spans="1:13" x14ac:dyDescent="0.3">
      <c r="A19" s="133" t="s">
        <v>113</v>
      </c>
      <c r="B19" s="134" t="s">
        <v>126</v>
      </c>
      <c r="C19" s="216" t="s">
        <v>156</v>
      </c>
      <c r="D19" s="195">
        <v>20</v>
      </c>
      <c r="E19" s="202">
        <v>11</v>
      </c>
      <c r="F19" s="216">
        <f t="shared" si="15"/>
        <v>7</v>
      </c>
      <c r="G19" s="204">
        <v>0</v>
      </c>
      <c r="H19" s="204">
        <v>0</v>
      </c>
      <c r="I19" s="135">
        <f t="shared" ca="1" si="0"/>
        <v>14</v>
      </c>
      <c r="J19" s="134">
        <f t="shared" ca="1" si="17"/>
        <v>32</v>
      </c>
      <c r="K19" s="198" t="str">
        <f t="shared" ca="1" si="2"/>
        <v>ý</v>
      </c>
      <c r="L19" s="189"/>
    </row>
    <row r="20" spans="1:13" x14ac:dyDescent="0.3">
      <c r="A20" s="136" t="s">
        <v>113</v>
      </c>
      <c r="B20" s="137" t="s">
        <v>121</v>
      </c>
      <c r="C20" s="137" t="s">
        <v>121</v>
      </c>
      <c r="D20" s="196">
        <v>20</v>
      </c>
      <c r="E20" s="203">
        <v>11</v>
      </c>
      <c r="F20" s="217">
        <f>20+2</f>
        <v>22</v>
      </c>
      <c r="G20" s="205">
        <v>0</v>
      </c>
      <c r="H20" s="205">
        <v>0</v>
      </c>
      <c r="I20" s="138">
        <f t="shared" ca="1" si="0"/>
        <v>8</v>
      </c>
      <c r="J20" s="137">
        <f t="shared" ca="1" si="1"/>
        <v>41</v>
      </c>
      <c r="K20" s="197" t="str">
        <f t="shared" ca="1" si="2"/>
        <v>ý</v>
      </c>
      <c r="L20" s="190"/>
    </row>
    <row r="21" spans="1:13" x14ac:dyDescent="0.3">
      <c r="A21" s="195" t="s">
        <v>150</v>
      </c>
      <c r="B21" s="134" t="s">
        <v>151</v>
      </c>
      <c r="C21" s="134" t="s">
        <v>171</v>
      </c>
      <c r="D21" s="195">
        <v>20</v>
      </c>
      <c r="E21" s="202">
        <v>5</v>
      </c>
      <c r="F21" s="134">
        <v>4</v>
      </c>
      <c r="G21" s="134">
        <v>0</v>
      </c>
      <c r="H21" s="134">
        <v>0</v>
      </c>
      <c r="I21" s="135">
        <f t="shared" ref="I21:I53" ca="1" si="18">RANDBETWEEN(1,20)</f>
        <v>8</v>
      </c>
      <c r="J21" s="134">
        <f t="shared" ref="J21:J53" ca="1" si="19">SUM(E21:I21)</f>
        <v>17</v>
      </c>
      <c r="K21" s="198" t="str">
        <f t="shared" ref="K21:K53" ca="1" si="20">IF(I21&gt;(D21-1),"þ","ý")</f>
        <v>ý</v>
      </c>
      <c r="L21" s="208" t="str">
        <f t="shared" ref="L21:L53" ca="1" si="21">VLOOKUP(M21,$N$2:$O$14,2,FALSE)</f>
        <v>Mountain Troll 2</v>
      </c>
      <c r="M21" s="139">
        <f t="shared" ref="M21:M53" ca="1" si="22">RANDBETWEEN(1,$N$14)</f>
        <v>12</v>
      </c>
    </row>
    <row r="22" spans="1:13" x14ac:dyDescent="0.3">
      <c r="A22" s="195" t="s">
        <v>150</v>
      </c>
      <c r="B22" s="134" t="s">
        <v>151</v>
      </c>
      <c r="C22" s="134" t="s">
        <v>171</v>
      </c>
      <c r="D22" s="195">
        <v>20</v>
      </c>
      <c r="E22" s="202">
        <v>4</v>
      </c>
      <c r="F22" s="134">
        <v>2</v>
      </c>
      <c r="G22" s="134">
        <v>0</v>
      </c>
      <c r="H22" s="134">
        <v>0</v>
      </c>
      <c r="I22" s="135">
        <f t="shared" ca="1" si="18"/>
        <v>4</v>
      </c>
      <c r="J22" s="134">
        <f t="shared" ca="1" si="19"/>
        <v>10</v>
      </c>
      <c r="K22" s="198" t="str">
        <f t="shared" ca="1" si="20"/>
        <v>ý</v>
      </c>
      <c r="L22" s="208" t="str">
        <f t="shared" ca="1" si="21"/>
        <v>Ice Troll 11</v>
      </c>
      <c r="M22" s="139">
        <f t="shared" ca="1" si="22"/>
        <v>9</v>
      </c>
    </row>
    <row r="23" spans="1:13" x14ac:dyDescent="0.3">
      <c r="A23" s="195" t="s">
        <v>150</v>
      </c>
      <c r="B23" s="134" t="s">
        <v>151</v>
      </c>
      <c r="C23" s="134" t="s">
        <v>171</v>
      </c>
      <c r="D23" s="195">
        <v>20</v>
      </c>
      <c r="E23" s="202">
        <v>4</v>
      </c>
      <c r="F23" s="134">
        <v>3</v>
      </c>
      <c r="G23" s="134">
        <v>0</v>
      </c>
      <c r="H23" s="134">
        <v>0</v>
      </c>
      <c r="I23" s="135">
        <f t="shared" ca="1" si="18"/>
        <v>19</v>
      </c>
      <c r="J23" s="134">
        <f t="shared" ca="1" si="19"/>
        <v>26</v>
      </c>
      <c r="K23" s="198" t="str">
        <f t="shared" ca="1" si="20"/>
        <v>ý</v>
      </c>
      <c r="L23" s="208" t="str">
        <f t="shared" ca="1" si="21"/>
        <v>Ice Troll 10</v>
      </c>
      <c r="M23" s="139">
        <f t="shared" ca="1" si="22"/>
        <v>8</v>
      </c>
    </row>
    <row r="24" spans="1:13" x14ac:dyDescent="0.3">
      <c r="A24" s="195" t="s">
        <v>159</v>
      </c>
      <c r="B24" s="134" t="s">
        <v>145</v>
      </c>
      <c r="C24" s="134" t="s">
        <v>167</v>
      </c>
      <c r="D24" s="195">
        <v>20</v>
      </c>
      <c r="E24" s="202">
        <v>5</v>
      </c>
      <c r="F24" s="134">
        <v>3</v>
      </c>
      <c r="G24" s="134">
        <v>0</v>
      </c>
      <c r="H24" s="134">
        <v>0</v>
      </c>
      <c r="I24" s="135">
        <f t="shared" ca="1" si="18"/>
        <v>13</v>
      </c>
      <c r="J24" s="134">
        <f t="shared" ca="1" si="19"/>
        <v>21</v>
      </c>
      <c r="K24" s="198" t="str">
        <f t="shared" ca="1" si="20"/>
        <v>ý</v>
      </c>
      <c r="L24" s="208" t="str">
        <f t="shared" ca="1" si="21"/>
        <v>Mountain Troll 3</v>
      </c>
      <c r="M24" s="139">
        <f t="shared" ca="1" si="22"/>
        <v>13</v>
      </c>
    </row>
    <row r="25" spans="1:13" x14ac:dyDescent="0.3">
      <c r="A25" s="195" t="s">
        <v>159</v>
      </c>
      <c r="B25" s="134" t="s">
        <v>145</v>
      </c>
      <c r="C25" s="134" t="s">
        <v>168</v>
      </c>
      <c r="D25" s="195">
        <v>20</v>
      </c>
      <c r="E25" s="202">
        <v>4</v>
      </c>
      <c r="F25" s="134">
        <v>2</v>
      </c>
      <c r="G25" s="134">
        <v>0</v>
      </c>
      <c r="H25" s="134">
        <v>0</v>
      </c>
      <c r="I25" s="135">
        <f t="shared" ca="1" si="18"/>
        <v>1</v>
      </c>
      <c r="J25" s="134">
        <f t="shared" ca="1" si="19"/>
        <v>7</v>
      </c>
      <c r="K25" s="198" t="str">
        <f t="shared" ca="1" si="20"/>
        <v>ý</v>
      </c>
      <c r="L25" s="208" t="str">
        <f t="shared" ca="1" si="21"/>
        <v>Ice Troll 10</v>
      </c>
      <c r="M25" s="139">
        <f t="shared" ca="1" si="22"/>
        <v>8</v>
      </c>
    </row>
    <row r="26" spans="1:13" x14ac:dyDescent="0.3">
      <c r="A26" s="195" t="s">
        <v>159</v>
      </c>
      <c r="B26" s="134" t="s">
        <v>145</v>
      </c>
      <c r="C26" s="134" t="s">
        <v>168</v>
      </c>
      <c r="D26" s="195">
        <v>20</v>
      </c>
      <c r="E26" s="202">
        <v>3</v>
      </c>
      <c r="F26" s="134">
        <v>2</v>
      </c>
      <c r="G26" s="134">
        <v>0</v>
      </c>
      <c r="H26" s="134">
        <v>0</v>
      </c>
      <c r="I26" s="135">
        <f t="shared" ca="1" si="18"/>
        <v>9</v>
      </c>
      <c r="J26" s="134">
        <f t="shared" ca="1" si="19"/>
        <v>14</v>
      </c>
      <c r="K26" s="198" t="str">
        <f t="shared" ca="1" si="20"/>
        <v>ý</v>
      </c>
      <c r="L26" s="208" t="str">
        <f t="shared" ca="1" si="21"/>
        <v>Flell Spillblood</v>
      </c>
      <c r="M26" s="139">
        <f t="shared" ca="1" si="22"/>
        <v>1</v>
      </c>
    </row>
    <row r="27" spans="1:13" x14ac:dyDescent="0.3">
      <c r="A27" s="195" t="s">
        <v>159</v>
      </c>
      <c r="B27" s="134" t="s">
        <v>145</v>
      </c>
      <c r="C27" s="134" t="s">
        <v>169</v>
      </c>
      <c r="D27" s="195">
        <v>20</v>
      </c>
      <c r="E27" s="202">
        <v>3</v>
      </c>
      <c r="F27" s="134">
        <v>1</v>
      </c>
      <c r="G27" s="134">
        <v>0</v>
      </c>
      <c r="H27" s="134">
        <v>0</v>
      </c>
      <c r="I27" s="135">
        <f t="shared" ca="1" si="18"/>
        <v>7</v>
      </c>
      <c r="J27" s="134">
        <f t="shared" ca="1" si="19"/>
        <v>11</v>
      </c>
      <c r="K27" s="198" t="str">
        <f t="shared" ca="1" si="20"/>
        <v>ý</v>
      </c>
      <c r="L27" s="208" t="str">
        <f t="shared" ca="1" si="21"/>
        <v>Flell Spillblood</v>
      </c>
      <c r="M27" s="139">
        <f t="shared" ca="1" si="22"/>
        <v>1</v>
      </c>
    </row>
    <row r="28" spans="1:13" x14ac:dyDescent="0.3">
      <c r="A28" s="195" t="s">
        <v>152</v>
      </c>
      <c r="B28" s="134" t="s">
        <v>148</v>
      </c>
      <c r="C28" s="134" t="s">
        <v>170</v>
      </c>
      <c r="D28" s="195">
        <v>20</v>
      </c>
      <c r="E28" s="202">
        <v>4</v>
      </c>
      <c r="F28" s="134">
        <v>2</v>
      </c>
      <c r="G28" s="134">
        <v>0</v>
      </c>
      <c r="H28" s="134">
        <v>-2</v>
      </c>
      <c r="I28" s="135">
        <f t="shared" ca="1" si="18"/>
        <v>5</v>
      </c>
      <c r="J28" s="134">
        <f t="shared" ca="1" si="19"/>
        <v>9</v>
      </c>
      <c r="K28" s="198" t="str">
        <f t="shared" ca="1" si="20"/>
        <v>ý</v>
      </c>
      <c r="L28" s="208" t="str">
        <f t="shared" ca="1" si="21"/>
        <v>Mountain Troll 1</v>
      </c>
      <c r="M28" s="139">
        <f t="shared" ca="1" si="22"/>
        <v>11</v>
      </c>
    </row>
    <row r="29" spans="1:13" x14ac:dyDescent="0.3">
      <c r="A29" s="195" t="s">
        <v>152</v>
      </c>
      <c r="B29" s="134" t="s">
        <v>148</v>
      </c>
      <c r="C29" s="134" t="s">
        <v>170</v>
      </c>
      <c r="D29" s="195">
        <v>20</v>
      </c>
      <c r="E29" s="202">
        <v>4</v>
      </c>
      <c r="F29" s="134">
        <v>1</v>
      </c>
      <c r="G29" s="134">
        <v>0</v>
      </c>
      <c r="H29" s="134">
        <v>-2</v>
      </c>
      <c r="I29" s="135">
        <f t="shared" ca="1" si="18"/>
        <v>12</v>
      </c>
      <c r="J29" s="134">
        <f t="shared" ca="1" si="19"/>
        <v>15</v>
      </c>
      <c r="K29" s="198" t="str">
        <f t="shared" ca="1" si="20"/>
        <v>ý</v>
      </c>
      <c r="L29" s="208" t="str">
        <f t="shared" ca="1" si="21"/>
        <v>Ice Troll 12</v>
      </c>
      <c r="M29" s="139">
        <f t="shared" ca="1" si="22"/>
        <v>10</v>
      </c>
    </row>
    <row r="30" spans="1:13" x14ac:dyDescent="0.3">
      <c r="A30" s="195" t="s">
        <v>152</v>
      </c>
      <c r="B30" s="134" t="s">
        <v>148</v>
      </c>
      <c r="C30" s="134" t="s">
        <v>170</v>
      </c>
      <c r="D30" s="195">
        <v>20</v>
      </c>
      <c r="E30" s="202">
        <v>2</v>
      </c>
      <c r="F30" s="134">
        <v>0</v>
      </c>
      <c r="G30" s="134">
        <v>0</v>
      </c>
      <c r="H30" s="134">
        <v>-2</v>
      </c>
      <c r="I30" s="135">
        <f t="shared" ca="1" si="18"/>
        <v>7</v>
      </c>
      <c r="J30" s="134">
        <f t="shared" ca="1" si="19"/>
        <v>7</v>
      </c>
      <c r="K30" s="198" t="str">
        <f t="shared" ca="1" si="20"/>
        <v>ý</v>
      </c>
      <c r="L30" s="208" t="str">
        <f t="shared" ca="1" si="21"/>
        <v>Mountain Troll 2</v>
      </c>
      <c r="M30" s="139">
        <f t="shared" ca="1" si="22"/>
        <v>12</v>
      </c>
    </row>
    <row r="31" spans="1:13" x14ac:dyDescent="0.3">
      <c r="A31" s="195" t="s">
        <v>152</v>
      </c>
      <c r="B31" s="134" t="s">
        <v>149</v>
      </c>
      <c r="C31" s="134" t="s">
        <v>167</v>
      </c>
      <c r="D31" s="195">
        <v>20</v>
      </c>
      <c r="E31" s="202">
        <v>5</v>
      </c>
      <c r="F31" s="134">
        <v>2</v>
      </c>
      <c r="G31" s="134">
        <v>0</v>
      </c>
      <c r="H31" s="134">
        <v>-4</v>
      </c>
      <c r="I31" s="135">
        <f t="shared" ca="1" si="18"/>
        <v>5</v>
      </c>
      <c r="J31" s="134">
        <f t="shared" ca="1" si="19"/>
        <v>8</v>
      </c>
      <c r="K31" s="198" t="str">
        <f t="shared" ca="1" si="20"/>
        <v>ý</v>
      </c>
      <c r="L31" s="208" t="str">
        <f t="shared" ca="1" si="21"/>
        <v>Mountain Troll 3</v>
      </c>
      <c r="M31" s="139">
        <f t="shared" ca="1" si="22"/>
        <v>13</v>
      </c>
    </row>
    <row r="32" spans="1:13" x14ac:dyDescent="0.3">
      <c r="A32" s="195" t="s">
        <v>152</v>
      </c>
      <c r="B32" s="134" t="s">
        <v>149</v>
      </c>
      <c r="C32" s="134" t="s">
        <v>167</v>
      </c>
      <c r="D32" s="195">
        <v>20</v>
      </c>
      <c r="E32" s="202">
        <v>4</v>
      </c>
      <c r="F32" s="134">
        <v>0</v>
      </c>
      <c r="G32" s="134">
        <v>0</v>
      </c>
      <c r="H32" s="134">
        <v>-4</v>
      </c>
      <c r="I32" s="135">
        <f t="shared" ca="1" si="18"/>
        <v>19</v>
      </c>
      <c r="J32" s="134">
        <f t="shared" ca="1" si="19"/>
        <v>19</v>
      </c>
      <c r="K32" s="198" t="str">
        <f t="shared" ca="1" si="20"/>
        <v>ý</v>
      </c>
      <c r="L32" s="208" t="str">
        <f t="shared" ca="1" si="21"/>
        <v>Mountain Troll 2</v>
      </c>
      <c r="M32" s="139">
        <f t="shared" ca="1" si="22"/>
        <v>12</v>
      </c>
    </row>
    <row r="33" spans="1:13" x14ac:dyDescent="0.3">
      <c r="A33" s="195" t="s">
        <v>152</v>
      </c>
      <c r="B33" s="134" t="s">
        <v>149</v>
      </c>
      <c r="C33" s="134" t="s">
        <v>167</v>
      </c>
      <c r="D33" s="195">
        <v>20</v>
      </c>
      <c r="E33" s="202">
        <v>3</v>
      </c>
      <c r="F33" s="134">
        <v>1</v>
      </c>
      <c r="G33" s="134">
        <v>0</v>
      </c>
      <c r="H33" s="134">
        <v>-4</v>
      </c>
      <c r="I33" s="135">
        <f t="shared" ca="1" si="18"/>
        <v>9</v>
      </c>
      <c r="J33" s="134">
        <f t="shared" ca="1" si="19"/>
        <v>9</v>
      </c>
      <c r="K33" s="198" t="str">
        <f t="shared" ca="1" si="20"/>
        <v>ý</v>
      </c>
      <c r="L33" s="208" t="str">
        <f t="shared" ca="1" si="21"/>
        <v>Mountain Troll 2</v>
      </c>
      <c r="M33" s="139">
        <f t="shared" ca="1" si="22"/>
        <v>12</v>
      </c>
    </row>
    <row r="34" spans="1:13" x14ac:dyDescent="0.3">
      <c r="A34" s="195" t="s">
        <v>152</v>
      </c>
      <c r="B34" s="134" t="s">
        <v>149</v>
      </c>
      <c r="C34" s="134" t="s">
        <v>167</v>
      </c>
      <c r="D34" s="195">
        <v>20</v>
      </c>
      <c r="E34" s="202">
        <v>2</v>
      </c>
      <c r="F34" s="134">
        <v>1</v>
      </c>
      <c r="G34" s="134">
        <v>0</v>
      </c>
      <c r="H34" s="134">
        <v>-4</v>
      </c>
      <c r="I34" s="135">
        <f t="shared" ca="1" si="18"/>
        <v>16</v>
      </c>
      <c r="J34" s="134">
        <f t="shared" ca="1" si="19"/>
        <v>15</v>
      </c>
      <c r="K34" s="198" t="str">
        <f t="shared" ca="1" si="20"/>
        <v>ý</v>
      </c>
      <c r="L34" s="208" t="str">
        <f t="shared" ca="1" si="21"/>
        <v>Mountain Troll 2</v>
      </c>
      <c r="M34" s="139">
        <f t="shared" ca="1" si="22"/>
        <v>12</v>
      </c>
    </row>
    <row r="35" spans="1:13" x14ac:dyDescent="0.3">
      <c r="A35" s="195" t="s">
        <v>152</v>
      </c>
      <c r="B35" s="134" t="s">
        <v>149</v>
      </c>
      <c r="C35" s="134" t="s">
        <v>167</v>
      </c>
      <c r="D35" s="195">
        <v>20</v>
      </c>
      <c r="E35" s="202">
        <v>1</v>
      </c>
      <c r="F35" s="134">
        <v>1</v>
      </c>
      <c r="G35" s="134">
        <v>0</v>
      </c>
      <c r="H35" s="134">
        <v>-4</v>
      </c>
      <c r="I35" s="135">
        <f t="shared" ca="1" si="18"/>
        <v>13</v>
      </c>
      <c r="J35" s="134">
        <f t="shared" ca="1" si="19"/>
        <v>11</v>
      </c>
      <c r="K35" s="198" t="str">
        <f t="shared" ca="1" si="20"/>
        <v>ý</v>
      </c>
      <c r="L35" s="208" t="str">
        <f t="shared" ca="1" si="21"/>
        <v>Ice Troll 1</v>
      </c>
      <c r="M35" s="139">
        <f t="shared" ca="1" si="22"/>
        <v>2</v>
      </c>
    </row>
    <row r="36" spans="1:13" x14ac:dyDescent="0.3">
      <c r="A36" s="195" t="s">
        <v>152</v>
      </c>
      <c r="B36" s="134" t="s">
        <v>149</v>
      </c>
      <c r="C36" s="134" t="s">
        <v>167</v>
      </c>
      <c r="D36" s="195">
        <v>20</v>
      </c>
      <c r="E36" s="202">
        <v>1</v>
      </c>
      <c r="F36" s="134">
        <v>0</v>
      </c>
      <c r="G36" s="134">
        <v>0</v>
      </c>
      <c r="H36" s="134">
        <v>-4</v>
      </c>
      <c r="I36" s="135">
        <f t="shared" ca="1" si="18"/>
        <v>1</v>
      </c>
      <c r="J36" s="134">
        <f t="shared" ca="1" si="19"/>
        <v>-2</v>
      </c>
      <c r="K36" s="198" t="str">
        <f t="shared" ca="1" si="20"/>
        <v>ý</v>
      </c>
      <c r="L36" s="208" t="str">
        <f t="shared" ca="1" si="21"/>
        <v>Ice Troll 1</v>
      </c>
      <c r="M36" s="139">
        <f t="shared" ca="1" si="22"/>
        <v>2</v>
      </c>
    </row>
    <row r="37" spans="1:13" x14ac:dyDescent="0.3">
      <c r="A37" s="195" t="s">
        <v>144</v>
      </c>
      <c r="B37" s="134" t="s">
        <v>146</v>
      </c>
      <c r="C37" s="134" t="s">
        <v>167</v>
      </c>
      <c r="D37" s="195">
        <v>20</v>
      </c>
      <c r="E37" s="202">
        <v>3</v>
      </c>
      <c r="F37" s="134">
        <v>2</v>
      </c>
      <c r="G37" s="134">
        <v>0</v>
      </c>
      <c r="H37" s="134">
        <v>0</v>
      </c>
      <c r="I37" s="135">
        <f t="shared" ca="1" si="18"/>
        <v>17</v>
      </c>
      <c r="J37" s="134">
        <f t="shared" ca="1" si="19"/>
        <v>22</v>
      </c>
      <c r="K37" s="198" t="str">
        <f t="shared" ca="1" si="20"/>
        <v>ý</v>
      </c>
      <c r="L37" s="208" t="str">
        <f t="shared" ca="1" si="21"/>
        <v>Ice Troll 7</v>
      </c>
      <c r="M37" s="139">
        <f t="shared" ca="1" si="22"/>
        <v>5</v>
      </c>
    </row>
    <row r="38" spans="1:13" x14ac:dyDescent="0.3">
      <c r="A38" s="195" t="s">
        <v>144</v>
      </c>
      <c r="B38" s="134" t="s">
        <v>146</v>
      </c>
      <c r="C38" s="134" t="s">
        <v>167</v>
      </c>
      <c r="D38" s="195">
        <v>20</v>
      </c>
      <c r="E38" s="202">
        <v>3</v>
      </c>
      <c r="F38" s="134">
        <v>1</v>
      </c>
      <c r="G38" s="134">
        <v>0</v>
      </c>
      <c r="H38" s="134">
        <v>0</v>
      </c>
      <c r="I38" s="135">
        <f t="shared" ca="1" si="18"/>
        <v>17</v>
      </c>
      <c r="J38" s="134">
        <f t="shared" ca="1" si="19"/>
        <v>21</v>
      </c>
      <c r="K38" s="198" t="str">
        <f t="shared" ca="1" si="20"/>
        <v>ý</v>
      </c>
      <c r="L38" s="208" t="str">
        <f t="shared" ca="1" si="21"/>
        <v>Ice Troll 12</v>
      </c>
      <c r="M38" s="139">
        <f t="shared" ca="1" si="22"/>
        <v>10</v>
      </c>
    </row>
    <row r="39" spans="1:13" x14ac:dyDescent="0.3">
      <c r="A39" s="195" t="s">
        <v>144</v>
      </c>
      <c r="B39" s="134" t="s">
        <v>146</v>
      </c>
      <c r="C39" s="134" t="s">
        <v>167</v>
      </c>
      <c r="D39" s="195">
        <v>20</v>
      </c>
      <c r="E39" s="202">
        <v>3</v>
      </c>
      <c r="F39" s="134">
        <v>1</v>
      </c>
      <c r="G39" s="134">
        <v>0</v>
      </c>
      <c r="H39" s="134">
        <v>0</v>
      </c>
      <c r="I39" s="135">
        <f t="shared" ca="1" si="18"/>
        <v>10</v>
      </c>
      <c r="J39" s="134">
        <f t="shared" ca="1" si="19"/>
        <v>14</v>
      </c>
      <c r="K39" s="198" t="str">
        <f t="shared" ca="1" si="20"/>
        <v>ý</v>
      </c>
      <c r="L39" s="208" t="str">
        <f t="shared" ca="1" si="21"/>
        <v>Ice Troll 7</v>
      </c>
      <c r="M39" s="139">
        <f t="shared" ca="1" si="22"/>
        <v>5</v>
      </c>
    </row>
    <row r="40" spans="1:13" x14ac:dyDescent="0.3">
      <c r="A40" s="195" t="s">
        <v>144</v>
      </c>
      <c r="B40" s="134" t="s">
        <v>146</v>
      </c>
      <c r="C40" s="134" t="s">
        <v>167</v>
      </c>
      <c r="D40" s="195">
        <v>20</v>
      </c>
      <c r="E40" s="202">
        <v>3</v>
      </c>
      <c r="F40" s="134">
        <v>1</v>
      </c>
      <c r="G40" s="134">
        <v>0</v>
      </c>
      <c r="H40" s="134">
        <v>0</v>
      </c>
      <c r="I40" s="135">
        <f t="shared" ca="1" si="18"/>
        <v>11</v>
      </c>
      <c r="J40" s="134">
        <f t="shared" ca="1" si="19"/>
        <v>15</v>
      </c>
      <c r="K40" s="198" t="str">
        <f t="shared" ca="1" si="20"/>
        <v>ý</v>
      </c>
      <c r="L40" s="208" t="str">
        <f t="shared" ca="1" si="21"/>
        <v>Ice Troll 4</v>
      </c>
      <c r="M40" s="139">
        <f t="shared" ca="1" si="22"/>
        <v>3</v>
      </c>
    </row>
    <row r="41" spans="1:13" x14ac:dyDescent="0.3">
      <c r="A41" s="195" t="s">
        <v>144</v>
      </c>
      <c r="B41" s="134" t="s">
        <v>146</v>
      </c>
      <c r="C41" s="134" t="s">
        <v>167</v>
      </c>
      <c r="D41" s="195">
        <v>20</v>
      </c>
      <c r="E41" s="202">
        <v>2</v>
      </c>
      <c r="F41" s="134">
        <v>1</v>
      </c>
      <c r="G41" s="134">
        <v>0</v>
      </c>
      <c r="H41" s="134">
        <v>0</v>
      </c>
      <c r="I41" s="135">
        <f t="shared" ca="1" si="18"/>
        <v>12</v>
      </c>
      <c r="J41" s="134">
        <f t="shared" ca="1" si="19"/>
        <v>15</v>
      </c>
      <c r="K41" s="198" t="str">
        <f t="shared" ca="1" si="20"/>
        <v>ý</v>
      </c>
      <c r="L41" s="208" t="str">
        <f t="shared" ca="1" si="21"/>
        <v>Ice Troll 7</v>
      </c>
      <c r="M41" s="139">
        <f t="shared" ca="1" si="22"/>
        <v>5</v>
      </c>
    </row>
    <row r="42" spans="1:13" x14ac:dyDescent="0.3">
      <c r="A42" s="195" t="s">
        <v>144</v>
      </c>
      <c r="B42" s="134" t="s">
        <v>147</v>
      </c>
      <c r="C42" s="134" t="s">
        <v>172</v>
      </c>
      <c r="D42" s="195">
        <v>20</v>
      </c>
      <c r="E42" s="202">
        <v>2</v>
      </c>
      <c r="F42" s="134">
        <v>1</v>
      </c>
      <c r="G42" s="134">
        <v>0</v>
      </c>
      <c r="H42" s="134">
        <v>-2</v>
      </c>
      <c r="I42" s="135">
        <f t="shared" ca="1" si="18"/>
        <v>17</v>
      </c>
      <c r="J42" s="134">
        <f t="shared" ca="1" si="19"/>
        <v>18</v>
      </c>
      <c r="K42" s="198" t="str">
        <f t="shared" ca="1" si="20"/>
        <v>ý</v>
      </c>
      <c r="L42" s="208" t="str">
        <f t="shared" ca="1" si="21"/>
        <v>Ice Troll 5</v>
      </c>
      <c r="M42" s="139">
        <f t="shared" ca="1" si="22"/>
        <v>4</v>
      </c>
    </row>
    <row r="43" spans="1:13" x14ac:dyDescent="0.3">
      <c r="A43" s="195" t="s">
        <v>144</v>
      </c>
      <c r="B43" s="134" t="s">
        <v>147</v>
      </c>
      <c r="C43" s="134" t="s">
        <v>172</v>
      </c>
      <c r="D43" s="195">
        <v>20</v>
      </c>
      <c r="E43" s="202">
        <v>2</v>
      </c>
      <c r="F43" s="134">
        <v>0</v>
      </c>
      <c r="G43" s="134">
        <v>0</v>
      </c>
      <c r="H43" s="134">
        <v>-2</v>
      </c>
      <c r="I43" s="135">
        <f t="shared" ca="1" si="18"/>
        <v>12</v>
      </c>
      <c r="J43" s="134">
        <f t="shared" ca="1" si="19"/>
        <v>12</v>
      </c>
      <c r="K43" s="198" t="str">
        <f t="shared" ca="1" si="20"/>
        <v>ý</v>
      </c>
      <c r="L43" s="208" t="str">
        <f t="shared" ca="1" si="21"/>
        <v>Ice Troll 7</v>
      </c>
      <c r="M43" s="139">
        <f t="shared" ca="1" si="22"/>
        <v>5</v>
      </c>
    </row>
    <row r="44" spans="1:13" x14ac:dyDescent="0.3">
      <c r="A44" s="195" t="s">
        <v>144</v>
      </c>
      <c r="B44" s="134" t="s">
        <v>147</v>
      </c>
      <c r="C44" s="134" t="s">
        <v>172</v>
      </c>
      <c r="D44" s="195">
        <v>20</v>
      </c>
      <c r="E44" s="202">
        <v>2</v>
      </c>
      <c r="F44" s="134">
        <v>0</v>
      </c>
      <c r="G44" s="134">
        <v>0</v>
      </c>
      <c r="H44" s="134">
        <v>0</v>
      </c>
      <c r="I44" s="135">
        <f t="shared" ca="1" si="18"/>
        <v>5</v>
      </c>
      <c r="J44" s="134">
        <f t="shared" ca="1" si="19"/>
        <v>7</v>
      </c>
      <c r="K44" s="198" t="str">
        <f t="shared" ca="1" si="20"/>
        <v>ý</v>
      </c>
      <c r="L44" s="208" t="str">
        <f t="shared" ca="1" si="21"/>
        <v>Ice Troll 8</v>
      </c>
      <c r="M44" s="139">
        <f t="shared" ca="1" si="22"/>
        <v>6</v>
      </c>
    </row>
    <row r="45" spans="1:13" x14ac:dyDescent="0.3">
      <c r="A45" s="195" t="s">
        <v>144</v>
      </c>
      <c r="B45" s="134" t="s">
        <v>147</v>
      </c>
      <c r="C45" s="134" t="s">
        <v>172</v>
      </c>
      <c r="D45" s="195">
        <v>20</v>
      </c>
      <c r="E45" s="202">
        <v>2</v>
      </c>
      <c r="F45" s="134">
        <v>0</v>
      </c>
      <c r="G45" s="134">
        <v>0</v>
      </c>
      <c r="H45" s="134">
        <v>0</v>
      </c>
      <c r="I45" s="135">
        <f t="shared" ca="1" si="18"/>
        <v>3</v>
      </c>
      <c r="J45" s="134">
        <f t="shared" ca="1" si="19"/>
        <v>5</v>
      </c>
      <c r="K45" s="198" t="str">
        <f t="shared" ca="1" si="20"/>
        <v>ý</v>
      </c>
      <c r="L45" s="208" t="str">
        <f t="shared" ca="1" si="21"/>
        <v>Mountain Troll 2</v>
      </c>
      <c r="M45" s="139">
        <f t="shared" ca="1" si="22"/>
        <v>12</v>
      </c>
    </row>
    <row r="46" spans="1:13" x14ac:dyDescent="0.3">
      <c r="A46" s="195" t="s">
        <v>144</v>
      </c>
      <c r="B46" s="134" t="s">
        <v>147</v>
      </c>
      <c r="C46" s="134" t="s">
        <v>172</v>
      </c>
      <c r="D46" s="195">
        <v>20</v>
      </c>
      <c r="E46" s="202">
        <v>2</v>
      </c>
      <c r="F46" s="134">
        <v>0</v>
      </c>
      <c r="G46" s="134">
        <v>0</v>
      </c>
      <c r="H46" s="134">
        <v>-2</v>
      </c>
      <c r="I46" s="135">
        <f t="shared" ca="1" si="18"/>
        <v>4</v>
      </c>
      <c r="J46" s="134">
        <f t="shared" ca="1" si="19"/>
        <v>4</v>
      </c>
      <c r="K46" s="198" t="str">
        <f t="shared" ca="1" si="20"/>
        <v>ý</v>
      </c>
      <c r="L46" s="208" t="str">
        <f t="shared" ca="1" si="21"/>
        <v>Ice Troll 10</v>
      </c>
      <c r="M46" s="139">
        <f t="shared" ca="1" si="22"/>
        <v>8</v>
      </c>
    </row>
    <row r="47" spans="1:13" x14ac:dyDescent="0.3">
      <c r="A47" s="195" t="s">
        <v>144</v>
      </c>
      <c r="B47" s="134" t="s">
        <v>147</v>
      </c>
      <c r="C47" s="134" t="s">
        <v>172</v>
      </c>
      <c r="D47" s="195">
        <v>20</v>
      </c>
      <c r="E47" s="202">
        <v>2</v>
      </c>
      <c r="F47" s="134">
        <v>0</v>
      </c>
      <c r="G47" s="134">
        <v>0</v>
      </c>
      <c r="H47" s="134">
        <v>-2</v>
      </c>
      <c r="I47" s="135">
        <f t="shared" ca="1" si="18"/>
        <v>14</v>
      </c>
      <c r="J47" s="134">
        <f t="shared" ca="1" si="19"/>
        <v>14</v>
      </c>
      <c r="K47" s="198" t="str">
        <f t="shared" ca="1" si="20"/>
        <v>ý</v>
      </c>
      <c r="L47" s="208" t="str">
        <f t="shared" ca="1" si="21"/>
        <v>Ice Troll 8</v>
      </c>
      <c r="M47" s="139">
        <f t="shared" ca="1" si="22"/>
        <v>6</v>
      </c>
    </row>
    <row r="48" spans="1:13" x14ac:dyDescent="0.3">
      <c r="A48" s="195" t="s">
        <v>144</v>
      </c>
      <c r="B48" s="134" t="s">
        <v>147</v>
      </c>
      <c r="C48" s="134" t="s">
        <v>172</v>
      </c>
      <c r="D48" s="195">
        <v>20</v>
      </c>
      <c r="E48" s="202">
        <v>1</v>
      </c>
      <c r="F48" s="134">
        <v>1</v>
      </c>
      <c r="G48" s="134">
        <v>0</v>
      </c>
      <c r="H48" s="134">
        <v>0</v>
      </c>
      <c r="I48" s="135">
        <f t="shared" ca="1" si="18"/>
        <v>18</v>
      </c>
      <c r="J48" s="134">
        <f t="shared" ca="1" si="19"/>
        <v>20</v>
      </c>
      <c r="K48" s="198" t="str">
        <f t="shared" ca="1" si="20"/>
        <v>ý</v>
      </c>
      <c r="L48" s="208" t="str">
        <f t="shared" ca="1" si="21"/>
        <v>Ice Troll 5</v>
      </c>
      <c r="M48" s="139">
        <f t="shared" ca="1" si="22"/>
        <v>4</v>
      </c>
    </row>
    <row r="49" spans="1:13" x14ac:dyDescent="0.3">
      <c r="A49" s="195" t="s">
        <v>144</v>
      </c>
      <c r="B49" s="134" t="s">
        <v>147</v>
      </c>
      <c r="C49" s="134" t="s">
        <v>172</v>
      </c>
      <c r="D49" s="195">
        <v>20</v>
      </c>
      <c r="E49" s="202">
        <v>1</v>
      </c>
      <c r="F49" s="134">
        <v>0</v>
      </c>
      <c r="G49" s="134">
        <v>0</v>
      </c>
      <c r="H49" s="134">
        <v>-2</v>
      </c>
      <c r="I49" s="135">
        <f t="shared" ca="1" si="18"/>
        <v>12</v>
      </c>
      <c r="J49" s="134">
        <f t="shared" ca="1" si="19"/>
        <v>11</v>
      </c>
      <c r="K49" s="198" t="str">
        <f t="shared" ca="1" si="20"/>
        <v>ý</v>
      </c>
      <c r="L49" s="208" t="str">
        <f t="shared" ca="1" si="21"/>
        <v>Ice Troll 4</v>
      </c>
      <c r="M49" s="139">
        <f t="shared" ca="1" si="22"/>
        <v>3</v>
      </c>
    </row>
    <row r="50" spans="1:13" x14ac:dyDescent="0.3">
      <c r="A50" s="195" t="s">
        <v>144</v>
      </c>
      <c r="B50" s="134" t="s">
        <v>147</v>
      </c>
      <c r="C50" s="134" t="s">
        <v>172</v>
      </c>
      <c r="D50" s="195">
        <v>20</v>
      </c>
      <c r="E50" s="202">
        <v>1</v>
      </c>
      <c r="F50" s="134">
        <v>0</v>
      </c>
      <c r="G50" s="134">
        <v>0</v>
      </c>
      <c r="H50" s="134">
        <v>-2</v>
      </c>
      <c r="I50" s="135">
        <f t="shared" ca="1" si="18"/>
        <v>20</v>
      </c>
      <c r="J50" s="134">
        <f t="shared" ca="1" si="19"/>
        <v>19</v>
      </c>
      <c r="K50" s="198" t="str">
        <f t="shared" ca="1" si="20"/>
        <v>þ</v>
      </c>
      <c r="L50" s="208" t="str">
        <f t="shared" ca="1" si="21"/>
        <v>Ice Troll 9</v>
      </c>
      <c r="M50" s="139">
        <f t="shared" ca="1" si="22"/>
        <v>7</v>
      </c>
    </row>
    <row r="51" spans="1:13" x14ac:dyDescent="0.3">
      <c r="A51" s="195" t="s">
        <v>144</v>
      </c>
      <c r="B51" s="134" t="s">
        <v>147</v>
      </c>
      <c r="C51" s="134" t="s">
        <v>172</v>
      </c>
      <c r="D51" s="195">
        <v>20</v>
      </c>
      <c r="E51" s="202">
        <v>1</v>
      </c>
      <c r="F51" s="134">
        <v>0</v>
      </c>
      <c r="G51" s="134">
        <v>0</v>
      </c>
      <c r="H51" s="134">
        <v>0</v>
      </c>
      <c r="I51" s="135">
        <f t="shared" ca="1" si="18"/>
        <v>5</v>
      </c>
      <c r="J51" s="134">
        <f t="shared" ca="1" si="19"/>
        <v>6</v>
      </c>
      <c r="K51" s="198" t="str">
        <f t="shared" ca="1" si="20"/>
        <v>ý</v>
      </c>
      <c r="L51" s="208" t="str">
        <f t="shared" ca="1" si="21"/>
        <v>Ice Troll 9</v>
      </c>
      <c r="M51" s="139">
        <f t="shared" ca="1" si="22"/>
        <v>7</v>
      </c>
    </row>
    <row r="52" spans="1:13" x14ac:dyDescent="0.3">
      <c r="A52" s="195" t="s">
        <v>144</v>
      </c>
      <c r="B52" s="134" t="s">
        <v>147</v>
      </c>
      <c r="C52" s="134" t="s">
        <v>172</v>
      </c>
      <c r="D52" s="195">
        <v>20</v>
      </c>
      <c r="E52" s="202">
        <v>0</v>
      </c>
      <c r="F52" s="134">
        <v>1</v>
      </c>
      <c r="G52" s="134">
        <v>0</v>
      </c>
      <c r="H52" s="134">
        <v>-2</v>
      </c>
      <c r="I52" s="135">
        <f t="shared" ca="1" si="18"/>
        <v>6</v>
      </c>
      <c r="J52" s="134">
        <f t="shared" ca="1" si="19"/>
        <v>5</v>
      </c>
      <c r="K52" s="198" t="str">
        <f t="shared" ca="1" si="20"/>
        <v>ý</v>
      </c>
      <c r="L52" s="208" t="str">
        <f t="shared" ca="1" si="21"/>
        <v>Mountain Troll 2</v>
      </c>
      <c r="M52" s="139">
        <f t="shared" ca="1" si="22"/>
        <v>12</v>
      </c>
    </row>
    <row r="53" spans="1:13" x14ac:dyDescent="0.3">
      <c r="A53" s="196" t="s">
        <v>144</v>
      </c>
      <c r="B53" s="137" t="s">
        <v>147</v>
      </c>
      <c r="C53" s="137" t="s">
        <v>172</v>
      </c>
      <c r="D53" s="196">
        <v>20</v>
      </c>
      <c r="E53" s="203">
        <v>0</v>
      </c>
      <c r="F53" s="137">
        <v>0</v>
      </c>
      <c r="G53" s="137">
        <v>0</v>
      </c>
      <c r="H53" s="137">
        <v>-2</v>
      </c>
      <c r="I53" s="138">
        <f t="shared" ca="1" si="18"/>
        <v>9</v>
      </c>
      <c r="J53" s="137">
        <f t="shared" ca="1" si="19"/>
        <v>7</v>
      </c>
      <c r="K53" s="197" t="str">
        <f t="shared" ca="1" si="20"/>
        <v>ý</v>
      </c>
      <c r="L53" s="219" t="str">
        <f t="shared" ca="1" si="21"/>
        <v>Ice Troll 7</v>
      </c>
      <c r="M53" s="139">
        <f t="shared" ca="1" si="22"/>
        <v>5</v>
      </c>
    </row>
  </sheetData>
  <sortState ref="A21:K68">
    <sortCondition ref="B21:B68"/>
  </sortState>
  <conditionalFormatting sqref="K2:K3 K13:K20 K7:K10 K39:K52 K32:K36 K23:K30">
    <cfRule type="cellIs" dxfId="26" priority="20" operator="equal">
      <formula>"þ"</formula>
    </cfRule>
  </conditionalFormatting>
  <conditionalFormatting sqref="K21:K22 K53">
    <cfRule type="cellIs" dxfId="25" priority="19" operator="equal">
      <formula>"þ"</formula>
    </cfRule>
  </conditionalFormatting>
  <conditionalFormatting sqref="K7:K10">
    <cfRule type="cellIs" dxfId="24" priority="17" operator="equal">
      <formula>"þ"</formula>
    </cfRule>
  </conditionalFormatting>
  <conditionalFormatting sqref="K7">
    <cfRule type="cellIs" dxfId="23" priority="16" operator="equal">
      <formula>"þ"</formula>
    </cfRule>
  </conditionalFormatting>
  <conditionalFormatting sqref="K8">
    <cfRule type="cellIs" dxfId="22" priority="15" operator="equal">
      <formula>"þ"</formula>
    </cfRule>
  </conditionalFormatting>
  <conditionalFormatting sqref="K3">
    <cfRule type="cellIs" dxfId="21" priority="14" operator="equal">
      <formula>"þ"</formula>
    </cfRule>
  </conditionalFormatting>
  <conditionalFormatting sqref="K7">
    <cfRule type="cellIs" dxfId="20" priority="13" operator="equal">
      <formula>"þ"</formula>
    </cfRule>
  </conditionalFormatting>
  <conditionalFormatting sqref="K11">
    <cfRule type="cellIs" dxfId="19" priority="12" operator="equal">
      <formula>"þ"</formula>
    </cfRule>
  </conditionalFormatting>
  <conditionalFormatting sqref="K11">
    <cfRule type="cellIs" dxfId="18" priority="11" operator="equal">
      <formula>"þ"</formula>
    </cfRule>
  </conditionalFormatting>
  <conditionalFormatting sqref="K12">
    <cfRule type="cellIs" dxfId="17" priority="10" operator="equal">
      <formula>"þ"</formula>
    </cfRule>
  </conditionalFormatting>
  <conditionalFormatting sqref="K12">
    <cfRule type="cellIs" dxfId="16" priority="9" operator="equal">
      <formula>"þ"</formula>
    </cfRule>
  </conditionalFormatting>
  <conditionalFormatting sqref="K4:K6">
    <cfRule type="cellIs" dxfId="15" priority="8" operator="equal">
      <formula>"þ"</formula>
    </cfRule>
  </conditionalFormatting>
  <conditionalFormatting sqref="K4:K6">
    <cfRule type="cellIs" dxfId="14" priority="7" operator="equal">
      <formula>"þ"</formula>
    </cfRule>
  </conditionalFormatting>
  <conditionalFormatting sqref="K31">
    <cfRule type="cellIs" dxfId="13" priority="6" operator="equal">
      <formula>"þ"</formula>
    </cfRule>
  </conditionalFormatting>
  <conditionalFormatting sqref="K37:K38">
    <cfRule type="cellIs" dxfId="12" priority="4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defaultColWidth="3.8984375" defaultRowHeight="15.6" x14ac:dyDescent="0.3"/>
  <cols>
    <col min="1" max="1" width="16.2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16384" width="3.8984375" style="21"/>
  </cols>
  <sheetData>
    <row r="1" spans="1:8" s="24" customFormat="1" x14ac:dyDescent="0.3">
      <c r="A1" s="118" t="s">
        <v>0</v>
      </c>
      <c r="B1" s="118" t="s">
        <v>60</v>
      </c>
      <c r="C1" s="118" t="s">
        <v>34</v>
      </c>
      <c r="D1" s="117" t="s">
        <v>3</v>
      </c>
      <c r="E1" s="118" t="s">
        <v>35</v>
      </c>
      <c r="F1" s="21"/>
      <c r="G1" s="21"/>
      <c r="H1" s="21"/>
    </row>
    <row r="2" spans="1:8" x14ac:dyDescent="0.3">
      <c r="A2" s="123" t="s">
        <v>174</v>
      </c>
      <c r="B2" s="124" t="s">
        <v>36</v>
      </c>
      <c r="C2" s="192">
        <v>10</v>
      </c>
      <c r="D2" s="115">
        <f t="shared" ref="D2:D4" ca="1" si="0">RANDBETWEEN(1,20)</f>
        <v>11</v>
      </c>
      <c r="E2" s="71">
        <f t="shared" ref="E2:E4" ca="1" si="1">D2+C2</f>
        <v>21</v>
      </c>
    </row>
    <row r="3" spans="1:8" x14ac:dyDescent="0.3">
      <c r="A3" s="74" t="s">
        <v>174</v>
      </c>
      <c r="B3" s="124" t="s">
        <v>37</v>
      </c>
      <c r="C3" s="192">
        <v>4</v>
      </c>
      <c r="D3" s="114">
        <f t="shared" ca="1" si="0"/>
        <v>5</v>
      </c>
      <c r="E3" s="73">
        <f t="shared" ca="1" si="1"/>
        <v>9</v>
      </c>
    </row>
    <row r="4" spans="1:8" x14ac:dyDescent="0.3">
      <c r="A4" s="122" t="s">
        <v>174</v>
      </c>
      <c r="B4" s="125" t="s">
        <v>38</v>
      </c>
      <c r="C4" s="193">
        <v>6</v>
      </c>
      <c r="D4" s="116">
        <f t="shared" ca="1" si="0"/>
        <v>17</v>
      </c>
      <c r="E4" s="75">
        <f t="shared" ca="1" si="1"/>
        <v>23</v>
      </c>
    </row>
    <row r="5" spans="1:8" x14ac:dyDescent="0.3">
      <c r="A5" s="123" t="s">
        <v>112</v>
      </c>
      <c r="B5" s="124" t="s">
        <v>36</v>
      </c>
      <c r="C5" s="192">
        <v>9</v>
      </c>
      <c r="D5" s="115">
        <f t="shared" ref="D5:D14" ca="1" si="2">RANDBETWEEN(1,20)</f>
        <v>10</v>
      </c>
      <c r="E5" s="71">
        <f t="shared" ref="E5:E10" ca="1" si="3">D5+C5</f>
        <v>19</v>
      </c>
    </row>
    <row r="6" spans="1:8" x14ac:dyDescent="0.3">
      <c r="A6" s="74" t="s">
        <v>112</v>
      </c>
      <c r="B6" s="124" t="s">
        <v>37</v>
      </c>
      <c r="C6" s="192">
        <v>3</v>
      </c>
      <c r="D6" s="114">
        <f t="shared" ca="1" si="2"/>
        <v>18</v>
      </c>
      <c r="E6" s="73">
        <f t="shared" ca="1" si="3"/>
        <v>21</v>
      </c>
    </row>
    <row r="7" spans="1:8" x14ac:dyDescent="0.3">
      <c r="A7" s="122" t="s">
        <v>112</v>
      </c>
      <c r="B7" s="125" t="s">
        <v>38</v>
      </c>
      <c r="C7" s="193">
        <v>3</v>
      </c>
      <c r="D7" s="116">
        <f t="shared" ca="1" si="2"/>
        <v>17</v>
      </c>
      <c r="E7" s="75">
        <f t="shared" ca="1" si="3"/>
        <v>20</v>
      </c>
    </row>
    <row r="8" spans="1:8" x14ac:dyDescent="0.3">
      <c r="A8" s="123" t="s">
        <v>113</v>
      </c>
      <c r="B8" s="124" t="s">
        <v>36</v>
      </c>
      <c r="C8" s="192">
        <v>19</v>
      </c>
      <c r="D8" s="115">
        <f t="shared" ca="1" si="2"/>
        <v>15</v>
      </c>
      <c r="E8" s="71">
        <f t="shared" ca="1" si="3"/>
        <v>34</v>
      </c>
    </row>
    <row r="9" spans="1:8" x14ac:dyDescent="0.3">
      <c r="A9" s="74" t="s">
        <v>113</v>
      </c>
      <c r="B9" s="124" t="s">
        <v>37</v>
      </c>
      <c r="C9" s="192">
        <v>6</v>
      </c>
      <c r="D9" s="114">
        <f t="shared" ca="1" si="2"/>
        <v>9</v>
      </c>
      <c r="E9" s="73">
        <f t="shared" ca="1" si="3"/>
        <v>15</v>
      </c>
    </row>
    <row r="10" spans="1:8" x14ac:dyDescent="0.3">
      <c r="A10" s="122" t="s">
        <v>113</v>
      </c>
      <c r="B10" s="125" t="s">
        <v>38</v>
      </c>
      <c r="C10" s="193">
        <v>7</v>
      </c>
      <c r="D10" s="116">
        <f t="shared" ca="1" si="2"/>
        <v>14</v>
      </c>
      <c r="E10" s="75">
        <f t="shared" ca="1" si="3"/>
        <v>21</v>
      </c>
    </row>
    <row r="11" spans="1:8" x14ac:dyDescent="0.3">
      <c r="A11" s="123" t="s">
        <v>112</v>
      </c>
      <c r="B11" s="213" t="s">
        <v>63</v>
      </c>
      <c r="C11" s="214">
        <v>0</v>
      </c>
      <c r="D11" s="115">
        <f t="shared" ca="1" si="2"/>
        <v>15</v>
      </c>
      <c r="E11" s="71">
        <f t="shared" ref="E11" ca="1" si="4">D11+C11</f>
        <v>15</v>
      </c>
    </row>
    <row r="12" spans="1:8" x14ac:dyDescent="0.3">
      <c r="A12" s="122" t="s">
        <v>112</v>
      </c>
      <c r="B12" s="125" t="s">
        <v>104</v>
      </c>
      <c r="C12" s="193">
        <v>0</v>
      </c>
      <c r="D12" s="116">
        <f t="shared" ca="1" si="2"/>
        <v>10</v>
      </c>
      <c r="E12" s="75">
        <f t="shared" ref="E12:E13" ca="1" si="5">D12+C12</f>
        <v>10</v>
      </c>
    </row>
    <row r="13" spans="1:8" x14ac:dyDescent="0.3">
      <c r="A13" s="123" t="s">
        <v>113</v>
      </c>
      <c r="B13" s="213" t="s">
        <v>63</v>
      </c>
      <c r="C13" s="214">
        <v>0</v>
      </c>
      <c r="D13" s="115">
        <f t="shared" ca="1" si="2"/>
        <v>19</v>
      </c>
      <c r="E13" s="71">
        <f t="shared" ca="1" si="5"/>
        <v>19</v>
      </c>
    </row>
    <row r="14" spans="1:8" x14ac:dyDescent="0.3">
      <c r="A14" s="122" t="s">
        <v>113</v>
      </c>
      <c r="B14" s="125" t="s">
        <v>104</v>
      </c>
      <c r="C14" s="193">
        <v>0</v>
      </c>
      <c r="D14" s="116">
        <f t="shared" ca="1" si="2"/>
        <v>14</v>
      </c>
      <c r="E14" s="75">
        <f t="shared" ref="E14" ca="1" si="6">D14+C14</f>
        <v>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1.29687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3.0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" style="21" bestFit="1" customWidth="1"/>
    <col min="16" max="17" width="6.09765625" style="21" bestFit="1" customWidth="1"/>
    <col min="18" max="18" width="5" style="21" bestFit="1" customWidth="1"/>
    <col min="19" max="19" width="5.796875" style="21" bestFit="1" customWidth="1"/>
    <col min="20" max="20" width="6.6992187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40" t="s">
        <v>40</v>
      </c>
      <c r="C1" s="141" t="s">
        <v>39</v>
      </c>
      <c r="D1" s="142" t="s">
        <v>41</v>
      </c>
      <c r="E1" s="119" t="s">
        <v>62</v>
      </c>
      <c r="F1" s="98" t="s">
        <v>42</v>
      </c>
      <c r="G1" s="99"/>
      <c r="H1" s="52" t="s">
        <v>43</v>
      </c>
      <c r="I1" s="16" t="s">
        <v>44</v>
      </c>
      <c r="J1" s="18" t="s">
        <v>45</v>
      </c>
      <c r="K1" s="25" t="s">
        <v>46</v>
      </c>
      <c r="L1" s="28" t="s">
        <v>47</v>
      </c>
      <c r="M1" s="31" t="s">
        <v>48</v>
      </c>
      <c r="N1" s="37" t="s">
        <v>49</v>
      </c>
      <c r="O1" s="40" t="s">
        <v>74</v>
      </c>
      <c r="P1" s="152" t="s">
        <v>71</v>
      </c>
      <c r="Q1" s="43" t="s">
        <v>50</v>
      </c>
      <c r="R1" s="46" t="s">
        <v>51</v>
      </c>
      <c r="S1" s="49" t="s">
        <v>72</v>
      </c>
      <c r="T1" s="34" t="s">
        <v>76</v>
      </c>
      <c r="U1" s="56" t="s">
        <v>52</v>
      </c>
      <c r="V1" s="59" t="s">
        <v>53</v>
      </c>
      <c r="W1" s="65" t="s">
        <v>54</v>
      </c>
      <c r="X1" s="154" t="s">
        <v>73</v>
      </c>
      <c r="Y1" s="68" t="s">
        <v>55</v>
      </c>
      <c r="Z1" s="63" t="s">
        <v>56</v>
      </c>
      <c r="AA1" s="59" t="s">
        <v>57</v>
      </c>
      <c r="AB1" s="62" t="s">
        <v>58</v>
      </c>
      <c r="AD1" s="153" t="s">
        <v>67</v>
      </c>
    </row>
    <row r="2" spans="1:30" ht="16.2" thickTop="1" x14ac:dyDescent="0.3">
      <c r="A2" s="157" t="s">
        <v>64</v>
      </c>
      <c r="B2" s="144">
        <f>13</f>
        <v>13</v>
      </c>
      <c r="C2" s="147">
        <f>18+4</f>
        <v>22</v>
      </c>
      <c r="D2" s="146">
        <f>21+4</f>
        <v>25</v>
      </c>
      <c r="E2" s="120">
        <v>0</v>
      </c>
      <c r="F2" s="100" t="s">
        <v>59</v>
      </c>
      <c r="G2" s="101">
        <v>0</v>
      </c>
      <c r="H2" s="53"/>
      <c r="I2" s="19"/>
      <c r="J2" s="20"/>
      <c r="K2" s="26"/>
      <c r="L2" s="29"/>
      <c r="M2" s="32"/>
      <c r="N2" s="38"/>
      <c r="O2" s="41"/>
      <c r="P2" s="148"/>
      <c r="Q2" s="44"/>
      <c r="R2" s="47"/>
      <c r="S2" s="50"/>
      <c r="T2" s="35"/>
      <c r="U2" s="57"/>
      <c r="V2" s="60">
        <f t="shared" ref="V2:V3" si="0">SUM(H2:U2)</f>
        <v>0</v>
      </c>
      <c r="W2" s="66"/>
      <c r="X2" s="155"/>
      <c r="Y2" s="69"/>
      <c r="Z2" s="64">
        <f>72</f>
        <v>72</v>
      </c>
      <c r="AA2" s="61">
        <f t="shared" ref="AA2:AA3" si="1">SUM(Y2:Z2)-(V2+W2)</f>
        <v>72</v>
      </c>
      <c r="AB2" s="108">
        <f t="shared" ref="AB2:AB3" si="2">SMALL(Z2:AA2,1)+X2</f>
        <v>72</v>
      </c>
      <c r="AD2" s="160"/>
    </row>
    <row r="3" spans="1:30" x14ac:dyDescent="0.3">
      <c r="A3" s="158" t="s">
        <v>66</v>
      </c>
      <c r="B3" s="144">
        <f>14</f>
        <v>14</v>
      </c>
      <c r="C3" s="151">
        <f>15</f>
        <v>15</v>
      </c>
      <c r="D3" s="143">
        <f>19</f>
        <v>19</v>
      </c>
      <c r="E3" s="121">
        <v>0</v>
      </c>
      <c r="F3" s="102" t="s">
        <v>59</v>
      </c>
      <c r="G3" s="103">
        <v>0</v>
      </c>
      <c r="H3" s="54"/>
      <c r="I3" s="22"/>
      <c r="J3" s="23"/>
      <c r="K3" s="27"/>
      <c r="L3" s="30"/>
      <c r="M3" s="33"/>
      <c r="N3" s="39"/>
      <c r="O3" s="42"/>
      <c r="P3" s="149"/>
      <c r="Q3" s="164" t="s">
        <v>75</v>
      </c>
      <c r="R3" s="48"/>
      <c r="S3" s="51"/>
      <c r="T3" s="36"/>
      <c r="U3" s="57"/>
      <c r="V3" s="60">
        <f t="shared" si="0"/>
        <v>0</v>
      </c>
      <c r="W3" s="67"/>
      <c r="X3" s="156"/>
      <c r="Y3" s="70"/>
      <c r="Z3" s="64">
        <f>66</f>
        <v>66</v>
      </c>
      <c r="AA3" s="61">
        <f t="shared" si="1"/>
        <v>66</v>
      </c>
      <c r="AB3" s="108">
        <f t="shared" si="2"/>
        <v>66</v>
      </c>
      <c r="AD3" s="160"/>
    </row>
    <row r="4" spans="1:30" x14ac:dyDescent="0.3">
      <c r="A4" s="158" t="s">
        <v>65</v>
      </c>
      <c r="B4" s="144">
        <f>10+3</f>
        <v>13</v>
      </c>
      <c r="C4" s="147">
        <f>21+4</f>
        <v>25</v>
      </c>
      <c r="D4" s="146">
        <f>21+4</f>
        <v>25</v>
      </c>
      <c r="E4" s="121">
        <v>0</v>
      </c>
      <c r="F4" s="102" t="s">
        <v>59</v>
      </c>
      <c r="G4" s="103">
        <v>0</v>
      </c>
      <c r="H4" s="54">
        <v>85</v>
      </c>
      <c r="I4" s="22"/>
      <c r="J4" s="150" t="s">
        <v>97</v>
      </c>
      <c r="K4" s="27"/>
      <c r="L4" s="30"/>
      <c r="M4" s="33"/>
      <c r="N4" s="39"/>
      <c r="O4" s="42"/>
      <c r="P4" s="149"/>
      <c r="Q4" s="164" t="s">
        <v>75</v>
      </c>
      <c r="R4" s="48"/>
      <c r="S4" s="51"/>
      <c r="T4" s="36"/>
      <c r="U4" s="57"/>
      <c r="V4" s="60">
        <f t="shared" ref="V4:V9" si="3">SUM(H4:U4)</f>
        <v>85</v>
      </c>
      <c r="W4" s="67"/>
      <c r="X4" s="156"/>
      <c r="Y4" s="70"/>
      <c r="Z4" s="64">
        <f>114</f>
        <v>114</v>
      </c>
      <c r="AA4" s="61">
        <f t="shared" ref="AA4:AA9" si="4">SUM(Y4:Z4)-(V4+W4)</f>
        <v>29</v>
      </c>
      <c r="AB4" s="108">
        <f t="shared" ref="AB4:AB9" si="5">SMALL(Z4:AA4,1)+X4</f>
        <v>29</v>
      </c>
      <c r="AD4" s="160"/>
    </row>
    <row r="5" spans="1:30" x14ac:dyDescent="0.3">
      <c r="A5" s="175" t="s">
        <v>117</v>
      </c>
      <c r="B5" s="144">
        <v>10</v>
      </c>
      <c r="C5" s="145">
        <v>24</v>
      </c>
      <c r="D5" s="143">
        <v>24</v>
      </c>
      <c r="E5" s="121">
        <v>0</v>
      </c>
      <c r="F5" s="102" t="s">
        <v>143</v>
      </c>
      <c r="G5" s="103">
        <v>2</v>
      </c>
      <c r="H5" s="54">
        <v>168</v>
      </c>
      <c r="I5" s="22"/>
      <c r="J5" s="23"/>
      <c r="K5" s="27"/>
      <c r="L5" s="30"/>
      <c r="M5" s="33"/>
      <c r="N5" s="39"/>
      <c r="O5" s="42"/>
      <c r="P5" s="174" t="s">
        <v>75</v>
      </c>
      <c r="Q5" s="164" t="s">
        <v>75</v>
      </c>
      <c r="R5" s="48"/>
      <c r="S5" s="51"/>
      <c r="T5" s="36"/>
      <c r="U5" s="57"/>
      <c r="V5" s="60">
        <f t="shared" si="3"/>
        <v>168</v>
      </c>
      <c r="W5" s="67">
        <v>1</v>
      </c>
      <c r="X5" s="156"/>
      <c r="Y5" s="70">
        <v>21</v>
      </c>
      <c r="Z5" s="64">
        <f>137+24</f>
        <v>161</v>
      </c>
      <c r="AA5" s="61">
        <f t="shared" si="4"/>
        <v>13</v>
      </c>
      <c r="AB5" s="108">
        <f t="shared" si="5"/>
        <v>13</v>
      </c>
      <c r="AD5" s="160"/>
    </row>
    <row r="6" spans="1:30" x14ac:dyDescent="0.3">
      <c r="A6" s="175" t="s">
        <v>90</v>
      </c>
      <c r="B6" s="185">
        <f>13+4</f>
        <v>17</v>
      </c>
      <c r="C6" s="147">
        <f>15+6+4</f>
        <v>25</v>
      </c>
      <c r="D6" s="146">
        <f>18+6+4</f>
        <v>28</v>
      </c>
      <c r="E6" s="121">
        <v>0</v>
      </c>
      <c r="F6" s="102" t="s">
        <v>59</v>
      </c>
      <c r="G6" s="103">
        <v>0</v>
      </c>
      <c r="H6" s="54">
        <v>34</v>
      </c>
      <c r="I6" s="22"/>
      <c r="J6" s="23"/>
      <c r="K6" s="27"/>
      <c r="L6" s="30"/>
      <c r="M6" s="33"/>
      <c r="N6" s="39"/>
      <c r="O6" s="42"/>
      <c r="P6" s="174" t="s">
        <v>75</v>
      </c>
      <c r="Q6" s="45"/>
      <c r="R6" s="48"/>
      <c r="S6" s="51"/>
      <c r="T6" s="36"/>
      <c r="U6" s="57"/>
      <c r="V6" s="60">
        <f t="shared" si="3"/>
        <v>34</v>
      </c>
      <c r="W6" s="67"/>
      <c r="X6" s="156">
        <f>17</f>
        <v>17</v>
      </c>
      <c r="Y6" s="70"/>
      <c r="Z6" s="64">
        <f>81+14</f>
        <v>95</v>
      </c>
      <c r="AA6" s="61">
        <f t="shared" si="4"/>
        <v>61</v>
      </c>
      <c r="AB6" s="108">
        <f t="shared" si="5"/>
        <v>78</v>
      </c>
      <c r="AD6" s="160"/>
    </row>
    <row r="7" spans="1:30" x14ac:dyDescent="0.3">
      <c r="A7" s="175" t="s">
        <v>93</v>
      </c>
      <c r="B7" s="144">
        <v>12</v>
      </c>
      <c r="C7" s="145">
        <v>21</v>
      </c>
      <c r="D7" s="221">
        <v>22</v>
      </c>
      <c r="E7" s="121">
        <v>0</v>
      </c>
      <c r="F7" s="102" t="s">
        <v>94</v>
      </c>
      <c r="G7" s="103">
        <v>5</v>
      </c>
      <c r="H7" s="54"/>
      <c r="I7" s="22"/>
      <c r="J7" s="23"/>
      <c r="K7" s="27"/>
      <c r="L7" s="30"/>
      <c r="M7" s="33"/>
      <c r="N7" s="39"/>
      <c r="O7" s="42"/>
      <c r="P7" s="174" t="s">
        <v>75</v>
      </c>
      <c r="Q7" s="45"/>
      <c r="R7" s="165" t="s">
        <v>75</v>
      </c>
      <c r="S7" s="51"/>
      <c r="T7" s="36"/>
      <c r="U7" s="57"/>
      <c r="V7" s="60">
        <f t="shared" si="3"/>
        <v>0</v>
      </c>
      <c r="W7" s="67"/>
      <c r="X7" s="156"/>
      <c r="Y7" s="70"/>
      <c r="Z7" s="64">
        <v>72</v>
      </c>
      <c r="AA7" s="61">
        <f t="shared" si="4"/>
        <v>72</v>
      </c>
      <c r="AB7" s="108">
        <f t="shared" si="5"/>
        <v>72</v>
      </c>
      <c r="AD7" s="160"/>
    </row>
    <row r="8" spans="1:30" x14ac:dyDescent="0.3">
      <c r="A8" s="175" t="s">
        <v>77</v>
      </c>
      <c r="B8" s="185">
        <f>10+3</f>
        <v>13</v>
      </c>
      <c r="C8" s="147">
        <f>15+3</f>
        <v>18</v>
      </c>
      <c r="D8" s="220">
        <f>15+3</f>
        <v>18</v>
      </c>
      <c r="E8" s="121">
        <v>0</v>
      </c>
      <c r="F8" s="102" t="s">
        <v>59</v>
      </c>
      <c r="G8" s="103">
        <v>0</v>
      </c>
      <c r="H8" s="54"/>
      <c r="I8" s="22"/>
      <c r="J8" s="23"/>
      <c r="K8" s="27"/>
      <c r="L8" s="30"/>
      <c r="M8" s="33"/>
      <c r="N8" s="39"/>
      <c r="O8" s="42"/>
      <c r="P8" s="174" t="s">
        <v>75</v>
      </c>
      <c r="Q8" s="45"/>
      <c r="R8" s="165" t="s">
        <v>75</v>
      </c>
      <c r="S8" s="51"/>
      <c r="T8" s="36"/>
      <c r="U8" s="58"/>
      <c r="V8" s="60">
        <f t="shared" si="3"/>
        <v>0</v>
      </c>
      <c r="W8" s="67"/>
      <c r="X8" s="156"/>
      <c r="Y8" s="70"/>
      <c r="Z8" s="64">
        <v>87</v>
      </c>
      <c r="AA8" s="61">
        <f t="shared" si="4"/>
        <v>87</v>
      </c>
      <c r="AB8" s="108">
        <f t="shared" si="5"/>
        <v>87</v>
      </c>
      <c r="AD8" s="160"/>
    </row>
    <row r="9" spans="1:30" x14ac:dyDescent="0.3">
      <c r="A9" s="175" t="s">
        <v>91</v>
      </c>
      <c r="B9" s="144">
        <v>15</v>
      </c>
      <c r="C9" s="145">
        <v>15</v>
      </c>
      <c r="D9" s="143">
        <v>21</v>
      </c>
      <c r="E9" s="121">
        <v>0</v>
      </c>
      <c r="F9" s="102" t="s">
        <v>59</v>
      </c>
      <c r="G9" s="103">
        <v>0</v>
      </c>
      <c r="H9" s="54">
        <v>7</v>
      </c>
      <c r="I9" s="22"/>
      <c r="J9" s="23"/>
      <c r="K9" s="27"/>
      <c r="L9" s="30"/>
      <c r="M9" s="33"/>
      <c r="N9" s="39"/>
      <c r="O9" s="42"/>
      <c r="P9" s="174" t="s">
        <v>75</v>
      </c>
      <c r="Q9" s="45"/>
      <c r="R9" s="48"/>
      <c r="S9" s="51"/>
      <c r="T9" s="36"/>
      <c r="U9" s="58"/>
      <c r="V9" s="60">
        <f t="shared" si="3"/>
        <v>7</v>
      </c>
      <c r="W9" s="67"/>
      <c r="X9" s="156"/>
      <c r="Y9" s="70"/>
      <c r="Z9" s="64">
        <v>94</v>
      </c>
      <c r="AA9" s="61">
        <f t="shared" si="4"/>
        <v>87</v>
      </c>
      <c r="AB9" s="108">
        <f t="shared" si="5"/>
        <v>87</v>
      </c>
      <c r="AD9" s="160"/>
    </row>
    <row r="10" spans="1:30" x14ac:dyDescent="0.3">
      <c r="A10" s="188" t="s">
        <v>173</v>
      </c>
      <c r="B10" s="144">
        <v>12</v>
      </c>
      <c r="C10" s="145">
        <v>23</v>
      </c>
      <c r="D10" s="143">
        <v>26</v>
      </c>
      <c r="E10" s="121">
        <v>0</v>
      </c>
      <c r="F10" s="102" t="s">
        <v>59</v>
      </c>
      <c r="G10" s="103">
        <v>0</v>
      </c>
      <c r="H10" s="53"/>
      <c r="I10" s="19">
        <v>97</v>
      </c>
      <c r="J10" s="23"/>
      <c r="K10" s="27"/>
      <c r="L10" s="30"/>
      <c r="M10" s="32">
        <v>28</v>
      </c>
      <c r="N10" s="38"/>
      <c r="O10" s="186" t="s">
        <v>75</v>
      </c>
      <c r="P10" s="149"/>
      <c r="Q10" s="164" t="s">
        <v>75</v>
      </c>
      <c r="R10" s="48"/>
      <c r="S10" s="51"/>
      <c r="T10" s="35"/>
      <c r="U10" s="57"/>
      <c r="V10" s="60">
        <f t="shared" ref="V10:V14" si="6">SUM(H10:U10)</f>
        <v>125</v>
      </c>
      <c r="W10" s="66"/>
      <c r="X10" s="156"/>
      <c r="Y10" s="70">
        <v>20</v>
      </c>
      <c r="Z10" s="64">
        <v>98</v>
      </c>
      <c r="AA10" s="61">
        <f t="shared" ref="AA10:AA14" si="7">SUM(Y10:Z10)-(V10+W10)</f>
        <v>-7</v>
      </c>
      <c r="AB10" s="108">
        <f t="shared" ref="AB10:AB14" si="8">SMALL(Z10:AA10,1)+X10</f>
        <v>-7</v>
      </c>
      <c r="AD10" s="160"/>
    </row>
    <row r="11" spans="1:30" x14ac:dyDescent="0.3">
      <c r="A11" s="188" t="s">
        <v>127</v>
      </c>
      <c r="B11" s="144">
        <v>11</v>
      </c>
      <c r="C11" s="145">
        <v>22</v>
      </c>
      <c r="D11" s="143">
        <v>24</v>
      </c>
      <c r="E11" s="121">
        <v>0</v>
      </c>
      <c r="F11" s="102" t="s">
        <v>59</v>
      </c>
      <c r="G11" s="103">
        <v>0</v>
      </c>
      <c r="H11" s="54"/>
      <c r="I11" s="22">
        <v>51</v>
      </c>
      <c r="J11" s="23"/>
      <c r="K11" s="27"/>
      <c r="L11" s="126"/>
      <c r="M11" s="33"/>
      <c r="N11" s="39"/>
      <c r="O11" s="186" t="s">
        <v>75</v>
      </c>
      <c r="P11" s="149"/>
      <c r="Q11" s="164" t="s">
        <v>75</v>
      </c>
      <c r="R11" s="165"/>
      <c r="S11" s="51"/>
      <c r="T11" s="36"/>
      <c r="U11" s="58"/>
      <c r="V11" s="60">
        <f>SUM(H11:U11)</f>
        <v>51</v>
      </c>
      <c r="W11" s="67"/>
      <c r="X11" s="156"/>
      <c r="Y11" s="70"/>
      <c r="Z11" s="64">
        <v>47</v>
      </c>
      <c r="AA11" s="61">
        <f>SUM(Y11:Z11)-(V11+W11)</f>
        <v>-4</v>
      </c>
      <c r="AB11" s="108">
        <f>SMALL(Z11:AA11,1)+X11</f>
        <v>-4</v>
      </c>
      <c r="AD11" s="160"/>
    </row>
    <row r="12" spans="1:30" x14ac:dyDescent="0.3">
      <c r="A12" s="188" t="s">
        <v>128</v>
      </c>
      <c r="B12" s="144">
        <v>11</v>
      </c>
      <c r="C12" s="145">
        <v>22</v>
      </c>
      <c r="D12" s="143">
        <v>24</v>
      </c>
      <c r="E12" s="121">
        <v>0</v>
      </c>
      <c r="F12" s="102" t="s">
        <v>59</v>
      </c>
      <c r="G12" s="103">
        <v>0</v>
      </c>
      <c r="H12" s="54"/>
      <c r="I12" s="22"/>
      <c r="J12" s="23">
        <v>79</v>
      </c>
      <c r="K12" s="27"/>
      <c r="L12" s="30"/>
      <c r="M12" s="33"/>
      <c r="N12" s="39"/>
      <c r="O12" s="186" t="s">
        <v>75</v>
      </c>
      <c r="P12" s="149"/>
      <c r="Q12" s="164" t="s">
        <v>75</v>
      </c>
      <c r="R12" s="48"/>
      <c r="S12" s="51"/>
      <c r="T12" s="36"/>
      <c r="U12" s="57"/>
      <c r="V12" s="60">
        <f t="shared" si="6"/>
        <v>79</v>
      </c>
      <c r="W12" s="67"/>
      <c r="X12" s="156"/>
      <c r="Y12" s="70">
        <v>4</v>
      </c>
      <c r="Z12" s="64">
        <v>47</v>
      </c>
      <c r="AA12" s="61">
        <f t="shared" si="7"/>
        <v>-28</v>
      </c>
      <c r="AB12" s="108">
        <f t="shared" si="8"/>
        <v>-28</v>
      </c>
      <c r="AD12" s="160"/>
    </row>
    <row r="13" spans="1:30" x14ac:dyDescent="0.3">
      <c r="A13" s="188" t="s">
        <v>138</v>
      </c>
      <c r="B13" s="144">
        <v>11</v>
      </c>
      <c r="C13" s="145">
        <v>18</v>
      </c>
      <c r="D13" s="143">
        <v>20</v>
      </c>
      <c r="E13" s="121">
        <v>0</v>
      </c>
      <c r="F13" s="102" t="s">
        <v>59</v>
      </c>
      <c r="G13" s="103">
        <v>0</v>
      </c>
      <c r="H13" s="54"/>
      <c r="I13" s="22">
        <v>66</v>
      </c>
      <c r="J13" s="23"/>
      <c r="K13" s="27"/>
      <c r="L13" s="30"/>
      <c r="M13" s="33"/>
      <c r="N13" s="39"/>
      <c r="O13" s="186" t="s">
        <v>75</v>
      </c>
      <c r="P13" s="149"/>
      <c r="Q13" s="164" t="s">
        <v>75</v>
      </c>
      <c r="R13" s="48"/>
      <c r="S13" s="51"/>
      <c r="T13" s="36"/>
      <c r="U13" s="57"/>
      <c r="V13" s="60">
        <f t="shared" si="6"/>
        <v>66</v>
      </c>
      <c r="W13" s="67"/>
      <c r="X13" s="156"/>
      <c r="Y13" s="70">
        <v>4</v>
      </c>
      <c r="Z13" s="64">
        <v>47</v>
      </c>
      <c r="AA13" s="61">
        <f t="shared" si="7"/>
        <v>-15</v>
      </c>
      <c r="AB13" s="108">
        <f t="shared" si="8"/>
        <v>-15</v>
      </c>
      <c r="AD13" s="160"/>
    </row>
    <row r="14" spans="1:30" x14ac:dyDescent="0.3">
      <c r="A14" s="188" t="s">
        <v>139</v>
      </c>
      <c r="B14" s="144">
        <v>11</v>
      </c>
      <c r="C14" s="145">
        <v>18</v>
      </c>
      <c r="D14" s="143">
        <v>20</v>
      </c>
      <c r="E14" s="121">
        <v>0</v>
      </c>
      <c r="F14" s="102" t="s">
        <v>59</v>
      </c>
      <c r="G14" s="103">
        <v>0</v>
      </c>
      <c r="H14" s="54"/>
      <c r="I14" s="22">
        <v>18</v>
      </c>
      <c r="J14" s="23">
        <v>46</v>
      </c>
      <c r="K14" s="187"/>
      <c r="L14" s="126"/>
      <c r="M14" s="33"/>
      <c r="N14" s="39"/>
      <c r="O14" s="186" t="s">
        <v>75</v>
      </c>
      <c r="P14" s="149"/>
      <c r="Q14" s="164" t="s">
        <v>75</v>
      </c>
      <c r="R14" s="48"/>
      <c r="S14" s="51"/>
      <c r="T14" s="36"/>
      <c r="U14" s="57"/>
      <c r="V14" s="60">
        <f t="shared" si="6"/>
        <v>64</v>
      </c>
      <c r="W14" s="67"/>
      <c r="X14" s="156"/>
      <c r="Y14" s="70">
        <v>12</v>
      </c>
      <c r="Z14" s="64">
        <v>47</v>
      </c>
      <c r="AA14" s="61">
        <f t="shared" si="7"/>
        <v>-5</v>
      </c>
      <c r="AB14" s="108">
        <f t="shared" si="8"/>
        <v>-5</v>
      </c>
      <c r="AD14" s="160"/>
    </row>
    <row r="15" spans="1:30" x14ac:dyDescent="0.3">
      <c r="A15" s="188" t="s">
        <v>140</v>
      </c>
      <c r="B15" s="144">
        <v>11</v>
      </c>
      <c r="C15" s="145">
        <v>18</v>
      </c>
      <c r="D15" s="143">
        <v>20</v>
      </c>
      <c r="E15" s="121">
        <v>0</v>
      </c>
      <c r="F15" s="102" t="s">
        <v>59</v>
      </c>
      <c r="G15" s="103">
        <v>0</v>
      </c>
      <c r="H15" s="54"/>
      <c r="I15" s="22">
        <v>6</v>
      </c>
      <c r="J15" s="23"/>
      <c r="K15" s="187"/>
      <c r="L15" s="126"/>
      <c r="M15" s="33">
        <v>44</v>
      </c>
      <c r="N15" s="39"/>
      <c r="O15" s="186" t="s">
        <v>75</v>
      </c>
      <c r="P15" s="149"/>
      <c r="Q15" s="164" t="s">
        <v>75</v>
      </c>
      <c r="R15" s="48"/>
      <c r="S15" s="51"/>
      <c r="T15" s="36"/>
      <c r="U15" s="57"/>
      <c r="V15" s="60">
        <f t="shared" ref="V15:V21" si="9">SUM(H15:U15)</f>
        <v>50</v>
      </c>
      <c r="W15" s="67"/>
      <c r="X15" s="156"/>
      <c r="Y15" s="70"/>
      <c r="Z15" s="64">
        <v>47</v>
      </c>
      <c r="AA15" s="61">
        <f t="shared" ref="AA15:AA21" si="10">SUM(Y15:Z15)-(V15+W15)</f>
        <v>-3</v>
      </c>
      <c r="AB15" s="108">
        <f t="shared" ref="AB15:AB21" si="11">SMALL(Z15:AA15,1)+X15</f>
        <v>-3</v>
      </c>
      <c r="AD15" s="160"/>
    </row>
    <row r="16" spans="1:30" x14ac:dyDescent="0.3">
      <c r="A16" s="188" t="s">
        <v>141</v>
      </c>
      <c r="B16" s="144">
        <v>11</v>
      </c>
      <c r="C16" s="145">
        <v>18</v>
      </c>
      <c r="D16" s="143">
        <v>20</v>
      </c>
      <c r="E16" s="121">
        <v>0</v>
      </c>
      <c r="F16" s="102" t="s">
        <v>59</v>
      </c>
      <c r="G16" s="103">
        <v>0</v>
      </c>
      <c r="H16" s="54"/>
      <c r="I16" s="22">
        <v>12</v>
      </c>
      <c r="J16" s="23"/>
      <c r="K16" s="187"/>
      <c r="L16" s="126"/>
      <c r="M16" s="33">
        <v>63</v>
      </c>
      <c r="N16" s="39"/>
      <c r="O16" s="186" t="s">
        <v>75</v>
      </c>
      <c r="P16" s="149"/>
      <c r="Q16" s="164" t="s">
        <v>75</v>
      </c>
      <c r="R16" s="48"/>
      <c r="S16" s="51"/>
      <c r="T16" s="36"/>
      <c r="U16" s="57"/>
      <c r="V16" s="60">
        <f t="shared" si="9"/>
        <v>75</v>
      </c>
      <c r="W16" s="67"/>
      <c r="X16" s="156"/>
      <c r="Y16" s="70">
        <v>16</v>
      </c>
      <c r="Z16" s="64">
        <v>47</v>
      </c>
      <c r="AA16" s="61">
        <f t="shared" si="10"/>
        <v>-12</v>
      </c>
      <c r="AB16" s="108">
        <f t="shared" si="11"/>
        <v>-12</v>
      </c>
      <c r="AD16" s="160"/>
    </row>
    <row r="17" spans="1:30" x14ac:dyDescent="0.3">
      <c r="A17" s="188" t="s">
        <v>142</v>
      </c>
      <c r="B17" s="144">
        <v>11</v>
      </c>
      <c r="C17" s="145">
        <v>18</v>
      </c>
      <c r="D17" s="143">
        <v>20</v>
      </c>
      <c r="E17" s="121">
        <v>0</v>
      </c>
      <c r="F17" s="102" t="s">
        <v>59</v>
      </c>
      <c r="G17" s="103">
        <v>0</v>
      </c>
      <c r="H17" s="54"/>
      <c r="I17" s="22">
        <v>36</v>
      </c>
      <c r="J17" s="23"/>
      <c r="K17" s="187"/>
      <c r="L17" s="126"/>
      <c r="M17" s="33">
        <v>25</v>
      </c>
      <c r="N17" s="39"/>
      <c r="O17" s="186" t="s">
        <v>75</v>
      </c>
      <c r="P17" s="149"/>
      <c r="Q17" s="164" t="s">
        <v>75</v>
      </c>
      <c r="R17" s="48"/>
      <c r="S17" s="51"/>
      <c r="T17" s="36"/>
      <c r="U17" s="57"/>
      <c r="V17" s="60">
        <f t="shared" si="9"/>
        <v>61</v>
      </c>
      <c r="W17" s="67"/>
      <c r="X17" s="156"/>
      <c r="Y17" s="70"/>
      <c r="Z17" s="64">
        <v>47</v>
      </c>
      <c r="AA17" s="61">
        <f t="shared" si="10"/>
        <v>-14</v>
      </c>
      <c r="AB17" s="108">
        <f t="shared" si="11"/>
        <v>-14</v>
      </c>
      <c r="AD17" s="160"/>
    </row>
    <row r="18" spans="1:30" x14ac:dyDescent="0.3">
      <c r="A18" s="188" t="s">
        <v>181</v>
      </c>
      <c r="B18" s="144">
        <v>11</v>
      </c>
      <c r="C18" s="145">
        <v>17</v>
      </c>
      <c r="D18" s="143">
        <v>19</v>
      </c>
      <c r="E18" s="121">
        <v>0</v>
      </c>
      <c r="F18" s="102" t="s">
        <v>59</v>
      </c>
      <c r="G18" s="103">
        <v>0</v>
      </c>
      <c r="H18" s="54"/>
      <c r="I18" s="22">
        <v>17</v>
      </c>
      <c r="J18" s="23"/>
      <c r="K18" s="187"/>
      <c r="L18" s="126"/>
      <c r="M18" s="33"/>
      <c r="N18" s="39"/>
      <c r="O18" s="186" t="s">
        <v>75</v>
      </c>
      <c r="P18" s="149">
        <v>26</v>
      </c>
      <c r="Q18" s="164" t="s">
        <v>75</v>
      </c>
      <c r="R18" s="48"/>
      <c r="S18" s="51"/>
      <c r="T18" s="36"/>
      <c r="U18" s="57"/>
      <c r="V18" s="60">
        <f t="shared" si="9"/>
        <v>43</v>
      </c>
      <c r="W18" s="67"/>
      <c r="X18" s="156"/>
      <c r="Y18" s="70">
        <v>24</v>
      </c>
      <c r="Z18" s="64">
        <v>47</v>
      </c>
      <c r="AA18" s="61">
        <f t="shared" si="10"/>
        <v>28</v>
      </c>
      <c r="AB18" s="108">
        <f t="shared" si="11"/>
        <v>28</v>
      </c>
      <c r="AD18" s="160"/>
    </row>
    <row r="19" spans="1:30" x14ac:dyDescent="0.3">
      <c r="A19" s="188" t="s">
        <v>182</v>
      </c>
      <c r="B19" s="144">
        <v>11</v>
      </c>
      <c r="C19" s="145">
        <v>17</v>
      </c>
      <c r="D19" s="143">
        <v>19</v>
      </c>
      <c r="E19" s="121">
        <v>0</v>
      </c>
      <c r="F19" s="102" t="s">
        <v>59</v>
      </c>
      <c r="G19" s="103">
        <v>0</v>
      </c>
      <c r="H19" s="54"/>
      <c r="I19" s="22">
        <v>50</v>
      </c>
      <c r="J19" s="23"/>
      <c r="K19" s="187"/>
      <c r="L19" s="126"/>
      <c r="M19" s="33"/>
      <c r="N19" s="39"/>
      <c r="O19" s="186" t="s">
        <v>75</v>
      </c>
      <c r="P19" s="149"/>
      <c r="Q19" s="164" t="s">
        <v>75</v>
      </c>
      <c r="R19" s="48"/>
      <c r="S19" s="51"/>
      <c r="T19" s="36">
        <v>22</v>
      </c>
      <c r="U19" s="57"/>
      <c r="V19" s="60">
        <f t="shared" si="9"/>
        <v>72</v>
      </c>
      <c r="W19" s="67"/>
      <c r="X19" s="156"/>
      <c r="Y19" s="70">
        <v>12</v>
      </c>
      <c r="Z19" s="64">
        <v>47</v>
      </c>
      <c r="AA19" s="61">
        <f t="shared" si="10"/>
        <v>-13</v>
      </c>
      <c r="AB19" s="108">
        <f t="shared" si="11"/>
        <v>-13</v>
      </c>
      <c r="AD19" s="160"/>
    </row>
    <row r="20" spans="1:30" x14ac:dyDescent="0.3">
      <c r="A20" s="188" t="s">
        <v>179</v>
      </c>
      <c r="B20" s="144">
        <v>11</v>
      </c>
      <c r="C20" s="145">
        <v>17</v>
      </c>
      <c r="D20" s="143">
        <v>19</v>
      </c>
      <c r="E20" s="121">
        <v>0</v>
      </c>
      <c r="F20" s="102" t="s">
        <v>59</v>
      </c>
      <c r="G20" s="103">
        <v>0</v>
      </c>
      <c r="H20" s="54"/>
      <c r="I20" s="22">
        <v>80</v>
      </c>
      <c r="J20" s="23"/>
      <c r="K20" s="187"/>
      <c r="L20" s="126"/>
      <c r="M20" s="33"/>
      <c r="N20" s="39"/>
      <c r="O20" s="186" t="s">
        <v>75</v>
      </c>
      <c r="P20" s="149"/>
      <c r="Q20" s="164" t="s">
        <v>75</v>
      </c>
      <c r="R20" s="48"/>
      <c r="S20" s="51"/>
      <c r="T20" s="36"/>
      <c r="U20" s="57"/>
      <c r="V20" s="60">
        <f t="shared" si="9"/>
        <v>80</v>
      </c>
      <c r="W20" s="67"/>
      <c r="X20" s="156"/>
      <c r="Y20" s="70">
        <v>4</v>
      </c>
      <c r="Z20" s="64">
        <v>47</v>
      </c>
      <c r="AA20" s="61">
        <f t="shared" si="10"/>
        <v>-29</v>
      </c>
      <c r="AB20" s="108">
        <f t="shared" si="11"/>
        <v>-29</v>
      </c>
      <c r="AD20" s="160"/>
    </row>
    <row r="21" spans="1:30" x14ac:dyDescent="0.3">
      <c r="A21" s="188" t="s">
        <v>180</v>
      </c>
      <c r="B21" s="144">
        <v>11</v>
      </c>
      <c r="C21" s="145">
        <v>17</v>
      </c>
      <c r="D21" s="143">
        <v>19</v>
      </c>
      <c r="E21" s="121">
        <v>0</v>
      </c>
      <c r="F21" s="102" t="s">
        <v>59</v>
      </c>
      <c r="G21" s="103">
        <v>0</v>
      </c>
      <c r="H21" s="54"/>
      <c r="I21" s="22">
        <v>63</v>
      </c>
      <c r="J21" s="23"/>
      <c r="K21" s="187"/>
      <c r="L21" s="126"/>
      <c r="M21" s="33"/>
      <c r="N21" s="39"/>
      <c r="O21" s="186" t="s">
        <v>75</v>
      </c>
      <c r="P21" s="149"/>
      <c r="Q21" s="164" t="s">
        <v>75</v>
      </c>
      <c r="R21" s="48"/>
      <c r="S21" s="51"/>
      <c r="T21" s="36"/>
      <c r="U21" s="57"/>
      <c r="V21" s="60">
        <f t="shared" si="9"/>
        <v>63</v>
      </c>
      <c r="W21" s="67"/>
      <c r="X21" s="156"/>
      <c r="Y21" s="70">
        <v>8</v>
      </c>
      <c r="Z21" s="64">
        <v>47</v>
      </c>
      <c r="AA21" s="61">
        <f t="shared" si="10"/>
        <v>-8</v>
      </c>
      <c r="AB21" s="108">
        <f t="shared" si="11"/>
        <v>-8</v>
      </c>
      <c r="AD21" s="160"/>
    </row>
    <row r="22" spans="1:30" x14ac:dyDescent="0.3">
      <c r="A22" s="188" t="s">
        <v>178</v>
      </c>
      <c r="B22" s="144">
        <v>11</v>
      </c>
      <c r="C22" s="145">
        <v>17</v>
      </c>
      <c r="D22" s="143">
        <v>19</v>
      </c>
      <c r="E22" s="121">
        <v>0</v>
      </c>
      <c r="F22" s="102" t="s">
        <v>59</v>
      </c>
      <c r="G22" s="103">
        <v>0</v>
      </c>
      <c r="H22" s="54"/>
      <c r="I22" s="22">
        <v>30</v>
      </c>
      <c r="J22" s="23">
        <v>22</v>
      </c>
      <c r="K22" s="187"/>
      <c r="L22" s="126">
        <v>6</v>
      </c>
      <c r="M22" s="33"/>
      <c r="N22" s="39"/>
      <c r="O22" s="186" t="s">
        <v>75</v>
      </c>
      <c r="P22" s="149"/>
      <c r="Q22" s="164" t="s">
        <v>75</v>
      </c>
      <c r="R22" s="48"/>
      <c r="S22" s="51"/>
      <c r="T22" s="36"/>
      <c r="U22" s="57"/>
      <c r="V22" s="60">
        <f t="shared" ref="V22" si="12">SUM(H22:U22)</f>
        <v>58</v>
      </c>
      <c r="W22" s="67"/>
      <c r="X22" s="156"/>
      <c r="Y22" s="70">
        <v>8</v>
      </c>
      <c r="Z22" s="64">
        <v>47</v>
      </c>
      <c r="AA22" s="61">
        <f t="shared" ref="AA22" si="13">SUM(Y22:Z22)-(V22+W22)</f>
        <v>-3</v>
      </c>
      <c r="AB22" s="108">
        <f t="shared" ref="AB22" si="14">SMALL(Z22:AA22,1)+X22</f>
        <v>-3</v>
      </c>
      <c r="AD22" s="160"/>
    </row>
    <row r="23" spans="1:30" x14ac:dyDescent="0.3">
      <c r="A23" s="188" t="s">
        <v>194</v>
      </c>
      <c r="B23" s="144">
        <v>11</v>
      </c>
      <c r="C23" s="145">
        <v>17</v>
      </c>
      <c r="D23" s="143">
        <v>19</v>
      </c>
      <c r="E23" s="121">
        <v>0</v>
      </c>
      <c r="F23" s="102" t="s">
        <v>59</v>
      </c>
      <c r="G23" s="103">
        <v>0</v>
      </c>
      <c r="H23" s="54">
        <v>116</v>
      </c>
      <c r="I23" s="22"/>
      <c r="J23" s="23"/>
      <c r="K23" s="187"/>
      <c r="L23" s="126"/>
      <c r="M23" s="33"/>
      <c r="N23" s="39"/>
      <c r="O23" s="186" t="s">
        <v>75</v>
      </c>
      <c r="P23" s="149"/>
      <c r="Q23" s="164" t="s">
        <v>75</v>
      </c>
      <c r="R23" s="48"/>
      <c r="S23" s="51"/>
      <c r="T23" s="36"/>
      <c r="U23" s="57"/>
      <c r="V23" s="60">
        <f t="shared" ref="V23" si="15">SUM(H23:U23)</f>
        <v>116</v>
      </c>
      <c r="W23" s="67"/>
      <c r="X23" s="156"/>
      <c r="Y23" s="70"/>
      <c r="Z23" s="64">
        <v>47</v>
      </c>
      <c r="AA23" s="61">
        <f t="shared" ref="AA23" si="16">SUM(Y23:Z23)-(V23+W23)</f>
        <v>-69</v>
      </c>
      <c r="AB23" s="108">
        <f t="shared" ref="AB23" si="17">SMALL(Z23:AA23,1)+X23</f>
        <v>-69</v>
      </c>
      <c r="AD23" s="160"/>
    </row>
    <row r="24" spans="1:30" x14ac:dyDescent="0.3">
      <c r="A24" s="159" t="s">
        <v>114</v>
      </c>
      <c r="B24" s="144">
        <v>9</v>
      </c>
      <c r="C24" s="145">
        <v>21</v>
      </c>
      <c r="D24" s="143">
        <v>22</v>
      </c>
      <c r="E24" s="121">
        <v>0</v>
      </c>
      <c r="F24" s="102" t="s">
        <v>59</v>
      </c>
      <c r="G24" s="103">
        <v>0</v>
      </c>
      <c r="H24" s="54">
        <v>86</v>
      </c>
      <c r="I24" s="22">
        <v>51</v>
      </c>
      <c r="J24" s="23"/>
      <c r="K24" s="27"/>
      <c r="L24" s="126"/>
      <c r="M24" s="33">
        <v>56</v>
      </c>
      <c r="N24" s="39"/>
      <c r="O24" s="186" t="s">
        <v>75</v>
      </c>
      <c r="P24" s="149">
        <v>38</v>
      </c>
      <c r="Q24" s="164" t="s">
        <v>75</v>
      </c>
      <c r="R24" s="48"/>
      <c r="S24" s="51"/>
      <c r="T24" s="36"/>
      <c r="U24" s="58"/>
      <c r="V24" s="60">
        <f t="shared" ref="V24" si="18">SUM(H24:U24)</f>
        <v>231</v>
      </c>
      <c r="W24" s="67"/>
      <c r="X24" s="156"/>
      <c r="Y24" s="70">
        <v>12</v>
      </c>
      <c r="Z24" s="64">
        <v>217</v>
      </c>
      <c r="AA24" s="61">
        <f t="shared" ref="AA24" si="19">SUM(Y24:Z24)-(V24+W24)</f>
        <v>-2</v>
      </c>
      <c r="AB24" s="108">
        <f t="shared" ref="AB24" si="20">SMALL(Z24:AA24,1)+X24</f>
        <v>-2</v>
      </c>
      <c r="AD24" s="160"/>
    </row>
    <row r="25" spans="1:30" x14ac:dyDescent="0.3">
      <c r="A25" s="159" t="s">
        <v>115</v>
      </c>
      <c r="B25" s="144">
        <v>9</v>
      </c>
      <c r="C25" s="145">
        <v>21</v>
      </c>
      <c r="D25" s="143">
        <v>22</v>
      </c>
      <c r="E25" s="121">
        <v>0</v>
      </c>
      <c r="F25" s="102" t="s">
        <v>59</v>
      </c>
      <c r="G25" s="103">
        <v>0</v>
      </c>
      <c r="H25" s="54">
        <v>153</v>
      </c>
      <c r="I25" s="22"/>
      <c r="J25" s="23">
        <v>67</v>
      </c>
      <c r="K25" s="27"/>
      <c r="L25" s="126"/>
      <c r="M25" s="33"/>
      <c r="N25" s="39"/>
      <c r="O25" s="186" t="s">
        <v>75</v>
      </c>
      <c r="P25" s="149">
        <v>57</v>
      </c>
      <c r="Q25" s="164" t="s">
        <v>75</v>
      </c>
      <c r="R25" s="48"/>
      <c r="S25" s="51"/>
      <c r="T25" s="36"/>
      <c r="U25" s="58"/>
      <c r="V25" s="60">
        <f t="shared" ref="V25" si="21">SUM(H25:U25)</f>
        <v>277</v>
      </c>
      <c r="W25" s="67"/>
      <c r="X25" s="156"/>
      <c r="Y25" s="70">
        <v>16</v>
      </c>
      <c r="Z25" s="64">
        <v>217</v>
      </c>
      <c r="AA25" s="61">
        <f t="shared" ref="AA25" si="22">SUM(Y25:Z25)-(V25+W25)</f>
        <v>-44</v>
      </c>
      <c r="AB25" s="108">
        <f t="shared" ref="AB25" si="23">SMALL(Z25:AA25,1)+X25</f>
        <v>-44</v>
      </c>
      <c r="AD25" s="160"/>
    </row>
    <row r="26" spans="1:30" x14ac:dyDescent="0.3">
      <c r="A26" s="159" t="s">
        <v>116</v>
      </c>
      <c r="B26" s="144">
        <v>9</v>
      </c>
      <c r="C26" s="145">
        <v>21</v>
      </c>
      <c r="D26" s="143">
        <v>22</v>
      </c>
      <c r="E26" s="121">
        <v>0</v>
      </c>
      <c r="F26" s="102" t="s">
        <v>59</v>
      </c>
      <c r="G26" s="103">
        <v>0</v>
      </c>
      <c r="H26" s="54">
        <v>31</v>
      </c>
      <c r="I26" s="22">
        <v>166</v>
      </c>
      <c r="J26" s="23">
        <v>14</v>
      </c>
      <c r="K26" s="27"/>
      <c r="L26" s="126"/>
      <c r="M26" s="33">
        <v>11</v>
      </c>
      <c r="N26" s="39"/>
      <c r="O26" s="186" t="s">
        <v>75</v>
      </c>
      <c r="P26" s="149">
        <v>15</v>
      </c>
      <c r="Q26" s="164" t="s">
        <v>75</v>
      </c>
      <c r="R26" s="48"/>
      <c r="S26" s="51"/>
      <c r="T26" s="36"/>
      <c r="U26" s="58"/>
      <c r="V26" s="60">
        <f t="shared" ref="V26" si="24">SUM(H26:U26)</f>
        <v>237</v>
      </c>
      <c r="W26" s="67"/>
      <c r="X26" s="156"/>
      <c r="Y26" s="70">
        <v>12</v>
      </c>
      <c r="Z26" s="64">
        <v>217</v>
      </c>
      <c r="AA26" s="61">
        <f t="shared" ref="AA26" si="25">SUM(Y26:Z26)-(V26+W26)</f>
        <v>-8</v>
      </c>
      <c r="AB26" s="108">
        <f t="shared" ref="AB26" si="26">SMALL(Z26:AA26,1)+X26</f>
        <v>-8</v>
      </c>
      <c r="AD26" s="160"/>
    </row>
    <row r="27" spans="1:30" x14ac:dyDescent="0.3">
      <c r="A27" s="21"/>
      <c r="B27" s="21"/>
      <c r="C27" s="21"/>
      <c r="D27" s="21"/>
      <c r="E27" s="21"/>
    </row>
  </sheetData>
  <sortState ref="A5:AB9">
    <sortCondition ref="A5:A9"/>
  </sortState>
  <conditionalFormatting sqref="AB10:AB21 AB24 AB2:AB8">
    <cfRule type="cellIs" dxfId="11" priority="65" stopIfTrue="1" operator="lessThan">
      <formula>0.5</formula>
    </cfRule>
    <cfRule type="cellIs" dxfId="10" priority="66" operator="lessThan">
      <formula>0.5*Z2</formula>
    </cfRule>
  </conditionalFormatting>
  <conditionalFormatting sqref="AB26">
    <cfRule type="cellIs" dxfId="9" priority="9" stopIfTrue="1" operator="lessThan">
      <formula>0.5</formula>
    </cfRule>
    <cfRule type="cellIs" dxfId="8" priority="10" operator="lessThan">
      <formula>0.5*Z26</formula>
    </cfRule>
  </conditionalFormatting>
  <conditionalFormatting sqref="AB25">
    <cfRule type="cellIs" dxfId="7" priority="7" stopIfTrue="1" operator="lessThan">
      <formula>0.5</formula>
    </cfRule>
    <cfRule type="cellIs" dxfId="6" priority="8" operator="lessThan">
      <formula>0.5*Z25</formula>
    </cfRule>
  </conditionalFormatting>
  <conditionalFormatting sqref="AB9">
    <cfRule type="cellIs" dxfId="5" priority="5" stopIfTrue="1" operator="lessThan">
      <formula>0.5</formula>
    </cfRule>
    <cfRule type="cellIs" dxfId="4" priority="6" operator="lessThan">
      <formula>0.5*Z9</formula>
    </cfRule>
  </conditionalFormatting>
  <conditionalFormatting sqref="AB22">
    <cfRule type="cellIs" dxfId="3" priority="3" stopIfTrue="1" operator="lessThan">
      <formula>0.5</formula>
    </cfRule>
    <cfRule type="cellIs" dxfId="2" priority="4" operator="lessThan">
      <formula>0.5*Z22</formula>
    </cfRule>
  </conditionalFormatting>
  <conditionalFormatting sqref="AB23">
    <cfRule type="cellIs" dxfId="1" priority="1" stopIfTrue="1" operator="lessThan">
      <formula>0.5</formula>
    </cfRule>
    <cfRule type="cellIs" dxfId="0" priority="2" operator="lessThan">
      <formula>0.5*Z23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186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187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5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188</v>
      </c>
      <c r="C4" s="10">
        <f ca="1">RANDBETWEEN(1,6)</f>
        <v>2</v>
      </c>
      <c r="D4" s="10">
        <f ca="1">RANDBETWEEN(1,6)+RANDBETWEEN(1,6)</f>
        <v>3</v>
      </c>
      <c r="E4" s="10">
        <f ca="1">RANDBETWEEN(1,6)+RANDBETWEEN(1,6)+RANDBETWEEN(1,6)</f>
        <v>15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10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3">
      <c r="B5" s="9" t="s">
        <v>189</v>
      </c>
      <c r="C5" s="10">
        <f ca="1">RANDBETWEEN(1,8)</f>
        <v>4</v>
      </c>
      <c r="D5" s="10">
        <f ca="1">RANDBETWEEN(1,8)+RANDBETWEEN(1,8)</f>
        <v>6</v>
      </c>
      <c r="E5" s="10">
        <f ca="1">RANDBETWEEN(1,8)+RANDBETWEEN(1,8)+RANDBETWEEN(1,8)</f>
        <v>13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16</v>
      </c>
      <c r="H5" s="11">
        <f ca="1">RANDBETWEEN(1,8)+RANDBETWEEN(1,8)+RANDBETWEEN(1,8)+RANDBETWEEN(1,8)+RANDBETWEEN(1,8)+RANDBETWEEN(1,8)</f>
        <v>16</v>
      </c>
      <c r="L5" s="1"/>
      <c r="M5" s="1"/>
      <c r="N5" s="1"/>
      <c r="O5" s="1"/>
      <c r="P5" s="1"/>
    </row>
    <row r="6" spans="1:16" x14ac:dyDescent="0.3">
      <c r="B6" s="9" t="s">
        <v>190</v>
      </c>
      <c r="C6" s="10">
        <f ca="1">RANDBETWEEN(1,10)</f>
        <v>6</v>
      </c>
      <c r="D6" s="10">
        <f ca="1">RANDBETWEEN(1,10)+RANDBETWEEN(1,10)</f>
        <v>9</v>
      </c>
      <c r="E6" s="10">
        <f ca="1">RANDBETWEEN(1,10)+RANDBETWEEN(1,10)+RANDBETWEEN(1,10)</f>
        <v>16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40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3">
      <c r="B7" s="9" t="s">
        <v>191</v>
      </c>
      <c r="C7" s="10">
        <f ca="1">RANDBETWEEN(1,12)</f>
        <v>9</v>
      </c>
      <c r="D7" s="10">
        <f ca="1">RANDBETWEEN(1,12)+RANDBETWEEN(1,12)</f>
        <v>8</v>
      </c>
      <c r="E7" s="10">
        <f ca="1">RANDBETWEEN(1,12)+RANDBETWEEN(1,12)+RANDBETWEEN(1,12)</f>
        <v>29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42</v>
      </c>
      <c r="H7" s="11">
        <f ca="1">RANDBETWEEN(1,12)+RANDBETWEEN(1,12)+RANDBETWEEN(1,12)+RANDBETWEEN(1,12)+RANDBETWEEN(1,12)+RANDBETWEEN(1,12)</f>
        <v>50</v>
      </c>
      <c r="L7" s="1"/>
      <c r="M7" s="1"/>
      <c r="N7" s="1"/>
      <c r="O7" s="1"/>
      <c r="P7" s="1"/>
    </row>
    <row r="8" spans="1:16" x14ac:dyDescent="0.3">
      <c r="B8" s="9" t="s">
        <v>192</v>
      </c>
      <c r="C8" s="10">
        <f ca="1">RANDBETWEEN(1,20)</f>
        <v>11</v>
      </c>
      <c r="D8" s="10">
        <f ca="1">RANDBETWEEN(1,20)+RANDBETWEEN(1,20)</f>
        <v>20</v>
      </c>
      <c r="E8" s="10">
        <f ca="1">RANDBETWEEN(1,20)+RANDBETWEEN(1,20)+RANDBETWEEN(1,20)</f>
        <v>17</v>
      </c>
      <c r="F8" s="10">
        <f ca="1">RANDBETWEEN(1,20)+RANDBETWEEN(1,20)+RANDBETWEEN(1,20)+RANDBETWEEN(1,20)</f>
        <v>52</v>
      </c>
      <c r="G8" s="10">
        <f ca="1">RANDBETWEEN(1,20)+RANDBETWEEN(1,20)+RANDBETWEEN(1,20)+RANDBETWEEN(1,20)+RANDBETWEEN(1,20)</f>
        <v>60</v>
      </c>
      <c r="H8" s="11">
        <f ca="1">RANDBETWEEN(1,20)+RANDBETWEEN(1,20)+RANDBETWEEN(1,20)+RANDBETWEEN(1,20)+RANDBETWEEN(1,20)+RANDBETWEEN(1,20)</f>
        <v>85</v>
      </c>
      <c r="L8" s="1"/>
      <c r="M8" s="1"/>
      <c r="N8" s="1"/>
      <c r="O8" s="1"/>
      <c r="P8" s="1"/>
    </row>
    <row r="9" spans="1:16" ht="16.2" thickBot="1" x14ac:dyDescent="0.35">
      <c r="B9" s="12" t="s">
        <v>193</v>
      </c>
      <c r="C9" s="13">
        <f ca="1">RANDBETWEEN(1,100)</f>
        <v>72</v>
      </c>
      <c r="D9" s="13">
        <f ca="1">RANDBETWEEN(1,100)+RANDBETWEEN(1,100)</f>
        <v>150</v>
      </c>
      <c r="E9" s="13">
        <f ca="1">RANDBETWEEN(1,100)+RANDBETWEEN(1,100)+RANDBETWEEN(1,100)</f>
        <v>120</v>
      </c>
      <c r="F9" s="13">
        <f ca="1">RANDBETWEEN(1,100)+RANDBETWEEN(1,100)+RANDBETWEEN(1,100)+RANDBETWEEN(1,100)</f>
        <v>291</v>
      </c>
      <c r="G9" s="13">
        <f ca="1">RANDBETWEEN(1,100)+RANDBETWEEN(1,100)+RANDBETWEEN(1,100)+RANDBETWEEN(1,100)+RANDBETWEEN(1,100)</f>
        <v>354</v>
      </c>
      <c r="H9" s="14">
        <f ca="1">RANDBETWEEN(1,100)+RANDBETWEEN(1,100)+RANDBETWEEN(1,100)+RANDBETWEEN(1,100)+RANDBETWEEN(1,100)+RANDBETWEEN(1,100)</f>
        <v>281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161"/>
      <c r="U27" s="161"/>
      <c r="V27" s="161"/>
    </row>
    <row r="28" spans="1:22" x14ac:dyDescent="0.3">
      <c r="A28" s="1"/>
      <c r="C28" s="1"/>
      <c r="D28" s="1"/>
      <c r="E28" s="1"/>
      <c r="F28" s="1"/>
      <c r="T28" s="161"/>
      <c r="U28" s="161"/>
      <c r="V28" s="161"/>
    </row>
    <row r="29" spans="1:22" x14ac:dyDescent="0.3">
      <c r="A29" s="1"/>
      <c r="C29" s="1"/>
      <c r="D29" s="1"/>
      <c r="E29" s="1"/>
      <c r="F29" s="1"/>
      <c r="Q29" s="161"/>
      <c r="R29" s="161"/>
      <c r="S29" s="161"/>
      <c r="T29" s="161"/>
      <c r="U29" s="161"/>
      <c r="V29" s="161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2019-06-11T21:48:29Z</dcterms:modified>
</cp:coreProperties>
</file>