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C:\A\Jue\DoW\NPCs\"/>
    </mc:Choice>
  </mc:AlternateContent>
  <xr:revisionPtr revIDLastSave="0" documentId="13_ncr:1_{FE77ACB3-CA77-4FD4-8A5D-2F7B1853ABEE}"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File'!$A$1:$H$21</definedName>
    <definedName name="_xlnm.Print_Area" localSheetId="1">Skills!$A$1:$K$27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4" l="1"/>
  <c r="B7" i="4" l="1"/>
  <c r="I6" i="6" l="1"/>
  <c r="C14" i="20"/>
  <c r="I11" i="6" l="1"/>
  <c r="H24" i="15"/>
  <c r="H25" i="15"/>
  <c r="H23" i="15"/>
  <c r="H22" i="15"/>
  <c r="H38" i="15"/>
  <c r="H36" i="15"/>
  <c r="H18" i="15"/>
  <c r="H16" i="15"/>
  <c r="H15" i="15"/>
  <c r="H14" i="15"/>
  <c r="H13" i="15"/>
  <c r="H12" i="15"/>
  <c r="H11" i="15"/>
  <c r="H10" i="15"/>
  <c r="H9" i="15"/>
  <c r="H8" i="15"/>
  <c r="H7" i="15"/>
  <c r="H37" i="15"/>
  <c r="B13" i="6" l="1"/>
  <c r="H21" i="15"/>
  <c r="F21" i="15"/>
  <c r="F9" i="15"/>
  <c r="F23" i="15"/>
  <c r="F39" i="15"/>
  <c r="F33" i="15"/>
  <c r="F26" i="15"/>
  <c r="F16" i="15"/>
  <c r="F7" i="15"/>
  <c r="B9" i="4" l="1"/>
  <c r="M32" i="6"/>
  <c r="M33" i="6"/>
  <c r="M34" i="6"/>
  <c r="B5" i="4" l="1"/>
  <c r="B12" i="4" l="1"/>
  <c r="I4" i="6" l="1"/>
  <c r="C20" i="19" l="1"/>
  <c r="M25" i="6" l="1"/>
  <c r="M26" i="6"/>
  <c r="M27" i="6"/>
  <c r="M28" i="6"/>
  <c r="G21" i="19" s="1"/>
  <c r="M29" i="6"/>
  <c r="I12" i="6" l="1"/>
  <c r="G27" i="6" l="1"/>
  <c r="G28" i="6"/>
  <c r="G29" i="6"/>
  <c r="G24" i="6"/>
  <c r="G25" i="6"/>
  <c r="G26" i="6"/>
  <c r="I5" i="6" l="1"/>
  <c r="K13" i="6" l="1"/>
  <c r="H41" i="15" l="1"/>
  <c r="H31" i="15" l="1"/>
  <c r="I3" i="6" l="1"/>
  <c r="I7" i="6"/>
  <c r="H3" i="15" l="1"/>
  <c r="H4" i="15"/>
  <c r="H5" i="15"/>
  <c r="H6" i="15"/>
  <c r="H17" i="15"/>
  <c r="H19" i="15"/>
  <c r="H20" i="15"/>
  <c r="E55" i="15" l="1"/>
  <c r="H26" i="15" l="1"/>
  <c r="H27" i="15"/>
  <c r="H28" i="15"/>
  <c r="H29" i="15"/>
  <c r="H30" i="15"/>
  <c r="H35" i="15" l="1"/>
  <c r="H40" i="15"/>
  <c r="H39" i="15"/>
  <c r="H34" i="15"/>
  <c r="H33" i="15"/>
  <c r="H32" i="15"/>
  <c r="I14" i="6" l="1"/>
  <c r="I10" i="6"/>
  <c r="B42" i="15" l="1"/>
  <c r="E8" i="4" l="1"/>
  <c r="C12" i="4" l="1"/>
  <c r="C3" i="20" s="1"/>
  <c r="C11" i="4"/>
  <c r="C10" i="4"/>
  <c r="C9" i="4"/>
  <c r="E9" i="4" s="1"/>
  <c r="C8" i="4"/>
  <c r="C7" i="4"/>
  <c r="C3" i="6" l="1"/>
  <c r="C4" i="6"/>
  <c r="H6" i="6"/>
  <c r="J6" i="6" s="1"/>
  <c r="C12" i="6"/>
  <c r="H11" i="6"/>
  <c r="J11" i="6" s="1"/>
  <c r="H10" i="6"/>
  <c r="J10" i="6" s="1"/>
  <c r="E54" i="15"/>
  <c r="E53" i="15"/>
  <c r="E52" i="15"/>
  <c r="E48" i="15"/>
  <c r="E44" i="15"/>
  <c r="E51" i="15"/>
  <c r="E47" i="15"/>
  <c r="E45" i="15"/>
  <c r="E50" i="15"/>
  <c r="E46" i="15"/>
  <c r="E43" i="15"/>
  <c r="E49" i="15"/>
  <c r="E10" i="4"/>
  <c r="E12" i="4" s="1"/>
  <c r="E11" i="4" s="1"/>
  <c r="H12" i="6"/>
  <c r="J12" i="6" s="1"/>
  <c r="H3" i="6"/>
  <c r="J3" i="6" s="1"/>
  <c r="H4" i="6"/>
  <c r="J4" i="6" s="1"/>
  <c r="D15" i="15"/>
  <c r="D8" i="15"/>
  <c r="D22" i="15"/>
  <c r="D13" i="15"/>
  <c r="D18" i="15"/>
  <c r="D19" i="15"/>
  <c r="D28" i="15"/>
  <c r="H5" i="6"/>
  <c r="J5" i="6" s="1"/>
  <c r="H14" i="6"/>
  <c r="J14" i="6" s="1"/>
  <c r="D5" i="15"/>
  <c r="D20" i="15"/>
  <c r="D29" i="15"/>
  <c r="D25" i="15"/>
  <c r="H7" i="6"/>
  <c r="J7" i="6" s="1"/>
  <c r="D6" i="15"/>
  <c r="D14" i="15"/>
  <c r="D11" i="15"/>
  <c r="D12" i="15"/>
  <c r="D17" i="15"/>
  <c r="D31" i="15"/>
  <c r="D24" i="15"/>
  <c r="D3" i="15"/>
  <c r="D10" i="15"/>
  <c r="D4" i="15"/>
  <c r="D7" i="15"/>
  <c r="D16" i="15"/>
  <c r="D21" i="15"/>
  <c r="D30" i="15"/>
  <c r="D26" i="15"/>
  <c r="D27" i="15"/>
  <c r="D9" i="15"/>
  <c r="D23" i="15"/>
  <c r="B6" i="4"/>
  <c r="E42" i="15" l="1"/>
  <c r="E28" i="15"/>
  <c r="G28" i="15"/>
  <c r="I28" i="15" s="1"/>
  <c r="E22" i="15"/>
  <c r="G22" i="15"/>
  <c r="I22" i="15" s="1"/>
  <c r="G19" i="15"/>
  <c r="I19" i="15" s="1"/>
  <c r="E19" i="15"/>
  <c r="E8" i="15"/>
  <c r="G8" i="15"/>
  <c r="I8" i="15" s="1"/>
  <c r="G18" i="15"/>
  <c r="I18" i="15" s="1"/>
  <c r="E18" i="15"/>
  <c r="E15" i="15"/>
  <c r="G15" i="15"/>
  <c r="I15" i="15" s="1"/>
  <c r="E13" i="15"/>
  <c r="G13" i="15"/>
  <c r="I13" i="15" s="1"/>
  <c r="E25" i="15"/>
  <c r="G25" i="15"/>
  <c r="I25" i="15" s="1"/>
  <c r="E29" i="15"/>
  <c r="G29" i="15"/>
  <c r="I29" i="15" s="1"/>
  <c r="E20" i="15"/>
  <c r="G20" i="15"/>
  <c r="I20" i="15" s="1"/>
  <c r="E5" i="15"/>
  <c r="G5" i="15"/>
  <c r="I5" i="15" s="1"/>
  <c r="G24" i="15"/>
  <c r="I24" i="15" s="1"/>
  <c r="E24" i="15"/>
  <c r="E31" i="15"/>
  <c r="G31" i="15"/>
  <c r="I31" i="15" s="1"/>
  <c r="E12" i="15"/>
  <c r="G12" i="15"/>
  <c r="I12" i="15" s="1"/>
  <c r="E14" i="15"/>
  <c r="G14" i="15"/>
  <c r="I14" i="15" s="1"/>
  <c r="G17" i="15"/>
  <c r="I17" i="15" s="1"/>
  <c r="E17" i="15"/>
  <c r="E11" i="15"/>
  <c r="G11" i="15"/>
  <c r="I11" i="15" s="1"/>
  <c r="E6" i="15"/>
  <c r="G6" i="15"/>
  <c r="I6" i="15" s="1"/>
  <c r="E10" i="15"/>
  <c r="G10" i="15"/>
  <c r="I10" i="15" s="1"/>
  <c r="E3" i="15"/>
  <c r="G3" i="15"/>
  <c r="I3" i="15" s="1"/>
  <c r="E21" i="15"/>
  <c r="G21" i="15"/>
  <c r="I21" i="15" s="1"/>
  <c r="E7" i="15"/>
  <c r="G7" i="15"/>
  <c r="I7" i="15" s="1"/>
  <c r="E27" i="15"/>
  <c r="G27" i="15"/>
  <c r="I27" i="15" s="1"/>
  <c r="G30" i="15"/>
  <c r="I30" i="15" s="1"/>
  <c r="E30" i="15"/>
  <c r="G16" i="15"/>
  <c r="I16" i="15" s="1"/>
  <c r="E16" i="15"/>
  <c r="G4" i="15"/>
  <c r="I4" i="15" s="1"/>
  <c r="E4" i="15"/>
  <c r="E26" i="15"/>
  <c r="G26" i="15"/>
  <c r="I26" i="15" s="1"/>
  <c r="E23" i="15"/>
  <c r="G23" i="15"/>
  <c r="I23" i="15" s="1"/>
  <c r="E9" i="15"/>
  <c r="G9" i="15"/>
  <c r="I9" i="15" s="1"/>
  <c r="D35" i="15" l="1"/>
  <c r="D37" i="15"/>
  <c r="D34" i="15"/>
  <c r="D39" i="15"/>
  <c r="D36" i="15"/>
  <c r="D38" i="15"/>
  <c r="D40" i="15"/>
  <c r="D33" i="15"/>
  <c r="D41" i="15"/>
  <c r="D32" i="15"/>
  <c r="E41" i="15" l="1"/>
  <c r="G41" i="15"/>
  <c r="I41" i="15" s="1"/>
  <c r="E36" i="15"/>
  <c r="G36" i="15"/>
  <c r="I36" i="15" s="1"/>
  <c r="E34" i="15"/>
  <c r="G34" i="15"/>
  <c r="I34" i="15" s="1"/>
  <c r="E32" i="15"/>
  <c r="G32" i="15"/>
  <c r="I32" i="15" s="1"/>
  <c r="E33" i="15"/>
  <c r="G33" i="15"/>
  <c r="I33" i="15" s="1"/>
  <c r="E40" i="15"/>
  <c r="G40" i="15"/>
  <c r="I40" i="15" s="1"/>
  <c r="E38" i="15"/>
  <c r="G38" i="15"/>
  <c r="I38" i="15" s="1"/>
  <c r="E39" i="15"/>
  <c r="G39" i="15"/>
  <c r="I39" i="15" s="1"/>
  <c r="E37" i="15"/>
  <c r="G37" i="15"/>
  <c r="I37" i="15" s="1"/>
  <c r="E35" i="15"/>
  <c r="G35" i="15"/>
  <c r="I35"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5" authorId="0" shapeId="0" xr:uid="{00000000-0006-0000-0000-000001000000}">
      <text>
        <r>
          <rPr>
            <i/>
            <sz val="12"/>
            <color indexed="81"/>
            <rFont val="Times New Roman"/>
            <family val="1"/>
          </rPr>
          <t>bless +1
shaken -2</t>
        </r>
      </text>
    </comment>
    <comment ref="B7" authorId="0" shapeId="0" xr:uid="{00000000-0006-0000-0000-000002000000}">
      <text>
        <r>
          <rPr>
            <i/>
            <sz val="12"/>
            <color indexed="81"/>
            <rFont val="Times New Roman"/>
            <family val="1"/>
          </rPr>
          <t>bull’s strength +4</t>
        </r>
      </text>
    </comment>
    <comment ref="E7" authorId="0" shapeId="0" xr:uid="{00000000-0006-0000-0000-000003000000}">
      <text>
        <r>
          <rPr>
            <sz val="12"/>
            <color indexed="81"/>
            <rFont val="Times New Roman"/>
            <family val="1"/>
          </rPr>
          <t>See PHB 162</t>
        </r>
      </text>
    </comment>
    <comment ref="B8" authorId="0" shapeId="0" xr:uid="{00000000-0006-0000-0000-000004000000}">
      <text>
        <r>
          <rPr>
            <i/>
            <sz val="12"/>
            <color indexed="81"/>
            <rFont val="Times New Roman"/>
            <family val="1"/>
          </rPr>
          <t>ray of clumsiness -8</t>
        </r>
      </text>
    </comment>
    <comment ref="B9" authorId="0" shapeId="0" xr:uid="{00000000-0006-0000-0000-000005000000}">
      <text>
        <r>
          <rPr>
            <i/>
            <sz val="12"/>
            <color indexed="81"/>
            <rFont val="Times New Roman"/>
            <family val="1"/>
          </rPr>
          <t>bear’s endurance +4</t>
        </r>
      </text>
    </comment>
    <comment ref="E9" authorId="0" shapeId="0" xr:uid="{00000000-0006-0000-0000-000006000000}">
      <text>
        <r>
          <rPr>
            <sz val="12"/>
            <color indexed="81"/>
            <rFont val="Times New Roman"/>
            <family val="1"/>
          </rPr>
          <t>[(12 * 10 Dragon Shaman) * 75%]
+ (12 * 2 Con)</t>
        </r>
      </text>
    </comment>
    <comment ref="E10" authorId="0" shapeId="0" xr:uid="{00000000-0006-0000-0000-000007000000}">
      <text>
        <r>
          <rPr>
            <i/>
            <sz val="12"/>
            <color indexed="81"/>
            <rFont val="Times New Roman"/>
            <family val="1"/>
          </rPr>
          <t>haste +1</t>
        </r>
      </text>
    </comment>
    <comment ref="E11" authorId="0" shapeId="0" xr:uid="{00000000-0006-0000-0000-000008000000}">
      <text>
        <r>
          <rPr>
            <i/>
            <sz val="12"/>
            <color indexed="81"/>
            <rFont val="Times New Roman"/>
            <family val="1"/>
          </rPr>
          <t>includes natural armor bonus +2</t>
        </r>
      </text>
    </comment>
    <comment ref="B12" authorId="0" shapeId="0" xr:uid="{00000000-0006-0000-0000-000009000000}">
      <text>
        <r>
          <rPr>
            <i/>
            <sz val="12"/>
            <color indexed="81"/>
            <rFont val="Times New Roman"/>
            <family val="1"/>
          </rPr>
          <t>eagle’s splendor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7" authorId="0" shapeId="0" xr:uid="{00000000-0006-0000-0100-000001000000}">
      <text>
        <r>
          <rPr>
            <i/>
            <sz val="12"/>
            <color indexed="81"/>
            <rFont val="Times New Roman"/>
            <family val="1"/>
          </rPr>
          <t>Dragonscale Armor -2</t>
        </r>
      </text>
    </comment>
    <comment ref="F9" authorId="0" shapeId="0" xr:uid="{00000000-0006-0000-0100-000002000000}">
      <text>
        <r>
          <rPr>
            <i/>
            <sz val="12"/>
            <color indexed="81"/>
            <rFont val="Times New Roman"/>
            <family val="1"/>
          </rPr>
          <t>Dragonscale Armor -2</t>
        </r>
      </text>
    </comment>
    <comment ref="F16" authorId="0" shapeId="0" xr:uid="{00000000-0006-0000-0100-000003000000}">
      <text>
        <r>
          <rPr>
            <i/>
            <sz val="12"/>
            <color indexed="81"/>
            <rFont val="Times New Roman"/>
            <family val="1"/>
          </rPr>
          <t>Dragonscale Armor -2</t>
        </r>
      </text>
    </comment>
    <comment ref="F21" authorId="0" shapeId="0" xr:uid="{00000000-0006-0000-0100-000004000000}">
      <text>
        <r>
          <rPr>
            <i/>
            <sz val="12"/>
            <color indexed="81"/>
            <rFont val="Times New Roman"/>
            <family val="1"/>
          </rPr>
          <t>Dragonscale Armor -2</t>
        </r>
      </text>
    </comment>
    <comment ref="F23" authorId="0" shapeId="0" xr:uid="{00000000-0006-0000-0100-000005000000}">
      <text>
        <r>
          <rPr>
            <i/>
            <sz val="12"/>
            <color indexed="81"/>
            <rFont val="Times New Roman"/>
            <family val="1"/>
          </rPr>
          <t>Dragonscale Armor -2</t>
        </r>
      </text>
    </comment>
    <comment ref="F26" authorId="0" shapeId="0" xr:uid="{00000000-0006-0000-0100-000006000000}">
      <text>
        <r>
          <rPr>
            <i/>
            <sz val="12"/>
            <color indexed="81"/>
            <rFont val="Times New Roman"/>
            <family val="1"/>
          </rPr>
          <t>Dragonscale Armor -2</t>
        </r>
      </text>
    </comment>
    <comment ref="F33" authorId="0" shapeId="0" xr:uid="{00000000-0006-0000-0100-000007000000}">
      <text>
        <r>
          <rPr>
            <i/>
            <sz val="12"/>
            <color indexed="81"/>
            <rFont val="Times New Roman"/>
            <family val="1"/>
          </rPr>
          <t>Dragonscale Armor -2</t>
        </r>
      </text>
    </comment>
    <comment ref="F38" authorId="0" shapeId="0" xr:uid="{00000000-0006-0000-0100-000008000000}">
      <text>
        <r>
          <rPr>
            <sz val="12"/>
            <color indexed="81"/>
            <rFont val="Times New Roman"/>
            <family val="1"/>
          </rPr>
          <t>Skill Focus +3</t>
        </r>
      </text>
    </comment>
    <comment ref="F39" authorId="0" shapeId="0" xr:uid="{00000000-0006-0000-0100-000009000000}">
      <text>
        <r>
          <rPr>
            <i/>
            <sz val="12"/>
            <color indexed="81"/>
            <rFont val="Times New Roman"/>
            <family val="1"/>
          </rPr>
          <t>Dragonscale Armor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200-00000100000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A3" authorId="0" shapeId="0" xr:uid="{D4A113F8-99D7-4D3B-B76F-2F857E17CCA3}">
      <text>
        <r>
          <rPr>
            <sz val="12"/>
            <color indexed="81"/>
            <rFont val="Times New Roman"/>
            <family val="1"/>
          </rPr>
          <t xml:space="preserve">You can make exceptionally powerful melee attacks.
</t>
        </r>
        <r>
          <rPr>
            <b/>
            <sz val="12"/>
            <color indexed="81"/>
            <rFont val="Times New Roman"/>
            <family val="1"/>
          </rPr>
          <t xml:space="preserve">Prerequisite:  </t>
        </r>
        <r>
          <rPr>
            <sz val="12"/>
            <color indexed="81"/>
            <rFont val="Times New Roman"/>
            <family val="1"/>
          </rPr>
          <t xml:space="preserve">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C3" authorId="0" shapeId="0" xr:uid="{00000000-0006-0000-0200-000003000000}">
      <text>
        <r>
          <rPr>
            <b/>
            <sz val="12"/>
            <color indexed="81"/>
            <rFont val="Times New Roman"/>
            <family val="1"/>
          </rPr>
          <t xml:space="preserve">Touch of Vitality (Su):  </t>
        </r>
        <r>
          <rPr>
            <sz val="12"/>
            <color indexed="81"/>
            <rFont val="Times New Roman"/>
            <family val="1"/>
          </rPr>
          <t>At 6th level, you can heal the wounds of living creatures (your own or those of others) by touch.  Each day you can heal a number of points of damage equal to twice your class level × your Charisma bonus.  For example, a 7th-level dragon shaman with a Charisma score of 14 (+2 bonus) can heal 28 points of damage.  You can choose to divide your healing among multiple recipients, and you don’t have to use it all at once.  Using your touch of vitality is a standard action.  It has no effect on undead.
Beginning at 11th level, you can choose to spend some of the healing bestowed by your touch of vitality to remove other harmful conditions affecting the target.
For every 5 points of your healing ability you expend, you can cure 1 point of ability damage or remove the dazed, fatigued, or sickened condition from one individual.  For every 10 points of your healing ability you expend, you can remove the exhausted, nauseated, poisoned, or stunned condition from one individual.
For every 20 points of your healing ability you expend, you can remove a negative level or the blinded, deafened, or diseased condition from one individual.
You can remove a condition (or more than one condition) and heal damage with the same touch, so long as you expend the required number of points.  For example, if you wanted to heal 12 points of damage and remove the blinded and exhausted conditions from a target, you would have to expend 42 points (12 hit points restored plus 20 points for blinded plus 10 points for exhausted).
PHB II 13</t>
        </r>
      </text>
    </comment>
    <comment ref="A4" authorId="0" shapeId="0" xr:uid="{00000000-0006-0000-0200-000004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5" authorId="0" shapeId="0" xr:uid="{00000000-0006-0000-0200-000005000000}">
      <text>
        <r>
          <rPr>
            <sz val="12"/>
            <color indexed="81"/>
            <rFont val="Times New Roman"/>
            <family val="1"/>
          </rPr>
          <t xml:space="preserve">Choose one type of weapon, such as greataxe, for which you have already selected the Weapon Focus feat.  You can also choose unarmed strike or grapple as your weapon for purposes of this feat.
You deal extra damage when using this weapon.
</t>
        </r>
        <r>
          <rPr>
            <b/>
            <sz val="12"/>
            <color indexed="81"/>
            <rFont val="Times New Roman"/>
            <family val="1"/>
          </rPr>
          <t xml:space="preserve">Prerequisites:  </t>
        </r>
        <r>
          <rPr>
            <sz val="12"/>
            <color indexed="81"/>
            <rFont val="Times New Roman"/>
            <family val="1"/>
          </rPr>
          <t xml:space="preserve">Proficiency with selected weapon, Weapon Focus with selected weapon, fighter level 4th.
</t>
        </r>
        <r>
          <rPr>
            <b/>
            <sz val="12"/>
            <color indexed="81"/>
            <rFont val="Times New Roman"/>
            <family val="1"/>
          </rPr>
          <t xml:space="preserve">Benefit:  </t>
        </r>
        <r>
          <rPr>
            <sz val="12"/>
            <color indexed="81"/>
            <rFont val="Times New Roman"/>
            <family val="1"/>
          </rPr>
          <t xml:space="preserve">You gain a +2 bonus on all damage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Specialization as one of his fighter bonus feats (see page 38).
PHB 102</t>
        </r>
      </text>
    </comment>
    <comment ref="C5" authorId="0" shapeId="0" xr:uid="{00000000-0006-0000-0200-000006000000}">
      <text>
        <r>
          <rPr>
            <sz val="12"/>
            <color indexed="81"/>
            <rFont val="Times New Roman"/>
            <family val="1"/>
          </rPr>
          <t>You can walk across icy surfaces without reducing your speed or making Balance checks (always active).
PHB II 13</t>
        </r>
      </text>
    </comment>
    <comment ref="A6" authorId="0" shapeId="0" xr:uid="{00000000-0006-0000-0200-000007000000}">
      <text>
        <r>
          <rPr>
            <sz val="12"/>
            <color indexed="81"/>
            <rFont val="Times New Roman"/>
            <family val="1"/>
          </rPr>
          <t xml:space="preserve">You can respond quickly and repeatedly to opponents who let their defenses down.
</t>
        </r>
        <r>
          <rPr>
            <b/>
            <sz val="12"/>
            <color indexed="81"/>
            <rFont val="Times New Roman"/>
            <family val="1"/>
          </rPr>
          <t xml:space="preserve">Benefit:  </t>
        </r>
        <r>
          <rPr>
            <sz val="12"/>
            <color indexed="81"/>
            <rFont val="Times New Roman"/>
            <family val="1"/>
          </rPr>
          <t xml:space="preserve">When foes leave themselves open, you may make a number of additional attacks of opportunity equal to your Dexterity bonus.  For example, a fighter with a Dexterity of 15 can make a total of three attacks of opportunity in 1 round—the one attack of opportunity any character is entitled to, plus two more because of his +2 Dexterity bonus.  If four goblins move out of the character’s threatened squares, he can make one attack of opportunity each against three of the four. You can still make only one attack of opportunity per opportunity.
With this feat, you may also make attacks of opportunity while flat-footed.
</t>
        </r>
        <r>
          <rPr>
            <b/>
            <sz val="12"/>
            <color indexed="81"/>
            <rFont val="Times New Roman"/>
            <family val="1"/>
          </rPr>
          <t xml:space="preserve">Normal:  </t>
        </r>
        <r>
          <rPr>
            <sz val="12"/>
            <color indexed="81"/>
            <rFont val="Times New Roman"/>
            <family val="1"/>
          </rPr>
          <t xml:space="preserve">A character without this feat can make only one attack of opportunity per round and can’t make attacks of opportunity while flat-footed.
</t>
        </r>
        <r>
          <rPr>
            <b/>
            <sz val="12"/>
            <color indexed="81"/>
            <rFont val="Times New Roman"/>
            <family val="1"/>
          </rPr>
          <t xml:space="preserve">Special:  </t>
        </r>
        <r>
          <rPr>
            <sz val="12"/>
            <color indexed="81"/>
            <rFont val="Times New Roman"/>
            <family val="1"/>
          </rPr>
          <t>The Combat Reflexes feat does not allow a rogue to use her opportunist ability (see page 51) more than once per round.
A fighter may select Combat Reflexes as one of his fighter bonus feats (see page 38).
A monk may select Combat Reflexes as a bonus feat at 2nd level.
PHB 92</t>
        </r>
      </text>
    </comment>
    <comment ref="A7" authorId="0" shapeId="0" xr:uid="{00000000-0006-0000-0200-000008000000}">
      <text>
        <r>
          <rPr>
            <sz val="12"/>
            <color indexed="81"/>
            <rFont val="Times New Roman"/>
            <family val="1"/>
          </rPr>
          <t xml:space="preserve">Choose one of the creature’s special attacks. This attack becomes more potent than normal.
</t>
        </r>
        <r>
          <rPr>
            <b/>
            <sz val="12"/>
            <color indexed="81"/>
            <rFont val="Times New Roman"/>
            <family val="1"/>
          </rPr>
          <t xml:space="preserve">Prerequisite:  </t>
        </r>
        <r>
          <rPr>
            <sz val="12"/>
            <color indexed="81"/>
            <rFont val="Times New Roman"/>
            <family val="1"/>
          </rPr>
          <t xml:space="preserve">Special attack.
</t>
        </r>
        <r>
          <rPr>
            <b/>
            <sz val="12"/>
            <color indexed="81"/>
            <rFont val="Times New Roman"/>
            <family val="1"/>
          </rPr>
          <t xml:space="preserve">Benefit:  </t>
        </r>
        <r>
          <rPr>
            <sz val="12"/>
            <color indexed="81"/>
            <rFont val="Times New Roman"/>
            <family val="1"/>
          </rPr>
          <t xml:space="preserve">Add +2 to the DC for all saving throws against the special attack on which the creature focuses.
</t>
        </r>
        <r>
          <rPr>
            <b/>
            <sz val="12"/>
            <color indexed="81"/>
            <rFont val="Times New Roman"/>
            <family val="1"/>
          </rPr>
          <t xml:space="preserve">Special:  </t>
        </r>
        <r>
          <rPr>
            <sz val="12"/>
            <color indexed="81"/>
            <rFont val="Times New Roman"/>
            <family val="1"/>
          </rPr>
          <t>A creature can gain this feat multiple times.  Its effects do not stack.  Each time the creature takes the feat, it applies to a different special attack.
MM I 303</t>
        </r>
      </text>
    </comment>
    <comment ref="C8" authorId="0" shapeId="0" xr:uid="{00000000-0006-0000-0200-000009000000}">
      <text>
        <r>
          <rPr>
            <sz val="12"/>
            <color indexed="81"/>
            <rFont val="Times New Roman"/>
            <family val="1"/>
          </rPr>
          <t>At 9th level, you gain immunity to the energy type of the breath weapon you gained at 4th level.
PHB II 13</t>
        </r>
      </text>
    </comment>
    <comment ref="C9" authorId="0" shapeId="0" xr:uid="{00000000-0006-0000-0200-00000A000000}">
      <text>
        <r>
          <rPr>
            <sz val="12"/>
            <color indexed="81"/>
            <rFont val="Times New Roman"/>
            <family val="1"/>
          </rPr>
          <t>At 4th level, you gain immunity to paralysis and sleep effects.  You also become immue to the frightful presence of dragons.
PHB II 13</t>
        </r>
      </text>
    </comment>
    <comment ref="C11" authorId="0" shapeId="0" xr:uid="{00000000-0006-0000-0200-00000B000000}">
      <text>
        <r>
          <rPr>
            <sz val="12"/>
            <color indexed="81"/>
            <rFont val="Times New Roman"/>
            <family val="1"/>
          </rPr>
          <t>Any creature striking you or your ally with a natural attack or a nonreach melee weapon is dealt 2 points of energy damage for each point of your aura bonus.  The energy type is that of your totem dragon’s damage-dealing breath weapon.
PHB II 13</t>
        </r>
      </text>
    </comment>
    <comment ref="C12" authorId="0" shapeId="0" xr:uid="{00000000-0006-0000-0200-00000C000000}">
      <text>
        <r>
          <rPr>
            <sz val="12"/>
            <color indexed="81"/>
            <rFont val="Times New Roman"/>
            <family val="1"/>
          </rPr>
          <t>Bonus on melee damage rolls equal to your aura bonus.
PHB II 13</t>
        </r>
      </text>
    </comment>
    <comment ref="C13" authorId="0" shapeId="0" xr:uid="{00000000-0006-0000-0200-00000D000000}">
      <text>
        <r>
          <rPr>
            <sz val="12"/>
            <color indexed="81"/>
            <rFont val="Times New Roman"/>
            <family val="1"/>
          </rPr>
          <t>Bonus on Bluff, Diplomacy, and Intimidate checks equal to your aura bonus.
PHB II 13</t>
        </r>
      </text>
    </comment>
    <comment ref="C14" authorId="0" shapeId="0" xr:uid="{00000000-0006-0000-0200-00000E000000}">
      <text>
        <r>
          <rPr>
            <sz val="12"/>
            <color indexed="81"/>
            <rFont val="Times New Roman"/>
            <family val="1"/>
          </rPr>
          <t>Resistance to your totem dragon’s energy type equal to 5 x your aura bonus.
PHB II 13</t>
        </r>
      </text>
    </comment>
    <comment ref="C15" authorId="0" shapeId="0" xr:uid="{00000000-0006-0000-0200-00000F000000}">
      <text>
        <r>
          <rPr>
            <sz val="12"/>
            <color indexed="81"/>
            <rFont val="Times New Roman"/>
            <family val="1"/>
          </rPr>
          <t>Bonus on Listen and Spot checks, as well as on initiative checks, equal to your aura bonus.
PHB II 13</t>
        </r>
      </text>
    </comment>
    <comment ref="C16" authorId="0" shapeId="0" xr:uid="{00000000-0006-0000-0200-000010000000}">
      <text>
        <r>
          <rPr>
            <sz val="12"/>
            <color indexed="81"/>
            <rFont val="Times New Roman"/>
            <family val="1"/>
          </rPr>
          <t>DR 1/magic for each point of your aura bonus (up to 5).
PHB II 13</t>
        </r>
      </text>
    </comment>
    <comment ref="C17" authorId="0" shapeId="0" xr:uid="{00000000-0006-0000-0200-000011000000}">
      <text>
        <r>
          <rPr>
            <sz val="12"/>
            <color indexed="81"/>
            <rFont val="Times New Roman"/>
            <family val="1"/>
          </rPr>
          <t>Fast healing 1 for each point of your aura bonus, but only affects characters at or below one-half their full normal hit points.
PHB II 13</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3" authorId="0" shapeId="0" xr:uid="{00000000-0006-0000-0300-000001000000}">
      <text>
        <r>
          <rPr>
            <i/>
            <sz val="12"/>
            <color indexed="81"/>
            <rFont val="Times New Roman"/>
            <family val="1"/>
          </rPr>
          <t>Weapon Specialization +2</t>
        </r>
      </text>
    </comment>
    <comment ref="C4" authorId="0" shapeId="0" xr:uid="{00000000-0006-0000-0300-000002000000}">
      <text>
        <r>
          <rPr>
            <i/>
            <sz val="12"/>
            <color indexed="81"/>
            <rFont val="Times New Roman"/>
            <family val="1"/>
          </rPr>
          <t>Weapon Specialization +2</t>
        </r>
      </text>
    </comment>
    <comment ref="C12" authorId="0" shapeId="0" xr:uid="{00000000-0006-0000-0300-000003000000}">
      <text>
        <r>
          <rPr>
            <i/>
            <sz val="12"/>
            <color indexed="81"/>
            <rFont val="Times New Roman"/>
            <family val="1"/>
          </rPr>
          <t>Weapon Specialization +2</t>
        </r>
      </text>
    </comment>
    <comment ref="C13" authorId="0" shapeId="0" xr:uid="{00000000-0006-0000-0300-000004000000}">
      <text>
        <r>
          <rPr>
            <i/>
            <sz val="12"/>
            <color indexed="81"/>
            <rFont val="Times New Roman"/>
            <family val="1"/>
          </rPr>
          <t>dragon spirit cincture +1d6</t>
        </r>
      </text>
    </comment>
    <comment ref="D16" authorId="0" shapeId="0" xr:uid="{00000000-0006-0000-0300-000005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<sst xmlns="http://schemas.openxmlformats.org/spreadsheetml/2006/main" count="385" uniqueCount="214">
  <si>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</si>
  <si>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</si>
  <si>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</si>
  <si>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</si>
  <si>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</si>
  <si>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</si>
  <si>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</si>
  <si>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</si>
  <si>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</si>
  <si>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</si>
  <si>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</si>
  <si>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</si>
  <si>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</si>
  <si>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</si>
  <si>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</si>
  <si>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</si>
  <si>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</si>
  <si>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</si>
  <si>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</si>
  <si>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</si>
  <si>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</si>
  <si>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</si>
  <si>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</si>
  <si>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</si>
  <si>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</si>
  <si>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</si>
  <si>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</si>
  <si>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</si>
  <si>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</si>
  <si>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</si>
  <si>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</si>
  <si>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</si>
  <si>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</si>
  <si>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</si>
  <si>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</si>
  <si>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</si>
  <si>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</si>
  <si>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</si>
  <si>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</si>
  <si>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</si>
  <si>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</si>
  <si>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</si>
  <si>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</si>
  <si>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</si>
  <si>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</si>
  <si>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</si>
  <si>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</si>
  <si>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</si>
  <si>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</si>
  <si>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</si>
  <si>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</si>
  <si>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</si>
  <si>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</si>
  <si>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</si>
  <si>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</si>
  <si>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</si>
  <si>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</si>
  <si>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</si>
  <si>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</si>
  <si>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</si>
  <si>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</si>
  <si>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</si>
  <si>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</si>
  <si>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</si>
  <si>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</si>
  <si>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</si>
  <si>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</si>
  <si>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</si>
  <si>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Equipment Carried</t>
  </si>
  <si>
    <t>Check</t>
  </si>
  <si>
    <t>Arcane</t>
  </si>
  <si>
    <t>Speed</t>
  </si>
  <si>
    <t>Speak Language</t>
  </si>
  <si>
    <t>Sleight of Hand</t>
  </si>
  <si>
    <t>Survival</t>
  </si>
  <si>
    <t>Class Features</t>
  </si>
  <si>
    <t>Weapon Proficiencies</t>
  </si>
  <si>
    <t>Shields (not tower)</t>
  </si>
  <si>
    <t>Atk</t>
  </si>
  <si>
    <t>Feats</t>
  </si>
  <si>
    <t>Roll</t>
  </si>
  <si>
    <t>Skill/Save</t>
  </si>
  <si>
    <t>2</t>
  </si>
  <si>
    <t>Perform:  [type]</t>
  </si>
  <si>
    <t>Profession:  [type]</t>
  </si>
  <si>
    <t>Scrolls and Potions</t>
  </si>
  <si>
    <t>CLev</t>
  </si>
  <si>
    <t>Value</t>
  </si>
  <si>
    <t>Simple Weapons</t>
  </si>
  <si>
    <t>Total Equity:</t>
  </si>
  <si>
    <t>NPC</t>
  </si>
  <si>
    <t>Female</t>
  </si>
  <si>
    <t>Light &amp; Medium Armor</t>
  </si>
  <si>
    <t>Human</t>
  </si>
  <si>
    <t>Aura:  Power</t>
  </si>
  <si>
    <t>Aura:  Vigor</t>
  </si>
  <si>
    <t>Aura:  Toughness</t>
  </si>
  <si>
    <t>dragon shaman 1</t>
  </si>
  <si>
    <t>Human:  Endurance</t>
  </si>
  <si>
    <t>x3</t>
  </si>
  <si>
    <t>Piercing</t>
  </si>
  <si>
    <t>Dragon Shamaness</t>
  </si>
  <si>
    <t>-</t>
  </si>
  <si>
    <t>dragon shaman 2</t>
  </si>
  <si>
    <t>dragon shaman 3</t>
  </si>
  <si>
    <t>dragon shaman 4</t>
  </si>
  <si>
    <t>dragon shaman 5</t>
  </si>
  <si>
    <t>dragon shaman 6</t>
  </si>
  <si>
    <t>dragon shaman 7</t>
  </si>
  <si>
    <t>dragon shaman 8</t>
  </si>
  <si>
    <t>dragon shaman 9</t>
  </si>
  <si>
    <t>dragon shaman 10</t>
  </si>
  <si>
    <t>human</t>
  </si>
  <si>
    <t>3</t>
  </si>
  <si>
    <t>Grapple, Unarmed Strike</t>
  </si>
  <si>
    <t>x2</t>
  </si>
  <si>
    <t>Bludgeon</t>
  </si>
  <si>
    <t>Aura:  Senses</t>
  </si>
  <si>
    <t>Senses +1</t>
  </si>
  <si>
    <t>30’</t>
  </si>
  <si>
    <t>3rd:  Weapon Focus ~ Spears</t>
  </si>
  <si>
    <t>Bolts</t>
  </si>
  <si>
    <t>Draconic Resolve</t>
  </si>
  <si>
    <t>Immunity to Paralysis and Sleep effects</t>
  </si>
  <si>
    <t>17-20, x2</t>
  </si>
  <si>
    <t>Electric Bolts</t>
  </si>
  <si>
    <t>Sonic Bolts</t>
  </si>
  <si>
    <t>Cold Bolts</t>
  </si>
  <si>
    <t>1d6 electric</t>
  </si>
  <si>
    <t>1d6 sonic</t>
  </si>
  <si>
    <t>1d6 cold</t>
  </si>
  <si>
    <t>Craft:  [type]</t>
  </si>
  <si>
    <t>Aura:  Presence</t>
  </si>
  <si>
    <t>1</t>
  </si>
  <si>
    <t>1d4</t>
  </si>
  <si>
    <t>19-20, x2</t>
  </si>
  <si>
    <t>Prcg/Slsh</t>
  </si>
  <si>
    <t>Common, Draconic</t>
  </si>
  <si>
    <t>Undeadbane Bolts</t>
  </si>
  <si>
    <t>Lycanbane Bolts</t>
  </si>
  <si>
    <t>+2</t>
  </si>
  <si>
    <t>Bonus to hit and damage specific to target</t>
  </si>
  <si>
    <t>Dragon Spirit Cincture</t>
  </si>
  <si>
    <t>+1 die to breath weapon damage</t>
  </si>
  <si>
    <t>Natural Armor</t>
  </si>
  <si>
    <t>10’</t>
  </si>
  <si>
    <t>Aura:  Energy Shield</t>
  </si>
  <si>
    <t>MIC 95</t>
  </si>
  <si>
    <t>Heward’s Handy Haversack</t>
  </si>
  <si>
    <t>% of 100-lb limit</t>
  </si>
  <si>
    <t>Draconic Aura +3</t>
  </si>
  <si>
    <t>dragon shaman 11</t>
  </si>
  <si>
    <t>Touch of Vitality:  Remove Conditions</t>
  </si>
  <si>
    <t>dragon shaman 12</t>
  </si>
  <si>
    <t>20’</t>
  </si>
  <si>
    <t>Barkskin</t>
  </si>
  <si>
    <t>two</t>
  </si>
  <si>
    <t>Ring of Protection +2</t>
  </si>
  <si>
    <t>Totem skill</t>
  </si>
  <si>
    <t>Breath Weapon (cone of cold)</t>
  </si>
  <si>
    <t>+1d6</t>
  </si>
  <si>
    <t>1d6</t>
  </si>
  <si>
    <r>
      <t xml:space="preserve">Potion of </t>
    </r>
    <r>
      <rPr>
        <i/>
        <sz val="12"/>
        <rFont val="Times New Roman"/>
        <family val="1"/>
      </rPr>
      <t>Water Breathing</t>
    </r>
  </si>
  <si>
    <r>
      <t xml:space="preserve">Potion of </t>
    </r>
    <r>
      <rPr>
        <i/>
        <sz val="12"/>
        <rFont val="Times New Roman"/>
        <family val="1"/>
      </rPr>
      <t>Bear’s Endurance</t>
    </r>
  </si>
  <si>
    <r>
      <t xml:space="preserve">Potion of </t>
    </r>
    <r>
      <rPr>
        <i/>
        <sz val="12"/>
        <rFont val="Times New Roman"/>
        <family val="1"/>
      </rPr>
      <t>Eagle’s Splendor</t>
    </r>
  </si>
  <si>
    <t>Chaotic Evil</t>
  </si>
  <si>
    <t>White</t>
  </si>
  <si>
    <r>
      <t>86</t>
    </r>
    <r>
      <rPr>
        <sz val="13"/>
        <rFont val="Times New Roman"/>
        <family val="1"/>
      </rPr>
      <t>/</t>
    </r>
    <r>
      <rPr>
        <sz val="13"/>
        <color indexed="52"/>
        <rFont val="Times New Roman"/>
        <family val="1"/>
      </rPr>
      <t>173</t>
    </r>
    <r>
      <rPr>
        <sz val="13"/>
        <rFont val="Times New Roman"/>
        <family val="1"/>
      </rPr>
      <t>/</t>
    </r>
    <r>
      <rPr>
        <sz val="13"/>
        <color indexed="10"/>
        <rFont val="Times New Roman"/>
        <family val="1"/>
      </rPr>
      <t>260</t>
    </r>
  </si>
  <si>
    <t>Icewalker</t>
  </si>
  <si>
    <t>Skill Focus +3:  Hide, Swim</t>
  </si>
  <si>
    <t>Dynasty</t>
  </si>
  <si>
    <t>Paledrake</t>
  </si>
  <si>
    <t>30’ - 10’</t>
  </si>
  <si>
    <t>Knowledge:  Nature</t>
  </si>
  <si>
    <t>Energy Immunity:  Cold</t>
  </si>
  <si>
    <t>Breath Weapon:  Cone of Cold</t>
  </si>
  <si>
    <t>Totem Dragon:  White</t>
  </si>
  <si>
    <t>White Dragon Scale Mail +1</t>
  </si>
  <si>
    <t>White Dragonhide Cloak +1</t>
  </si>
  <si>
    <t>1st:  Power Attack</t>
  </si>
  <si>
    <t>9th:  Combat Reflexes</t>
  </si>
  <si>
    <t>Returning Shortspear +2</t>
  </si>
  <si>
    <t>Returning Shortspear, 2nd attack</t>
  </si>
  <si>
    <t>Eager Dagger</t>
  </si>
  <si>
    <t>Ranged Touch Attack</t>
  </si>
  <si>
    <t>6th:  Weapon Specialization ~ Spears</t>
  </si>
  <si>
    <t>12th:  Ability Focus ~ Breath Weapon</t>
  </si>
  <si>
    <t>Light Crossbow +1</t>
  </si>
  <si>
    <t>Light Crossbow +1, 2nd attack</t>
  </si>
  <si>
    <t>Reins of Ascension</t>
  </si>
  <si>
    <t>Vanguard Treads</t>
  </si>
  <si>
    <t>Ring of Entropic Deflection</t>
  </si>
  <si>
    <t>MW Sap</t>
  </si>
  <si>
    <t>Necklace of White Dragon Scales</t>
  </si>
  <si>
    <t>?</t>
  </si>
  <si>
    <t>Race</t>
  </si>
  <si>
    <t>Sex</t>
  </si>
  <si>
    <t>Class</t>
  </si>
  <si>
    <t>Alignment</t>
  </si>
  <si>
    <t>Totem Dragon</t>
  </si>
  <si>
    <t>Attack Bonus</t>
  </si>
  <si>
    <t>Initiative</t>
  </si>
  <si>
    <t>Strength</t>
  </si>
  <si>
    <t>Lb. Capacity</t>
  </si>
  <si>
    <t>Dexterity</t>
  </si>
  <si>
    <t>Lb. Carried</t>
  </si>
  <si>
    <t>Constitution</t>
  </si>
  <si>
    <t>Hit Points</t>
  </si>
  <si>
    <t>Intelligence</t>
  </si>
  <si>
    <t>Touch AC</t>
  </si>
  <si>
    <t>Wisdom</t>
  </si>
  <si>
    <t>FF AC</t>
  </si>
  <si>
    <t>Charisma</t>
  </si>
  <si>
    <t>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</si>
</sst>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7">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i/>
      <sz val="20"/>
      <color indexed="17"/>
      <name val="Times New Roman"/>
      <family val="1"/>
    </font>
    <font>
      <i/>
      <sz val="22"/>
      <color rgb="FFFFC000"/>
      <name val="Times New Roman"/>
      <family val="1"/>
    </font>
    <font>
      <i/>
      <sz val="12"/>
      <color indexed="81"/>
      <name val="Times New Roman"/>
      <family val="1"/>
    </font>
    <font>
      <sz val="12"/>
      <color theme="0"/>
      <name val="Times New Roman"/>
      <family val="1"/>
    </font>
    <font>
      <sz val="12"/>
      <color rgb="FF0000FF"/>
      <name val="Times New Roman"/>
      <family val="1"/>
    </font>
    <font>
      <i/>
      <sz val="12"/>
      <name val="Times New Roman"/>
      <family val="1"/>
    </font>
  </fonts>
  <fills count="19">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theme="7" tint="0.39997558519241921"/>
        <bgColor indexed="64"/>
      </patternFill>
    </fill>
    <fill>
      <patternFill patternType="solid">
        <fgColor rgb="FFCCFFCC"/>
        <bgColor indexed="55"/>
      </patternFill>
    </fill>
    <fill>
      <patternFill patternType="solid">
        <fgColor theme="9" tint="-0.499984740745262"/>
        <bgColor indexed="64"/>
      </patternFill>
    </fill>
    <fill>
      <patternFill patternType="solid">
        <fgColor rgb="FF00FFFF"/>
        <bgColor indexed="64"/>
      </patternFill>
    </fill>
    <fill>
      <patternFill patternType="solid">
        <fgColor theme="0" tint="-0.14999847407452621"/>
        <bgColor indexed="64"/>
      </patternFill>
    </fill>
    <fill>
      <patternFill patternType="solid">
        <fgColor rgb="FFFFFF00"/>
        <bgColor indexed="64"/>
      </patternFill>
    </fill>
  </fills>
  <borders count="12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indexed="64"/>
      </right>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xf numFmtId="0" fontId="1" fillId="0" borderId="0"/>
    <xf numFmtId="0" fontId="1" fillId="0" borderId="0"/>
  </cellStyleXfs>
  <cellXfs count="434">
    <xf numFmtId="0" fontId="0" fillId="0" borderId="0" xfId="0"/>
    <xf numFmtId="0" fontId="11" fillId="3" borderId="60" xfId="0" applyFont="1" applyFill="1" applyBorder="1" applyAlignment="1">
      <alignment horizontal="centerContinuous" vertical="center"/>
    </xf>
    <xf numFmtId="0" fontId="11" fillId="3" borderId="37"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37" xfId="0" applyNumberFormat="1" applyFont="1" applyFill="1" applyBorder="1" applyAlignment="1">
      <alignment horizontal="center" vertical="center" wrapText="1"/>
    </xf>
    <xf numFmtId="0" fontId="11" fillId="3" borderId="37" xfId="0" applyNumberFormat="1" applyFont="1" applyFill="1" applyBorder="1" applyAlignment="1">
      <alignment horizontal="center" vertical="center"/>
    </xf>
    <xf numFmtId="0" fontId="11" fillId="3" borderId="61" xfId="0" applyFont="1" applyFill="1" applyBorder="1" applyAlignment="1">
      <alignment horizontal="center" vertical="center"/>
    </xf>
    <xf numFmtId="0" fontId="3" fillId="0" borderId="0" xfId="0" applyFont="1" applyBorder="1" applyAlignment="1">
      <alignment vertical="center"/>
    </xf>
    <xf numFmtId="0" fontId="48" fillId="0" borderId="30" xfId="0" applyFont="1" applyBorder="1" applyAlignment="1">
      <alignment horizontal="centerContinuous" vertical="center" wrapText="1"/>
    </xf>
    <xf numFmtId="0" fontId="49" fillId="0" borderId="30" xfId="0" applyFont="1" applyBorder="1" applyAlignment="1">
      <alignment horizontal="centerContinuous" vertical="center" wrapText="1"/>
    </xf>
    <xf numFmtId="1" fontId="45" fillId="11" borderId="72" xfId="0" applyNumberFormat="1" applyFont="1" applyFill="1" applyBorder="1" applyAlignment="1">
      <alignment horizontal="center" vertical="center"/>
    </xf>
    <xf numFmtId="0" fontId="1" fillId="13" borderId="45" xfId="0" applyFont="1" applyFill="1" applyBorder="1" applyAlignment="1">
      <alignment horizontal="center" vertical="center"/>
    </xf>
    <xf numFmtId="164" fontId="1" fillId="13" borderId="45" xfId="0" applyNumberFormat="1" applyFont="1" applyFill="1" applyBorder="1" applyAlignment="1">
      <alignment horizontal="center" vertical="center"/>
    </xf>
    <xf numFmtId="0" fontId="6" fillId="0" borderId="55" xfId="0" applyFont="1" applyFill="1" applyBorder="1" applyAlignment="1">
      <alignment horizontal="centerContinuous" vertical="center"/>
    </xf>
    <xf numFmtId="0" fontId="1" fillId="13" borderId="45" xfId="2" applyNumberFormat="1" applyFont="1" applyFill="1" applyBorder="1" applyAlignment="1">
      <alignment horizontal="center" vertical="center"/>
    </xf>
    <xf numFmtId="0" fontId="20" fillId="2" borderId="58" xfId="0" applyFont="1" applyFill="1" applyBorder="1" applyAlignment="1">
      <alignment horizontal="left" vertical="center"/>
    </xf>
    <xf numFmtId="0" fontId="3" fillId="2" borderId="58" xfId="0" applyFont="1" applyFill="1" applyBorder="1" applyAlignment="1">
      <alignment horizontal="centerContinuous" vertical="center"/>
    </xf>
    <xf numFmtId="0" fontId="4" fillId="2" borderId="58" xfId="0" applyFont="1" applyFill="1" applyBorder="1" applyAlignment="1">
      <alignment horizontal="centerContinuous" vertical="center"/>
    </xf>
    <xf numFmtId="0" fontId="34" fillId="2" borderId="59"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62" xfId="0" applyFont="1" applyFill="1" applyBorder="1" applyAlignment="1">
      <alignment horizontal="right" vertical="center"/>
    </xf>
    <xf numFmtId="0" fontId="5" fillId="4" borderId="63" xfId="0" applyFont="1" applyFill="1" applyBorder="1" applyAlignment="1">
      <alignment horizontal="right" vertical="center"/>
    </xf>
    <xf numFmtId="49" fontId="6" fillId="0" borderId="64"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49" fontId="6" fillId="0" borderId="99" xfId="0" applyNumberFormat="1" applyFont="1" applyBorder="1" applyAlignment="1">
      <alignment horizontal="centerContinuous" vertical="center"/>
    </xf>
    <xf numFmtId="0" fontId="1" fillId="0" borderId="100" xfId="0" applyFont="1" applyBorder="1" applyAlignment="1">
      <alignment horizontal="centerContinuous" vertical="center"/>
    </xf>
    <xf numFmtId="0" fontId="46"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7" fillId="4" borderId="52"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0" xfId="0" applyFont="1" applyFill="1" applyBorder="1" applyAlignment="1">
      <alignment horizontal="right" vertical="center"/>
    </xf>
    <xf numFmtId="164" fontId="5" fillId="7"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 fillId="0" borderId="27" xfId="0" applyFont="1" applyBorder="1" applyAlignment="1">
      <alignment horizontal="center" vertical="center"/>
    </xf>
    <xf numFmtId="0" fontId="37" fillId="2" borderId="4" xfId="0" applyFont="1" applyFill="1" applyBorder="1" applyAlignment="1">
      <alignment horizontal="right" vertical="center"/>
    </xf>
    <xf numFmtId="0" fontId="10" fillId="4" borderId="50" xfId="0" applyFont="1" applyFill="1" applyBorder="1" applyAlignment="1">
      <alignment horizontal="right" vertical="center"/>
    </xf>
    <xf numFmtId="0" fontId="22" fillId="2" borderId="4" xfId="0" applyFont="1" applyFill="1" applyBorder="1" applyAlignment="1">
      <alignment horizontal="right" vertical="center"/>
    </xf>
    <xf numFmtId="0" fontId="13" fillId="2" borderId="15" xfId="0" applyFont="1" applyFill="1" applyBorder="1" applyAlignment="1">
      <alignment horizontal="right" vertical="center"/>
    </xf>
    <xf numFmtId="49" fontId="25" fillId="0" borderId="23" xfId="0" applyNumberFormat="1" applyFont="1" applyBorder="1" applyAlignment="1">
      <alignment horizontal="center" vertical="center"/>
    </xf>
    <xf numFmtId="0" fontId="10" fillId="4" borderId="51"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51" fillId="0" borderId="22"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0"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0" fontId="41"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 fontId="6" fillId="0" borderId="24" xfId="0" applyNumberFormat="1" applyFont="1" applyFill="1" applyBorder="1" applyAlignment="1">
      <alignment horizontal="center" vertical="center" wrapText="1"/>
    </xf>
    <xf numFmtId="0" fontId="38" fillId="11" borderId="25"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2"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1" fillId="0" borderId="31" xfId="0" applyFont="1" applyFill="1" applyBorder="1" applyAlignment="1">
      <alignment vertical="center"/>
    </xf>
    <xf numFmtId="0" fontId="5" fillId="0" borderId="46" xfId="0" applyFont="1" applyFill="1" applyBorder="1" applyAlignment="1">
      <alignment horizontal="center" vertical="center"/>
    </xf>
    <xf numFmtId="0" fontId="6" fillId="0" borderId="46" xfId="0" applyFont="1" applyFill="1" applyBorder="1" applyAlignment="1">
      <alignment horizontal="center" vertical="center"/>
    </xf>
    <xf numFmtId="0" fontId="43" fillId="0" borderId="46" xfId="0" applyFont="1" applyFill="1" applyBorder="1" applyAlignment="1">
      <alignment horizontal="center" vertical="center" wrapText="1"/>
    </xf>
    <xf numFmtId="0" fontId="6" fillId="0" borderId="46" xfId="0" applyFont="1" applyFill="1" applyBorder="1" applyAlignment="1">
      <alignment horizontal="center" vertical="center" wrapText="1"/>
    </xf>
    <xf numFmtId="1" fontId="6" fillId="0" borderId="46" xfId="0" applyNumberFormat="1" applyFont="1" applyFill="1" applyBorder="1" applyAlignment="1">
      <alignment horizontal="center" vertical="center" wrapText="1"/>
    </xf>
    <xf numFmtId="0" fontId="38" fillId="11" borderId="46" xfId="0" applyNumberFormat="1" applyFont="1" applyFill="1" applyBorder="1" applyAlignment="1">
      <alignment horizontal="center" vertical="center"/>
    </xf>
    <xf numFmtId="0" fontId="6" fillId="0" borderId="32" xfId="0" quotePrefix="1" applyFont="1" applyFill="1" applyBorder="1" applyAlignment="1">
      <alignment horizontal="center" vertical="center"/>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24" xfId="0" applyNumberFormat="1" applyFont="1" applyFill="1" applyBorder="1" applyAlignment="1">
      <alignment horizontal="center" vertical="center"/>
    </xf>
    <xf numFmtId="0" fontId="24" fillId="0" borderId="25"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8" fillId="0" borderId="0" xfId="0" applyFont="1" applyBorder="1" applyAlignment="1">
      <alignment vertical="center"/>
    </xf>
    <xf numFmtId="0" fontId="10" fillId="5" borderId="1" xfId="0" applyFont="1" applyFill="1" applyBorder="1" applyAlignment="1">
      <alignment vertical="center"/>
    </xf>
    <xf numFmtId="0" fontId="6" fillId="5" borderId="24" xfId="0" applyNumberFormat="1" applyFont="1" applyFill="1" applyBorder="1" applyAlignment="1">
      <alignment horizontal="center" vertical="center"/>
    </xf>
    <xf numFmtId="49" fontId="16" fillId="5" borderId="24" xfId="0" applyNumberFormat="1" applyFont="1" applyFill="1" applyBorder="1" applyAlignment="1">
      <alignment horizontal="center" vertical="center"/>
    </xf>
    <xf numFmtId="0" fontId="16" fillId="5" borderId="25" xfId="0" applyNumberFormat="1" applyFont="1" applyFill="1" applyBorder="1" applyAlignment="1">
      <alignment horizontal="center" vertical="center"/>
    </xf>
    <xf numFmtId="0" fontId="10" fillId="5" borderId="25" xfId="0" applyNumberFormat="1" applyFont="1" applyFill="1" applyBorder="1" applyAlignment="1">
      <alignment horizontal="center" vertical="center"/>
    </xf>
    <xf numFmtId="49" fontId="6" fillId="5" borderId="25" xfId="0" applyNumberFormat="1" applyFont="1" applyFill="1" applyBorder="1" applyAlignment="1">
      <alignment horizontal="center" vertical="center"/>
    </xf>
    <xf numFmtId="0" fontId="6" fillId="5" borderId="26" xfId="0" applyNumberFormat="1" applyFont="1" applyFill="1" applyBorder="1" applyAlignment="1">
      <alignment horizontal="center" vertical="center"/>
    </xf>
    <xf numFmtId="0" fontId="30" fillId="0" borderId="0" xfId="0" applyFont="1" applyBorder="1" applyAlignment="1">
      <alignment vertical="center"/>
    </xf>
    <xf numFmtId="0" fontId="6" fillId="0" borderId="26"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16" fillId="6" borderId="24" xfId="0" applyNumberFormat="1" applyFont="1" applyFill="1" applyBorder="1" applyAlignment="1">
      <alignment horizontal="center" vertical="center"/>
    </xf>
    <xf numFmtId="0" fontId="16"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6" fillId="8" borderId="24" xfId="0" applyNumberFormat="1"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8" borderId="26"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12" fillId="5" borderId="1" xfId="0" applyFont="1" applyFill="1" applyBorder="1" applyAlignment="1">
      <alignment vertical="center"/>
    </xf>
    <xf numFmtId="49" fontId="24" fillId="5" borderId="24" xfId="0" applyNumberFormat="1" applyFont="1" applyFill="1" applyBorder="1" applyAlignment="1">
      <alignment horizontal="center" vertical="center"/>
    </xf>
    <xf numFmtId="0" fontId="24" fillId="5" borderId="25" xfId="0" applyNumberFormat="1" applyFont="1" applyFill="1" applyBorder="1" applyAlignment="1">
      <alignment horizontal="center" vertical="center"/>
    </xf>
    <xf numFmtId="0" fontId="12" fillId="5" borderId="25" xfId="0" applyNumberFormat="1" applyFont="1" applyFill="1" applyBorder="1" applyAlignment="1">
      <alignment horizontal="center" vertical="center"/>
    </xf>
    <xf numFmtId="0" fontId="13" fillId="9" borderId="1" xfId="0" applyFont="1" applyFill="1" applyBorder="1" applyAlignment="1">
      <alignment vertical="center"/>
    </xf>
    <xf numFmtId="0" fontId="6" fillId="9" borderId="24" xfId="0" applyNumberFormat="1" applyFont="1" applyFill="1" applyBorder="1" applyAlignment="1">
      <alignment horizontal="center" vertical="center"/>
    </xf>
    <xf numFmtId="49" fontId="27" fillId="9" borderId="24" xfId="0" applyNumberFormat="1" applyFont="1" applyFill="1" applyBorder="1" applyAlignment="1">
      <alignment horizontal="center" vertical="center"/>
    </xf>
    <xf numFmtId="0" fontId="27" fillId="9" borderId="25" xfId="0" applyNumberFormat="1" applyFont="1" applyFill="1" applyBorder="1" applyAlignment="1">
      <alignment horizontal="center" vertical="center"/>
    </xf>
    <xf numFmtId="0" fontId="22" fillId="9" borderId="25" xfId="0" applyNumberFormat="1" applyFont="1" applyFill="1" applyBorder="1" applyAlignment="1">
      <alignment horizontal="center" vertical="center"/>
    </xf>
    <xf numFmtId="49" fontId="6" fillId="9" borderId="25" xfId="0" applyNumberFormat="1" applyFont="1" applyFill="1" applyBorder="1" applyAlignment="1">
      <alignment horizontal="center" vertical="center"/>
    </xf>
    <xf numFmtId="49" fontId="6" fillId="12" borderId="25" xfId="0" applyNumberFormat="1" applyFont="1" applyFill="1" applyBorder="1" applyAlignment="1">
      <alignment horizontal="center" vertical="center"/>
    </xf>
    <xf numFmtId="0" fontId="6" fillId="9" borderId="26" xfId="0" applyNumberFormat="1" applyFont="1" applyFill="1" applyBorder="1" applyAlignment="1">
      <alignment horizontal="center" vertical="center"/>
    </xf>
    <xf numFmtId="0" fontId="10" fillId="9" borderId="1" xfId="0" applyFont="1" applyFill="1" applyBorder="1" applyAlignment="1">
      <alignment vertical="center"/>
    </xf>
    <xf numFmtId="49" fontId="16" fillId="9" borderId="24" xfId="0" applyNumberFormat="1" applyFont="1" applyFill="1" applyBorder="1" applyAlignment="1">
      <alignment horizontal="center" vertical="center"/>
    </xf>
    <xf numFmtId="0" fontId="16" fillId="9" borderId="25" xfId="0" applyNumberFormat="1" applyFont="1" applyFill="1" applyBorder="1" applyAlignment="1">
      <alignment horizontal="center" vertical="center"/>
    </xf>
    <xf numFmtId="0" fontId="10" fillId="9" borderId="25" xfId="0" applyNumberFormat="1" applyFont="1" applyFill="1" applyBorder="1" applyAlignment="1">
      <alignment horizontal="center" vertical="center"/>
    </xf>
    <xf numFmtId="0" fontId="6" fillId="9" borderId="26"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4" xfId="0" applyNumberFormat="1" applyFont="1" applyFill="1" applyBorder="1" applyAlignment="1">
      <alignment horizontal="center" vertical="center"/>
    </xf>
    <xf numFmtId="49" fontId="24" fillId="4" borderId="24" xfId="0" applyNumberFormat="1" applyFont="1" applyFill="1" applyBorder="1" applyAlignment="1">
      <alignment horizontal="center" vertical="center"/>
    </xf>
    <xf numFmtId="0" fontId="24" fillId="4" borderId="25" xfId="0" applyNumberFormat="1" applyFont="1" applyFill="1" applyBorder="1" applyAlignment="1">
      <alignment horizontal="center" vertical="center"/>
    </xf>
    <xf numFmtId="0" fontId="12" fillId="4" borderId="25" xfId="0" applyNumberFormat="1" applyFont="1" applyFill="1" applyBorder="1" applyAlignment="1">
      <alignment horizontal="center" vertical="center"/>
    </xf>
    <xf numFmtId="0" fontId="6" fillId="4" borderId="26" xfId="0" applyNumberFormat="1" applyFont="1" applyFill="1" applyBorder="1" applyAlignment="1">
      <alignment horizontal="center" vertical="center"/>
    </xf>
    <xf numFmtId="0" fontId="13"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NumberFormat="1" applyFont="1" applyFill="1" applyBorder="1" applyAlignment="1">
      <alignment horizontal="center" vertical="center"/>
    </xf>
    <xf numFmtId="0" fontId="13" fillId="5"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5" xfId="0" applyNumberFormat="1" applyFont="1" applyFill="1" applyBorder="1" applyAlignment="1">
      <alignment horizontal="center" vertical="center"/>
    </xf>
    <xf numFmtId="49" fontId="24" fillId="0" borderId="45" xfId="0" applyNumberFormat="1" applyFont="1" applyFill="1" applyBorder="1" applyAlignment="1">
      <alignment horizontal="center" vertical="center"/>
    </xf>
    <xf numFmtId="0" fontId="24" fillId="0" borderId="47" xfId="0" applyNumberFormat="1" applyFont="1" applyFill="1" applyBorder="1" applyAlignment="1">
      <alignment horizontal="center" vertical="center"/>
    </xf>
    <xf numFmtId="0" fontId="12" fillId="0" borderId="47" xfId="0" applyNumberFormat="1" applyFont="1" applyFill="1" applyBorder="1" applyAlignment="1">
      <alignment horizontal="center" vertical="center"/>
    </xf>
    <xf numFmtId="49" fontId="6" fillId="0" borderId="47" xfId="0" applyNumberFormat="1" applyFont="1" applyFill="1" applyBorder="1" applyAlignment="1">
      <alignment horizontal="center" vertical="center"/>
    </xf>
    <xf numFmtId="0" fontId="38" fillId="11" borderId="45" xfId="0" applyNumberFormat="1" applyFont="1" applyFill="1" applyBorder="1" applyAlignment="1">
      <alignment horizontal="center" vertical="center"/>
    </xf>
    <xf numFmtId="0" fontId="6" fillId="0" borderId="34"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5" fillId="0" borderId="0" xfId="0" applyFont="1" applyBorder="1" applyAlignment="1">
      <alignment horizontal="right" vertical="center" wrapText="1"/>
    </xf>
    <xf numFmtId="0" fontId="47" fillId="0" borderId="30" xfId="0" applyFont="1" applyBorder="1" applyAlignment="1">
      <alignment horizontal="centerContinuous" vertical="center"/>
    </xf>
    <xf numFmtId="0" fontId="6" fillId="0" borderId="0" xfId="0" applyFont="1" applyBorder="1" applyAlignment="1">
      <alignment horizontal="center" vertical="center" wrapText="1"/>
    </xf>
    <xf numFmtId="0" fontId="50" fillId="0" borderId="35" xfId="0" applyFont="1" applyFill="1" applyBorder="1" applyAlignment="1">
      <alignment horizontal="centerContinuous" vertical="center"/>
    </xf>
    <xf numFmtId="0" fontId="6" fillId="0" borderId="53" xfId="0" applyFont="1" applyFill="1" applyBorder="1" applyAlignment="1">
      <alignment horizontal="centerContinuous" vertical="center"/>
    </xf>
    <xf numFmtId="0" fontId="6" fillId="0" borderId="54" xfId="0" applyFont="1" applyFill="1" applyBorder="1" applyAlignment="1">
      <alignment horizontal="centerContinuous" vertical="center"/>
    </xf>
    <xf numFmtId="0" fontId="6" fillId="0" borderId="48" xfId="0"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21" fillId="10" borderId="16" xfId="0" applyFont="1" applyFill="1" applyBorder="1" applyAlignment="1">
      <alignment horizontal="center" vertical="center"/>
    </xf>
    <xf numFmtId="0" fontId="21" fillId="10" borderId="17" xfId="0" applyFont="1" applyFill="1" applyBorder="1" applyAlignment="1">
      <alignment horizontal="center" vertical="center"/>
    </xf>
    <xf numFmtId="49" fontId="21" fillId="10" borderId="17" xfId="0" applyNumberFormat="1" applyFont="1" applyFill="1" applyBorder="1" applyAlignment="1">
      <alignment horizontal="center" vertical="center"/>
    </xf>
    <xf numFmtId="0" fontId="21" fillId="10" borderId="21" xfId="0" applyFont="1" applyFill="1" applyBorder="1" applyAlignment="1">
      <alignment horizontal="center" vertical="center"/>
    </xf>
    <xf numFmtId="0" fontId="44" fillId="11" borderId="21" xfId="0" applyFont="1" applyFill="1" applyBorder="1" applyAlignment="1">
      <alignment horizontal="center" vertical="center"/>
    </xf>
    <xf numFmtId="0" fontId="21" fillId="10" borderId="18" xfId="0" applyFont="1" applyFill="1" applyBorder="1" applyAlignment="1">
      <alignment horizontal="center" vertical="center"/>
    </xf>
    <xf numFmtId="0" fontId="21" fillId="10" borderId="30" xfId="0" applyFont="1" applyFill="1" applyBorder="1" applyAlignment="1">
      <alignment horizontal="center" vertical="center"/>
    </xf>
    <xf numFmtId="0" fontId="1" fillId="0" borderId="101" xfId="0" applyFont="1" applyBorder="1" applyAlignment="1">
      <alignment horizontal="center" vertical="center"/>
    </xf>
    <xf numFmtId="0" fontId="1" fillId="0" borderId="102" xfId="0" applyFont="1" applyFill="1" applyBorder="1" applyAlignment="1">
      <alignment horizontal="center" vertical="center"/>
    </xf>
    <xf numFmtId="0" fontId="1" fillId="0" borderId="102" xfId="0" applyNumberFormat="1" applyFont="1" applyBorder="1" applyAlignment="1">
      <alignment horizontal="center" vertical="center"/>
    </xf>
    <xf numFmtId="0" fontId="1" fillId="0" borderId="102" xfId="0" quotePrefix="1" applyNumberFormat="1" applyFont="1" applyFill="1" applyBorder="1" applyAlignment="1">
      <alignment horizontal="center" vertical="center"/>
    </xf>
    <xf numFmtId="1" fontId="45" fillId="11" borderId="96" xfId="0" applyNumberFormat="1" applyFont="1" applyFill="1" applyBorder="1" applyAlignment="1">
      <alignment horizontal="center" vertical="center"/>
    </xf>
    <xf numFmtId="0" fontId="1" fillId="0" borderId="66" xfId="0" applyFont="1" applyBorder="1" applyAlignment="1">
      <alignment horizontal="center" vertical="center"/>
    </xf>
    <xf numFmtId="0" fontId="1" fillId="0" borderId="94" xfId="0" applyFont="1" applyBorder="1" applyAlignment="1">
      <alignment horizontal="center" vertical="center"/>
    </xf>
    <xf numFmtId="49" fontId="1" fillId="0" borderId="94" xfId="0" applyNumberFormat="1" applyFont="1" applyBorder="1" applyAlignment="1">
      <alignment horizontal="center" vertical="center"/>
    </xf>
    <xf numFmtId="1" fontId="1" fillId="13" borderId="72" xfId="0" applyNumberFormat="1" applyFont="1" applyFill="1" applyBorder="1" applyAlignment="1">
      <alignment horizontal="center" vertical="center"/>
    </xf>
    <xf numFmtId="0" fontId="4" fillId="13" borderId="80"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1" fillId="10" borderId="21" xfId="0" applyFont="1" applyFill="1" applyBorder="1" applyAlignment="1">
      <alignment horizontal="centerContinuous" vertical="center"/>
    </xf>
    <xf numFmtId="0" fontId="21" fillId="10" borderId="65" xfId="0" applyFont="1" applyFill="1" applyBorder="1" applyAlignment="1">
      <alignment horizontal="centerContinuous" vertical="center"/>
    </xf>
    <xf numFmtId="0" fontId="21" fillId="10" borderId="49" xfId="0" applyFont="1" applyFill="1" applyBorder="1" applyAlignment="1">
      <alignment horizontal="centerContinuous" vertical="center"/>
    </xf>
    <xf numFmtId="0" fontId="1" fillId="0" borderId="66" xfId="0" applyFont="1" applyBorder="1" applyAlignment="1">
      <alignment horizontal="center" vertical="center" shrinkToFit="1"/>
    </xf>
    <xf numFmtId="164" fontId="1" fillId="0" borderId="67" xfId="0" applyNumberFormat="1" applyFont="1" applyFill="1" applyBorder="1" applyAlignment="1">
      <alignment horizontal="centerContinuous" vertical="center"/>
    </xf>
    <xf numFmtId="164" fontId="1" fillId="0" borderId="68" xfId="0" applyNumberFormat="1" applyFont="1" applyFill="1" applyBorder="1" applyAlignment="1">
      <alignment horizontal="centerContinuous" vertical="center"/>
    </xf>
    <xf numFmtId="0" fontId="4" fillId="0" borderId="69" xfId="0" quotePrefix="1" applyFont="1" applyBorder="1" applyAlignment="1">
      <alignment horizontal="centerContinuous" vertical="center"/>
    </xf>
    <xf numFmtId="164" fontId="1" fillId="0" borderId="71" xfId="0" applyNumberFormat="1" applyFont="1" applyFill="1" applyBorder="1" applyAlignment="1">
      <alignment horizontal="center" vertical="center"/>
    </xf>
    <xf numFmtId="0" fontId="1" fillId="0" borderId="74" xfId="0" applyFont="1" applyFill="1" applyBorder="1" applyAlignment="1">
      <alignment horizontal="centerContinuous" vertical="center"/>
    </xf>
    <xf numFmtId="0" fontId="18" fillId="0" borderId="0" xfId="0" applyFont="1" applyBorder="1" applyAlignment="1">
      <alignment horizontal="right" vertical="center"/>
    </xf>
    <xf numFmtId="0" fontId="21" fillId="10" borderId="19" xfId="0" applyFont="1" applyFill="1" applyBorder="1" applyAlignment="1">
      <alignment horizontal="centerContinuous" vertical="center"/>
    </xf>
    <xf numFmtId="0" fontId="21" fillId="10" borderId="20" xfId="0" applyFont="1" applyFill="1" applyBorder="1" applyAlignment="1">
      <alignment horizontal="centerContinuous" vertical="center"/>
    </xf>
    <xf numFmtId="0" fontId="1" fillId="0" borderId="87" xfId="0" applyFont="1" applyFill="1" applyBorder="1" applyAlignment="1">
      <alignment horizontal="centerContinuous" vertical="center"/>
    </xf>
    <xf numFmtId="0" fontId="1" fillId="0" borderId="91" xfId="0" applyFont="1" applyFill="1" applyBorder="1" applyAlignment="1">
      <alignment horizontal="centerContinuous" vertical="center"/>
    </xf>
    <xf numFmtId="0" fontId="4" fillId="0" borderId="88" xfId="0" applyFont="1" applyFill="1" applyBorder="1" applyAlignment="1">
      <alignment horizontal="centerContinuous" vertical="center"/>
    </xf>
    <xf numFmtId="164" fontId="1" fillId="0" borderId="90" xfId="0" applyNumberFormat="1" applyFont="1" applyFill="1" applyBorder="1" applyAlignment="1">
      <alignment horizontal="center" vertical="center"/>
    </xf>
    <xf numFmtId="49" fontId="1" fillId="0" borderId="89" xfId="0" applyNumberFormat="1" applyFont="1" applyFill="1" applyBorder="1" applyAlignment="1">
      <alignment horizontal="centerContinuous" vertical="center"/>
    </xf>
    <xf numFmtId="49" fontId="1" fillId="0" borderId="91" xfId="0" applyNumberFormat="1" applyFont="1" applyFill="1" applyBorder="1" applyAlignment="1">
      <alignment horizontal="centerContinuous" vertical="center"/>
    </xf>
    <xf numFmtId="0" fontId="4" fillId="0" borderId="92" xfId="0" applyFont="1" applyFill="1" applyBorder="1" applyAlignment="1">
      <alignment horizontal="centerContinuous" vertical="center"/>
    </xf>
    <xf numFmtId="164" fontId="1" fillId="0" borderId="94" xfId="0" applyNumberFormat="1" applyFont="1" applyFill="1" applyBorder="1" applyAlignment="1">
      <alignment horizontal="center" vertical="center"/>
    </xf>
    <xf numFmtId="0" fontId="1" fillId="0" borderId="85" xfId="0" applyFont="1" applyFill="1" applyBorder="1" applyAlignment="1">
      <alignment horizontal="centerContinuous" vertical="center"/>
    </xf>
    <xf numFmtId="0" fontId="1" fillId="0" borderId="68" xfId="0" applyFont="1" applyFill="1" applyBorder="1" applyAlignment="1">
      <alignment horizontal="centerContinuous" vertical="center"/>
    </xf>
    <xf numFmtId="0" fontId="4" fillId="0" borderId="93" xfId="0" applyFont="1" applyFill="1" applyBorder="1" applyAlignment="1">
      <alignment horizontal="centerContinuous" vertical="center"/>
    </xf>
    <xf numFmtId="49" fontId="1" fillId="0" borderId="67" xfId="0" applyNumberFormat="1" applyFont="1" applyFill="1" applyBorder="1" applyAlignment="1">
      <alignment horizontal="centerContinuous" vertical="center"/>
    </xf>
    <xf numFmtId="49" fontId="1" fillId="0" borderId="68" xfId="0" applyNumberFormat="1" applyFont="1" applyFill="1" applyBorder="1" applyAlignment="1">
      <alignment horizontal="centerContinuous" vertical="center"/>
    </xf>
    <xf numFmtId="0" fontId="4" fillId="0" borderId="69" xfId="0" applyFont="1" applyFill="1" applyBorder="1" applyAlignment="1">
      <alignment horizontal="centerContinuous" vertical="center"/>
    </xf>
    <xf numFmtId="0" fontId="1" fillId="0" borderId="86" xfId="0" applyFont="1" applyFill="1" applyBorder="1" applyAlignment="1">
      <alignment horizontal="centerContinuous" vertical="center"/>
    </xf>
    <xf numFmtId="0" fontId="1" fillId="0" borderId="73" xfId="0" applyFont="1" applyFill="1" applyBorder="1" applyAlignment="1">
      <alignment horizontal="centerContinuous" vertical="center"/>
    </xf>
    <xf numFmtId="0" fontId="4" fillId="0" borderId="95" xfId="0" applyFont="1" applyFill="1" applyBorder="1" applyAlignment="1">
      <alignment horizontal="centerContinuous" vertical="center"/>
    </xf>
    <xf numFmtId="49" fontId="1" fillId="0" borderId="72" xfId="0" applyNumberFormat="1" applyFont="1" applyFill="1" applyBorder="1" applyAlignment="1">
      <alignment horizontal="centerContinuous" vertical="center"/>
    </xf>
    <xf numFmtId="49" fontId="1" fillId="0" borderId="73" xfId="0" applyNumberFormat="1" applyFont="1" applyFill="1" applyBorder="1" applyAlignment="1">
      <alignment horizontal="centerContinuous" vertical="center"/>
    </xf>
    <xf numFmtId="0" fontId="4" fillId="0" borderId="74" xfId="0" applyFont="1" applyFill="1" applyBorder="1" applyAlignment="1">
      <alignment horizontal="centerContinuous" vertical="center"/>
    </xf>
    <xf numFmtId="0" fontId="21" fillId="10" borderId="97" xfId="0" applyFont="1" applyFill="1" applyBorder="1" applyAlignment="1">
      <alignment horizontal="center" vertical="center"/>
    </xf>
    <xf numFmtId="0" fontId="1" fillId="0" borderId="85" xfId="0" applyFont="1" applyFill="1" applyBorder="1" applyAlignment="1">
      <alignment horizontal="centerContinuous" vertical="center" shrinkToFit="1"/>
    </xf>
    <xf numFmtId="0" fontId="21" fillId="0" borderId="68" xfId="0" applyFont="1" applyFill="1" applyBorder="1" applyAlignment="1">
      <alignment horizontal="centerContinuous" vertical="center"/>
    </xf>
    <xf numFmtId="0" fontId="1" fillId="0" borderId="94" xfId="0" applyFont="1" applyFill="1" applyBorder="1" applyAlignment="1">
      <alignment horizontal="center" vertical="center"/>
    </xf>
    <xf numFmtId="0" fontId="1" fillId="0" borderId="69" xfId="0" applyFont="1" applyFill="1" applyBorder="1" applyAlignment="1">
      <alignment horizontal="centerContinuous" vertical="center"/>
    </xf>
    <xf numFmtId="0" fontId="1" fillId="0" borderId="104" xfId="0" applyFont="1" applyFill="1" applyBorder="1" applyAlignment="1">
      <alignment horizontal="centerContinuous" vertical="center" shrinkToFit="1"/>
    </xf>
    <xf numFmtId="0" fontId="21" fillId="0" borderId="105" xfId="0" applyFont="1" applyFill="1" applyBorder="1" applyAlignment="1">
      <alignment horizontal="centerContinuous" vertical="center"/>
    </xf>
    <xf numFmtId="0" fontId="1" fillId="0" borderId="106" xfId="0" applyFont="1" applyFill="1" applyBorder="1" applyAlignment="1">
      <alignment horizontal="center" vertical="center"/>
    </xf>
    <xf numFmtId="49" fontId="1" fillId="0" borderId="107" xfId="0" applyNumberFormat="1" applyFont="1" applyFill="1" applyBorder="1" applyAlignment="1">
      <alignment horizontal="centerContinuous" vertical="center"/>
    </xf>
    <xf numFmtId="0" fontId="1" fillId="0" borderId="108" xfId="0" applyFont="1" applyFill="1" applyBorder="1" applyAlignment="1">
      <alignment horizontal="centerContinuous" vertical="center"/>
    </xf>
    <xf numFmtId="0" fontId="1" fillId="0" borderId="86" xfId="0" applyFont="1" applyFill="1" applyBorder="1" applyAlignment="1">
      <alignment horizontal="centerContinuous" vertical="center" shrinkToFit="1"/>
    </xf>
    <xf numFmtId="49" fontId="1" fillId="0" borderId="71" xfId="0" applyNumberFormat="1" applyFont="1" applyFill="1" applyBorder="1" applyAlignment="1">
      <alignment horizontal="center" vertical="center"/>
    </xf>
    <xf numFmtId="0" fontId="1" fillId="0" borderId="0" xfId="0" applyFont="1" applyBorder="1" applyAlignment="1">
      <alignment vertical="center"/>
    </xf>
    <xf numFmtId="164" fontId="2" fillId="0" borderId="0" xfId="0" applyNumberFormat="1" applyFont="1" applyBorder="1" applyAlignment="1">
      <alignment horizontal="centerContinuous" vertical="center"/>
    </xf>
    <xf numFmtId="0" fontId="21" fillId="3" borderId="36" xfId="0" applyFont="1" applyFill="1" applyBorder="1" applyAlignment="1">
      <alignment horizontal="center" vertical="center"/>
    </xf>
    <xf numFmtId="164" fontId="21" fillId="3" borderId="37" xfId="0" applyNumberFormat="1" applyFont="1" applyFill="1" applyBorder="1" applyAlignment="1">
      <alignment horizontal="center" vertical="center"/>
    </xf>
    <xf numFmtId="0" fontId="21" fillId="3" borderId="36" xfId="0" applyFont="1" applyFill="1" applyBorder="1" applyAlignment="1">
      <alignment horizontal="right" vertical="center"/>
    </xf>
    <xf numFmtId="0" fontId="21" fillId="3" borderId="38" xfId="0" applyFont="1" applyFill="1" applyBorder="1" applyAlignment="1">
      <alignment vertical="center"/>
    </xf>
    <xf numFmtId="164" fontId="21" fillId="3" borderId="30" xfId="0" applyNumberFormat="1" applyFont="1" applyFill="1" applyBorder="1" applyAlignment="1">
      <alignment horizontal="center" vertical="center"/>
    </xf>
    <xf numFmtId="0" fontId="1" fillId="0" borderId="81" xfId="0" applyFont="1" applyBorder="1" applyAlignment="1">
      <alignment horizontal="center" vertical="center" shrinkToFit="1"/>
    </xf>
    <xf numFmtId="0" fontId="4" fillId="0" borderId="82" xfId="0" applyFont="1" applyBorder="1" applyAlignment="1">
      <alignment horizontal="center" vertical="center" shrinkToFit="1"/>
    </xf>
    <xf numFmtId="164" fontId="1" fillId="0" borderId="82" xfId="0" applyNumberFormat="1" applyFont="1" applyBorder="1" applyAlignment="1">
      <alignment horizontal="center" vertical="center" shrinkToFit="1"/>
    </xf>
    <xf numFmtId="0" fontId="4" fillId="0" borderId="83" xfId="0" applyFont="1" applyBorder="1" applyAlignment="1">
      <alignment horizontal="left" vertical="center" shrinkToFit="1"/>
    </xf>
    <xf numFmtId="164" fontId="4" fillId="0" borderId="82" xfId="0" applyNumberFormat="1" applyFont="1" applyBorder="1" applyAlignment="1">
      <alignment horizontal="center" vertical="center" shrinkToFit="1"/>
    </xf>
    <xf numFmtId="0" fontId="1" fillId="0" borderId="77" xfId="0" applyFont="1" applyBorder="1" applyAlignment="1">
      <alignment horizontal="center" vertical="center" shrinkToFit="1"/>
    </xf>
    <xf numFmtId="0" fontId="1" fillId="0" borderId="41" xfId="0" applyFont="1" applyBorder="1" applyAlignment="1">
      <alignment horizontal="center" vertical="center" shrinkToFit="1"/>
    </xf>
    <xf numFmtId="164" fontId="1" fillId="0" borderId="41" xfId="0" applyNumberFormat="1" applyFont="1" applyBorder="1" applyAlignment="1">
      <alignment horizontal="center" vertical="center" shrinkToFit="1"/>
    </xf>
    <xf numFmtId="0" fontId="4" fillId="0" borderId="41" xfId="0" applyFont="1" applyBorder="1" applyAlignment="1">
      <alignment horizontal="left" vertical="center"/>
    </xf>
    <xf numFmtId="0" fontId="4" fillId="0" borderId="42"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75" xfId="0" applyFont="1" applyBorder="1" applyAlignment="1">
      <alignment horizontal="center" vertical="center" shrinkToFit="1"/>
    </xf>
    <xf numFmtId="0" fontId="1" fillId="0" borderId="44" xfId="0" applyFont="1" applyBorder="1" applyAlignment="1">
      <alignment horizontal="center" vertical="center" shrinkToFit="1"/>
    </xf>
    <xf numFmtId="164" fontId="4" fillId="0" borderId="44" xfId="0" applyNumberFormat="1" applyFont="1" applyBorder="1" applyAlignment="1">
      <alignment horizontal="center" vertical="center" shrinkToFit="1"/>
    </xf>
    <xf numFmtId="0" fontId="4" fillId="0" borderId="44" xfId="0" applyFont="1" applyBorder="1" applyAlignment="1">
      <alignment horizontal="left" vertical="center"/>
    </xf>
    <xf numFmtId="0" fontId="4" fillId="0" borderId="43" xfId="0" applyFont="1" applyBorder="1" applyAlignment="1">
      <alignment horizontal="left" vertical="center" shrinkToFit="1"/>
    </xf>
    <xf numFmtId="0" fontId="1" fillId="0" borderId="0" xfId="0" applyFont="1" applyBorder="1" applyAlignment="1">
      <alignment horizontal="center" vertical="center"/>
    </xf>
    <xf numFmtId="0" fontId="1" fillId="0" borderId="76" xfId="0" applyFont="1" applyBorder="1" applyAlignment="1">
      <alignment horizontal="center" vertical="center" shrinkToFit="1"/>
    </xf>
    <xf numFmtId="0" fontId="1" fillId="0" borderId="39" xfId="0" applyFont="1" applyBorder="1" applyAlignment="1">
      <alignment horizontal="center" vertical="center" shrinkToFit="1"/>
    </xf>
    <xf numFmtId="164" fontId="1" fillId="0" borderId="39" xfId="0" applyNumberFormat="1" applyFont="1" applyBorder="1" applyAlignment="1">
      <alignment horizontal="center" vertical="center" shrinkToFit="1"/>
    </xf>
    <xf numFmtId="0" fontId="1" fillId="0" borderId="39" xfId="0" applyFont="1" applyBorder="1" applyAlignment="1">
      <alignment horizontal="left" vertical="center"/>
    </xf>
    <xf numFmtId="0" fontId="4" fillId="0" borderId="40" xfId="0" applyFont="1" applyBorder="1" applyAlignment="1">
      <alignment horizontal="left" vertical="center" shrinkToFit="1"/>
    </xf>
    <xf numFmtId="0" fontId="4" fillId="0" borderId="39" xfId="0" applyFont="1" applyBorder="1" applyAlignment="1">
      <alignment horizontal="left" vertical="center"/>
    </xf>
    <xf numFmtId="0" fontId="1" fillId="0" borderId="76" xfId="0" applyFont="1" applyFill="1" applyBorder="1" applyAlignment="1">
      <alignment horizontal="center" vertical="center" shrinkToFit="1"/>
    </xf>
    <xf numFmtId="0" fontId="1" fillId="0" borderId="56" xfId="0" applyFont="1" applyBorder="1" applyAlignment="1">
      <alignment horizontal="center" vertical="center" shrinkToFit="1"/>
    </xf>
    <xf numFmtId="0" fontId="1" fillId="0" borderId="77" xfId="0" applyFont="1" applyFill="1" applyBorder="1" applyAlignment="1">
      <alignment horizontal="center" vertical="center" shrinkToFit="1"/>
    </xf>
    <xf numFmtId="0" fontId="1" fillId="0" borderId="82" xfId="0" applyFont="1" applyBorder="1" applyAlignment="1">
      <alignment horizontal="left" vertical="center"/>
    </xf>
    <xf numFmtId="1" fontId="1" fillId="0" borderId="67" xfId="0" applyNumberFormat="1" applyFont="1" applyFill="1" applyBorder="1" applyAlignment="1">
      <alignment horizontal="center" vertical="center"/>
    </xf>
    <xf numFmtId="1" fontId="45" fillId="11" borderId="67" xfId="0" applyNumberFormat="1" applyFont="1" applyFill="1" applyBorder="1" applyAlignment="1">
      <alignment horizontal="center" vertical="center"/>
    </xf>
    <xf numFmtId="0" fontId="52" fillId="2" borderId="57" xfId="0" applyFont="1" applyFill="1" applyBorder="1" applyAlignment="1">
      <alignment horizontal="right" vertical="center"/>
    </xf>
    <xf numFmtId="0" fontId="52" fillId="2" borderId="58" xfId="0" applyFont="1" applyFill="1" applyBorder="1" applyAlignment="1">
      <alignment horizontal="left" vertical="center"/>
    </xf>
    <xf numFmtId="0" fontId="6" fillId="0" borderId="54" xfId="0" quotePrefix="1" applyFont="1" applyFill="1" applyBorder="1" applyAlignment="1">
      <alignment horizontal="center" vertical="center" shrinkToFit="1"/>
    </xf>
    <xf numFmtId="0" fontId="7" fillId="8" borderId="1" xfId="0" applyFont="1" applyFill="1" applyBorder="1" applyAlignment="1">
      <alignment vertical="center"/>
    </xf>
    <xf numFmtId="49" fontId="17" fillId="8" borderId="24" xfId="0" applyNumberFormat="1" applyFont="1" applyFill="1" applyBorder="1" applyAlignment="1">
      <alignment horizontal="center" vertical="center"/>
    </xf>
    <xf numFmtId="0" fontId="17" fillId="8" borderId="25" xfId="0" applyNumberFormat="1" applyFont="1" applyFill="1" applyBorder="1" applyAlignment="1">
      <alignment horizontal="center" vertical="center"/>
    </xf>
    <xf numFmtId="0" fontId="7" fillId="8" borderId="25" xfId="0" applyNumberFormat="1" applyFont="1" applyFill="1" applyBorder="1" applyAlignment="1">
      <alignment horizontal="center" vertical="center"/>
    </xf>
    <xf numFmtId="0" fontId="9" fillId="0" borderId="1" xfId="0" applyFont="1" applyFill="1" applyBorder="1" applyAlignment="1">
      <alignment vertical="center"/>
    </xf>
    <xf numFmtId="49" fontId="26" fillId="0" borderId="24" xfId="0" applyNumberFormat="1" applyFont="1" applyFill="1" applyBorder="1" applyAlignment="1">
      <alignment horizontal="center" vertical="center"/>
    </xf>
    <xf numFmtId="0" fontId="26" fillId="0" borderId="25" xfId="0" applyNumberFormat="1" applyFont="1" applyFill="1" applyBorder="1" applyAlignment="1">
      <alignment horizontal="center" vertical="center"/>
    </xf>
    <xf numFmtId="0" fontId="9" fillId="0" borderId="25" xfId="0" applyNumberFormat="1" applyFont="1" applyFill="1" applyBorder="1" applyAlignment="1">
      <alignment horizontal="center" vertical="center"/>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 fillId="0" borderId="45" xfId="0" applyNumberFormat="1" applyFont="1" applyBorder="1" applyAlignment="1">
      <alignment horizontal="center" vertical="center"/>
    </xf>
    <xf numFmtId="49" fontId="1" fillId="0" borderId="45" xfId="2" applyNumberFormat="1" applyFont="1" applyBorder="1" applyAlignment="1">
      <alignment horizontal="center" vertical="center"/>
    </xf>
    <xf numFmtId="0" fontId="1" fillId="0" borderId="45" xfId="0" applyFont="1" applyBorder="1" applyAlignment="1">
      <alignment horizontal="center" vertical="center" shrinkToFit="1"/>
    </xf>
    <xf numFmtId="164" fontId="1" fillId="0" borderId="45" xfId="0" applyNumberFormat="1" applyFont="1" applyBorder="1" applyAlignment="1">
      <alignment horizontal="center" vertical="center"/>
    </xf>
    <xf numFmtId="0" fontId="1" fillId="13" borderId="15" xfId="0" applyFont="1" applyFill="1" applyBorder="1" applyAlignment="1">
      <alignment horizontal="center" vertical="center"/>
    </xf>
    <xf numFmtId="0" fontId="13" fillId="8" borderId="1" xfId="0" applyFont="1" applyFill="1" applyBorder="1" applyAlignment="1">
      <alignment vertical="center"/>
    </xf>
    <xf numFmtId="0" fontId="13" fillId="8" borderId="25" xfId="0" applyNumberFormat="1" applyFont="1" applyFill="1" applyBorder="1" applyAlignment="1">
      <alignment horizontal="center" vertical="center"/>
    </xf>
    <xf numFmtId="0" fontId="10" fillId="8" borderId="1" xfId="0" applyFont="1" applyFill="1" applyBorder="1" applyAlignment="1">
      <alignment vertical="center"/>
    </xf>
    <xf numFmtId="49" fontId="16" fillId="8" borderId="24" xfId="0" applyNumberFormat="1" applyFont="1" applyFill="1" applyBorder="1" applyAlignment="1">
      <alignment horizontal="center" vertical="center"/>
    </xf>
    <xf numFmtId="0" fontId="16" fillId="8" borderId="25" xfId="0" applyNumberFormat="1" applyFont="1" applyFill="1" applyBorder="1" applyAlignment="1">
      <alignment horizontal="center" vertical="center"/>
    </xf>
    <xf numFmtId="0" fontId="10" fillId="8" borderId="25" xfId="0" applyNumberFormat="1" applyFont="1" applyFill="1" applyBorder="1" applyAlignment="1">
      <alignment horizontal="center" vertical="center"/>
    </xf>
    <xf numFmtId="1" fontId="1" fillId="0" borderId="96" xfId="0" applyNumberFormat="1" applyFont="1" applyFill="1" applyBorder="1" applyAlignment="1">
      <alignment horizontal="center" vertical="center"/>
    </xf>
    <xf numFmtId="0" fontId="43" fillId="11" borderId="37" xfId="0" applyNumberFormat="1" applyFont="1" applyFill="1" applyBorder="1" applyAlignment="1">
      <alignment horizontal="center" vertical="center" wrapText="1"/>
    </xf>
    <xf numFmtId="49" fontId="1" fillId="0" borderId="111" xfId="0" applyNumberFormat="1" applyFont="1" applyFill="1" applyBorder="1" applyAlignment="1">
      <alignment horizontal="center" vertical="center"/>
    </xf>
    <xf numFmtId="49" fontId="1" fillId="0" borderId="68" xfId="0" applyNumberFormat="1" applyFont="1" applyFill="1" applyBorder="1" applyAlignment="1">
      <alignment horizontal="center" vertical="center"/>
    </xf>
    <xf numFmtId="49" fontId="1" fillId="0" borderId="73" xfId="0" applyNumberFormat="1" applyFont="1" applyFill="1" applyBorder="1" applyAlignment="1">
      <alignment horizontal="center" vertical="center"/>
    </xf>
    <xf numFmtId="1" fontId="6" fillId="0" borderId="27" xfId="0" applyNumberFormat="1" applyFont="1" applyFill="1" applyBorder="1" applyAlignment="1">
      <alignment horizontal="center" vertical="center"/>
    </xf>
    <xf numFmtId="0" fontId="1" fillId="0" borderId="112" xfId="0" applyFont="1" applyFill="1" applyBorder="1" applyAlignment="1">
      <alignment horizontal="centerContinuous" vertical="center"/>
    </xf>
    <xf numFmtId="0" fontId="1" fillId="0" borderId="113" xfId="0" applyFont="1" applyFill="1" applyBorder="1" applyAlignment="1">
      <alignment horizontal="centerContinuous" vertical="center"/>
    </xf>
    <xf numFmtId="0" fontId="4" fillId="0" borderId="114" xfId="0" applyFont="1" applyFill="1" applyBorder="1" applyAlignment="1">
      <alignment horizontal="centerContinuous" vertical="center"/>
    </xf>
    <xf numFmtId="164" fontId="1" fillId="0" borderId="102" xfId="0" applyNumberFormat="1" applyFont="1" applyFill="1" applyBorder="1" applyAlignment="1">
      <alignment horizontal="center" vertical="center"/>
    </xf>
    <xf numFmtId="49" fontId="1" fillId="0" borderId="113" xfId="0" applyNumberFormat="1" applyFont="1" applyFill="1" applyBorder="1" applyAlignment="1">
      <alignment horizontal="center" vertical="center"/>
    </xf>
    <xf numFmtId="49" fontId="1" fillId="0" borderId="96" xfId="0" applyNumberFormat="1" applyFont="1" applyFill="1" applyBorder="1" applyAlignment="1">
      <alignment horizontal="centerContinuous" vertical="center"/>
    </xf>
    <xf numFmtId="49" fontId="1" fillId="0" borderId="113" xfId="0" applyNumberFormat="1" applyFont="1" applyFill="1" applyBorder="1" applyAlignment="1">
      <alignment horizontal="centerContinuous" vertical="center"/>
    </xf>
    <xf numFmtId="0" fontId="4" fillId="0" borderId="115" xfId="0" applyFont="1" applyFill="1" applyBorder="1" applyAlignment="1">
      <alignment horizontal="centerContinuous" vertical="center"/>
    </xf>
    <xf numFmtId="0" fontId="6" fillId="0" borderId="0" xfId="0" applyFont="1" applyFill="1" applyBorder="1" applyAlignment="1">
      <alignment horizontal="centerContinuous" vertical="center"/>
    </xf>
    <xf numFmtId="0" fontId="1" fillId="0" borderId="0" xfId="0" quotePrefix="1" applyFont="1" applyBorder="1" applyAlignment="1">
      <alignment vertical="center"/>
    </xf>
    <xf numFmtId="49" fontId="23" fillId="14" borderId="24" xfId="0" applyNumberFormat="1" applyFont="1" applyFill="1" applyBorder="1" applyAlignment="1">
      <alignment horizontal="center" vertical="center"/>
    </xf>
    <xf numFmtId="0" fontId="23" fillId="14" borderId="25" xfId="0" applyNumberFormat="1" applyFont="1" applyFill="1" applyBorder="1" applyAlignment="1">
      <alignment horizontal="center" vertical="center"/>
    </xf>
    <xf numFmtId="164" fontId="4" fillId="0" borderId="47" xfId="0" applyNumberFormat="1" applyFont="1" applyBorder="1" applyAlignment="1">
      <alignment horizontal="center" vertical="center"/>
    </xf>
    <xf numFmtId="1" fontId="45" fillId="11" borderId="47" xfId="0" applyNumberFormat="1" applyFont="1" applyFill="1" applyBorder="1" applyAlignment="1">
      <alignment horizontal="center" vertical="center"/>
    </xf>
    <xf numFmtId="1" fontId="4" fillId="0" borderId="47" xfId="0" applyNumberFormat="1" applyFont="1" applyFill="1" applyBorder="1" applyAlignment="1">
      <alignment horizontal="center" vertical="center"/>
    </xf>
    <xf numFmtId="0" fontId="1" fillId="0" borderId="34" xfId="0" quotePrefix="1" applyFont="1" applyBorder="1" applyAlignment="1">
      <alignment horizontal="center" vertical="center"/>
    </xf>
    <xf numFmtId="0" fontId="1" fillId="0" borderId="94" xfId="0" applyNumberFormat="1" applyFont="1" applyBorder="1" applyAlignment="1">
      <alignment horizontal="center" vertical="center"/>
    </xf>
    <xf numFmtId="49" fontId="1" fillId="0" borderId="94" xfId="2" applyNumberFormat="1" applyFont="1" applyBorder="1" applyAlignment="1">
      <alignment horizontal="center" vertical="center"/>
    </xf>
    <xf numFmtId="0" fontId="1" fillId="0" borderId="94" xfId="0" applyFont="1" applyBorder="1" applyAlignment="1">
      <alignment horizontal="center" vertical="center" shrinkToFit="1"/>
    </xf>
    <xf numFmtId="164" fontId="1" fillId="0" borderId="94" xfId="0" applyNumberFormat="1" applyFont="1" applyBorder="1" applyAlignment="1">
      <alignment horizontal="center" vertical="center"/>
    </xf>
    <xf numFmtId="164" fontId="1" fillId="0" borderId="67" xfId="0" applyNumberFormat="1" applyFont="1" applyBorder="1" applyAlignment="1">
      <alignment horizontal="center" vertical="center"/>
    </xf>
    <xf numFmtId="0" fontId="1" fillId="0" borderId="110" xfId="0" applyFont="1" applyFill="1" applyBorder="1" applyAlignment="1">
      <alignment horizontal="center" vertical="center"/>
    </xf>
    <xf numFmtId="0" fontId="1" fillId="0" borderId="11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72" xfId="0" applyFont="1" applyFill="1" applyBorder="1" applyAlignment="1">
      <alignment horizontal="center" vertical="center"/>
    </xf>
    <xf numFmtId="0" fontId="1" fillId="0" borderId="82" xfId="0" quotePrefix="1" applyFont="1" applyBorder="1" applyAlignment="1">
      <alignment horizontal="left" vertical="center"/>
    </xf>
    <xf numFmtId="164" fontId="1" fillId="0" borderId="96" xfId="0" applyNumberFormat="1" applyFont="1" applyBorder="1" applyAlignment="1">
      <alignment horizontal="center" vertical="center"/>
    </xf>
    <xf numFmtId="0" fontId="1" fillId="0" borderId="103" xfId="0" quotePrefix="1" applyFont="1" applyBorder="1" applyAlignment="1">
      <alignment horizontal="center" vertical="center"/>
    </xf>
    <xf numFmtId="0" fontId="1" fillId="0" borderId="83" xfId="0" applyFont="1" applyBorder="1" applyAlignment="1">
      <alignment horizontal="left" vertical="center" shrinkToFit="1"/>
    </xf>
    <xf numFmtId="1" fontId="1" fillId="0" borderId="53" xfId="0" applyNumberFormat="1" applyFont="1" applyBorder="1" applyAlignment="1">
      <alignment horizontal="center" vertical="center"/>
    </xf>
    <xf numFmtId="1" fontId="1" fillId="9" borderId="48" xfId="0" applyNumberFormat="1" applyFont="1" applyFill="1" applyBorder="1" applyAlignment="1">
      <alignment horizontal="center" vertical="center"/>
    </xf>
    <xf numFmtId="1" fontId="4" fillId="0" borderId="0" xfId="0" applyNumberFormat="1" applyFont="1" applyBorder="1" applyAlignment="1">
      <alignment horizontal="center" vertical="center"/>
    </xf>
    <xf numFmtId="1" fontId="21" fillId="10" borderId="30" xfId="0" applyNumberFormat="1" applyFont="1" applyFill="1" applyBorder="1" applyAlignment="1">
      <alignment horizontal="center" vertical="center"/>
    </xf>
    <xf numFmtId="1" fontId="1" fillId="0" borderId="53" xfId="0" applyNumberFormat="1" applyFont="1" applyFill="1" applyBorder="1" applyAlignment="1">
      <alignment horizontal="center" vertical="center"/>
    </xf>
    <xf numFmtId="1" fontId="1" fillId="9" borderId="35" xfId="0" applyNumberFormat="1" applyFont="1" applyFill="1" applyBorder="1" applyAlignment="1">
      <alignment horizontal="center" vertical="center"/>
    </xf>
    <xf numFmtId="1" fontId="1" fillId="0" borderId="48" xfId="0" applyNumberFormat="1" applyFont="1" applyFill="1" applyBorder="1" applyAlignment="1">
      <alignment horizontal="center" vertical="center"/>
    </xf>
    <xf numFmtId="1" fontId="1" fillId="0" borderId="55" xfId="0" applyNumberFormat="1" applyFont="1" applyFill="1" applyBorder="1" applyAlignment="1">
      <alignment horizontal="center" vertical="center"/>
    </xf>
    <xf numFmtId="1" fontId="1" fillId="0" borderId="35" xfId="0" applyNumberFormat="1" applyFont="1" applyFill="1" applyBorder="1" applyAlignment="1">
      <alignment horizontal="center" vertical="center"/>
    </xf>
    <xf numFmtId="1" fontId="1" fillId="0" borderId="84" xfId="0" applyNumberFormat="1" applyFont="1" applyFill="1" applyBorder="1" applyAlignment="1">
      <alignment horizontal="center" vertical="center"/>
    </xf>
    <xf numFmtId="1" fontId="1" fillId="0" borderId="84" xfId="0" applyNumberFormat="1" applyFont="1" applyBorder="1" applyAlignment="1">
      <alignment horizontal="center" vertical="center" shrinkToFit="1"/>
    </xf>
    <xf numFmtId="1" fontId="4" fillId="0" borderId="84" xfId="0" applyNumberFormat="1" applyFont="1" applyBorder="1" applyAlignment="1">
      <alignment horizontal="center" vertical="center" shrinkToFit="1"/>
    </xf>
    <xf numFmtId="1" fontId="1" fillId="0" borderId="48" xfId="0" applyNumberFormat="1" applyFont="1" applyBorder="1" applyAlignment="1">
      <alignment horizontal="center" vertical="center" shrinkToFit="1"/>
    </xf>
    <xf numFmtId="1" fontId="2" fillId="0" borderId="0" xfId="0" applyNumberFormat="1" applyFont="1" applyBorder="1" applyAlignment="1">
      <alignment horizontal="centerContinuous" vertical="center" shrinkToFit="1"/>
    </xf>
    <xf numFmtId="1" fontId="21" fillId="3" borderId="30" xfId="0" applyNumberFormat="1" applyFont="1" applyFill="1" applyBorder="1" applyAlignment="1">
      <alignment horizontal="center" vertical="center"/>
    </xf>
    <xf numFmtId="1" fontId="4" fillId="0" borderId="53" xfId="0" applyNumberFormat="1" applyFont="1" applyBorder="1" applyAlignment="1">
      <alignment horizontal="center" vertical="center" shrinkToFit="1"/>
    </xf>
    <xf numFmtId="1" fontId="1" fillId="0" borderId="35" xfId="0" applyNumberFormat="1" applyFont="1" applyBorder="1" applyAlignment="1">
      <alignment horizontal="center" vertical="center" shrinkToFit="1"/>
    </xf>
    <xf numFmtId="0" fontId="1" fillId="0" borderId="0" xfId="0" applyFont="1" applyBorder="1" applyAlignment="1"/>
    <xf numFmtId="0" fontId="1" fillId="0" borderId="81" xfId="0" applyFont="1" applyFill="1" applyBorder="1" applyAlignment="1">
      <alignment horizontal="center" vertical="center" shrinkToFit="1"/>
    </xf>
    <xf numFmtId="0" fontId="1" fillId="0" borderId="82" xfId="0" applyFont="1" applyBorder="1" applyAlignment="1">
      <alignment horizontal="center" vertical="center" shrinkToFit="1"/>
    </xf>
    <xf numFmtId="0" fontId="1" fillId="0" borderId="41" xfId="0" applyFont="1" applyBorder="1" applyAlignment="1">
      <alignment horizontal="left" vertical="center"/>
    </xf>
    <xf numFmtId="0" fontId="1" fillId="0" borderId="42" xfId="0" applyFont="1" applyBorder="1" applyAlignment="1">
      <alignment horizontal="left" vertical="center" shrinkToFit="1"/>
    </xf>
    <xf numFmtId="0" fontId="3" fillId="0" borderId="0" xfId="0" applyFont="1" applyBorder="1" applyAlignment="1">
      <alignment horizontal="right"/>
    </xf>
    <xf numFmtId="9" fontId="1" fillId="0" borderId="0" xfId="2" applyFont="1" applyBorder="1" applyAlignment="1">
      <alignment horizontal="center"/>
    </xf>
    <xf numFmtId="0" fontId="1" fillId="0" borderId="98" xfId="0" quotePrefix="1" applyFont="1" applyBorder="1" applyAlignment="1">
      <alignment horizontal="center" vertical="center"/>
    </xf>
    <xf numFmtId="0" fontId="1" fillId="0" borderId="102" xfId="0" applyFont="1" applyBorder="1" applyAlignment="1">
      <alignment horizontal="center" vertical="center"/>
    </xf>
    <xf numFmtId="49" fontId="1" fillId="0" borderId="102" xfId="2" applyNumberFormat="1" applyFont="1" applyBorder="1" applyAlignment="1">
      <alignment horizontal="center" vertical="center"/>
    </xf>
    <xf numFmtId="0" fontId="1" fillId="0" borderId="102" xfId="0" applyFont="1" applyBorder="1" applyAlignment="1">
      <alignment horizontal="center" vertical="center" shrinkToFit="1"/>
    </xf>
    <xf numFmtId="0" fontId="1" fillId="0" borderId="109" xfId="0" applyFont="1" applyBorder="1" applyAlignment="1">
      <alignment horizontal="center" vertical="center" shrinkToFit="1"/>
    </xf>
    <xf numFmtId="0" fontId="1" fillId="0" borderId="90" xfId="0" applyFont="1" applyFill="1" applyBorder="1" applyAlignment="1">
      <alignment horizontal="center" vertical="center"/>
    </xf>
    <xf numFmtId="9" fontId="1" fillId="0" borderId="90" xfId="0" applyNumberFormat="1" applyFont="1" applyFill="1" applyBorder="1" applyAlignment="1">
      <alignment horizontal="center" vertical="center"/>
    </xf>
    <xf numFmtId="164" fontId="1" fillId="0" borderId="89" xfId="0" applyNumberFormat="1" applyFont="1" applyFill="1" applyBorder="1" applyAlignment="1">
      <alignment horizontal="centerContinuous" vertical="center"/>
    </xf>
    <xf numFmtId="164" fontId="1" fillId="0" borderId="91" xfId="0" applyNumberFormat="1" applyFont="1" applyFill="1" applyBorder="1" applyAlignment="1">
      <alignment horizontal="centerContinuous" vertical="center"/>
    </xf>
    <xf numFmtId="0" fontId="4" fillId="0" borderId="92" xfId="0" quotePrefix="1" applyFont="1" applyBorder="1" applyAlignment="1">
      <alignment horizontal="centerContinuous" vertical="center"/>
    </xf>
    <xf numFmtId="9" fontId="1" fillId="0" borderId="94" xfId="0" applyNumberFormat="1" applyFont="1" applyFill="1" applyBorder="1" applyAlignment="1">
      <alignment horizontal="center" vertical="center"/>
    </xf>
    <xf numFmtId="1" fontId="3" fillId="0" borderId="0" xfId="0" applyNumberFormat="1" applyFont="1" applyBorder="1" applyAlignment="1">
      <alignment horizontal="center" vertical="center"/>
    </xf>
    <xf numFmtId="0" fontId="6" fillId="0" borderId="23" xfId="0" quotePrefix="1" applyFont="1" applyFill="1" applyBorder="1" applyAlignment="1">
      <alignment horizontal="center" vertical="center"/>
    </xf>
    <xf numFmtId="0" fontId="6" fillId="0" borderId="78" xfId="0" applyNumberFormat="1" applyFont="1" applyFill="1" applyBorder="1" applyAlignment="1">
      <alignment horizontal="centerContinuous" vertical="center"/>
    </xf>
    <xf numFmtId="0" fontId="1" fillId="0" borderId="79" xfId="0" applyFont="1" applyFill="1" applyBorder="1" applyAlignment="1">
      <alignment horizontal="centerContinuous" vertical="center"/>
    </xf>
    <xf numFmtId="49" fontId="16" fillId="0" borderId="33" xfId="0" applyNumberFormat="1" applyFont="1" applyFill="1" applyBorder="1" applyAlignment="1">
      <alignment horizontal="center" shrinkToFit="1"/>
    </xf>
    <xf numFmtId="164" fontId="1" fillId="9" borderId="102" xfId="0" applyNumberFormat="1" applyFont="1" applyFill="1" applyBorder="1" applyAlignment="1">
      <alignment horizontal="center" vertical="center"/>
    </xf>
    <xf numFmtId="0" fontId="1" fillId="0" borderId="116" xfId="0" applyFont="1" applyBorder="1" applyAlignment="1">
      <alignment horizontal="center" vertical="center" shrinkToFit="1"/>
    </xf>
    <xf numFmtId="9" fontId="1" fillId="0" borderId="106" xfId="0" applyNumberFormat="1" applyFont="1" applyFill="1" applyBorder="1" applyAlignment="1">
      <alignment horizontal="center" vertical="center"/>
    </xf>
    <xf numFmtId="164" fontId="1" fillId="0" borderId="106" xfId="0" applyNumberFormat="1" applyFont="1" applyFill="1" applyBorder="1" applyAlignment="1">
      <alignment horizontal="center" vertical="center"/>
    </xf>
    <xf numFmtId="164" fontId="1" fillId="0" borderId="107" xfId="0" applyNumberFormat="1" applyFont="1" applyFill="1" applyBorder="1" applyAlignment="1">
      <alignment horizontal="centerContinuous" vertical="center"/>
    </xf>
    <xf numFmtId="164" fontId="1" fillId="0" borderId="105" xfId="0" applyNumberFormat="1" applyFont="1" applyFill="1" applyBorder="1" applyAlignment="1">
      <alignment horizontal="centerContinuous" vertical="center"/>
    </xf>
    <xf numFmtId="0" fontId="4" fillId="0" borderId="108" xfId="0" quotePrefix="1" applyFont="1" applyBorder="1" applyAlignment="1">
      <alignment horizontal="centerContinuous" vertical="center"/>
    </xf>
    <xf numFmtId="0" fontId="54" fillId="15" borderId="70" xfId="0" applyFont="1" applyFill="1" applyBorder="1" applyAlignment="1">
      <alignment horizontal="center" vertical="center"/>
    </xf>
    <xf numFmtId="0" fontId="54" fillId="15" borderId="71" xfId="0" applyFont="1" applyFill="1" applyBorder="1" applyAlignment="1">
      <alignment horizontal="center" vertical="center"/>
    </xf>
    <xf numFmtId="0" fontId="54" fillId="15" borderId="71" xfId="0" quotePrefix="1" applyFont="1" applyFill="1" applyBorder="1" applyAlignment="1">
      <alignment horizontal="center" vertical="center"/>
    </xf>
    <xf numFmtId="164" fontId="54" fillId="15" borderId="71" xfId="0" quotePrefix="1" applyNumberFormat="1" applyFont="1" applyFill="1" applyBorder="1" applyAlignment="1">
      <alignment horizontal="center" vertical="center"/>
    </xf>
    <xf numFmtId="164" fontId="54" fillId="15" borderId="72" xfId="0" applyNumberFormat="1" applyFont="1" applyFill="1" applyBorder="1" applyAlignment="1">
      <alignment horizontal="centerContinuous" vertical="center"/>
    </xf>
    <xf numFmtId="164" fontId="54" fillId="15" borderId="73" xfId="0" applyNumberFormat="1" applyFont="1" applyFill="1" applyBorder="1" applyAlignment="1">
      <alignment horizontal="centerContinuous" vertical="center"/>
    </xf>
    <xf numFmtId="0" fontId="54" fillId="15" borderId="74" xfId="0" applyFont="1" applyFill="1" applyBorder="1" applyAlignment="1">
      <alignment horizontal="centerContinuous" vertical="center"/>
    </xf>
    <xf numFmtId="0" fontId="55" fillId="16" borderId="94" xfId="0" applyFont="1" applyFill="1" applyBorder="1" applyAlignment="1">
      <alignment horizontal="center" vertical="center"/>
    </xf>
    <xf numFmtId="0" fontId="55" fillId="16" borderId="94" xfId="0" quotePrefix="1" applyFont="1" applyFill="1" applyBorder="1" applyAlignment="1">
      <alignment horizontal="center" vertical="center"/>
    </xf>
    <xf numFmtId="1" fontId="6" fillId="0" borderId="0" xfId="0" applyNumberFormat="1" applyFont="1" applyBorder="1" applyAlignment="1">
      <alignment horizontal="left" vertical="center"/>
    </xf>
    <xf numFmtId="1" fontId="6" fillId="0" borderId="12" xfId="0" applyNumberFormat="1" applyFont="1" applyFill="1" applyBorder="1" applyAlignment="1">
      <alignment horizontal="center" vertical="center"/>
    </xf>
    <xf numFmtId="1" fontId="6" fillId="17" borderId="27" xfId="0" applyNumberFormat="1" applyFont="1" applyFill="1" applyBorder="1" applyAlignment="1">
      <alignment horizontal="center" vertical="center"/>
    </xf>
    <xf numFmtId="0" fontId="12" fillId="8" borderId="1" xfId="0" applyFont="1" applyFill="1" applyBorder="1" applyAlignment="1">
      <alignment vertical="center"/>
    </xf>
    <xf numFmtId="49" fontId="24" fillId="8" borderId="24" xfId="0" applyNumberFormat="1" applyFont="1" applyFill="1" applyBorder="1" applyAlignment="1">
      <alignment horizontal="center" vertical="center"/>
    </xf>
    <xf numFmtId="0" fontId="24" fillId="8" borderId="25" xfId="0" applyNumberFormat="1" applyFont="1" applyFill="1" applyBorder="1" applyAlignment="1">
      <alignment horizontal="center" vertical="center"/>
    </xf>
    <xf numFmtId="0" fontId="12" fillId="8" borderId="25" xfId="0" applyNumberFormat="1" applyFont="1" applyFill="1" applyBorder="1" applyAlignment="1">
      <alignment horizontal="center" vertical="center"/>
    </xf>
    <xf numFmtId="0" fontId="6" fillId="8" borderId="25" xfId="0" applyNumberFormat="1" applyFont="1" applyFill="1" applyBorder="1" applyAlignment="1">
      <alignment horizontal="center" vertical="center"/>
    </xf>
    <xf numFmtId="0" fontId="6" fillId="8" borderId="26" xfId="0" quotePrefix="1" applyNumberFormat="1" applyFont="1" applyFill="1" applyBorder="1" applyAlignment="1">
      <alignment horizontal="center" vertical="center"/>
    </xf>
    <xf numFmtId="0" fontId="50" fillId="0" borderId="35" xfId="0" applyFont="1" applyFill="1" applyBorder="1" applyAlignment="1">
      <alignment horizontal="center" vertical="center" shrinkToFit="1"/>
    </xf>
    <xf numFmtId="0" fontId="50" fillId="0" borderId="48" xfId="0" applyFont="1" applyFill="1" applyBorder="1" applyAlignment="1">
      <alignment horizontal="centerContinuous" vertical="center"/>
    </xf>
    <xf numFmtId="0" fontId="1" fillId="0" borderId="117" xfId="0" applyFont="1" applyBorder="1" applyAlignment="1">
      <alignment horizontal="center" vertical="center"/>
    </xf>
    <xf numFmtId="0" fontId="1" fillId="0" borderId="118" xfId="0" applyFont="1" applyFill="1" applyBorder="1" applyAlignment="1">
      <alignment horizontal="center" vertical="center"/>
    </xf>
    <xf numFmtId="0" fontId="1" fillId="0" borderId="118" xfId="0" quotePrefix="1" applyNumberFormat="1" applyFont="1" applyFill="1" applyBorder="1" applyAlignment="1">
      <alignment horizontal="center" vertical="center"/>
    </xf>
    <xf numFmtId="0" fontId="1" fillId="0" borderId="118" xfId="0" applyNumberFormat="1" applyFont="1" applyBorder="1" applyAlignment="1">
      <alignment horizontal="center" vertical="center"/>
    </xf>
    <xf numFmtId="0" fontId="1" fillId="0" borderId="118" xfId="0" applyFont="1" applyBorder="1" applyAlignment="1">
      <alignment horizontal="center" vertical="center"/>
    </xf>
    <xf numFmtId="49" fontId="1" fillId="0" borderId="118" xfId="0" applyNumberFormat="1" applyFont="1" applyBorder="1" applyAlignment="1">
      <alignment horizontal="center" vertical="center"/>
    </xf>
    <xf numFmtId="164" fontId="1" fillId="0" borderId="118" xfId="0" applyNumberFormat="1" applyFont="1" applyFill="1" applyBorder="1" applyAlignment="1">
      <alignment horizontal="center" vertical="center"/>
    </xf>
    <xf numFmtId="164" fontId="1" fillId="0" borderId="119" xfId="0" applyNumberFormat="1" applyFont="1" applyBorder="1" applyAlignment="1">
      <alignment horizontal="center" vertical="center"/>
    </xf>
    <xf numFmtId="1" fontId="45" fillId="11" borderId="119" xfId="0" applyNumberFormat="1" applyFont="1" applyFill="1" applyBorder="1" applyAlignment="1">
      <alignment horizontal="center" vertical="center"/>
    </xf>
    <xf numFmtId="1" fontId="1" fillId="0" borderId="119" xfId="0" applyNumberFormat="1" applyFont="1" applyFill="1" applyBorder="1" applyAlignment="1">
      <alignment horizontal="center" vertical="center"/>
    </xf>
    <xf numFmtId="0" fontId="1" fillId="0" borderId="120" xfId="0" quotePrefix="1" applyFont="1" applyBorder="1" applyAlignment="1">
      <alignment horizontal="center" vertical="center"/>
    </xf>
    <xf numFmtId="49" fontId="1" fillId="0" borderId="102" xfId="0" applyNumberFormat="1" applyFont="1" applyBorder="1" applyAlignment="1">
      <alignment horizontal="center" vertical="center"/>
    </xf>
    <xf numFmtId="49" fontId="1" fillId="0" borderId="118" xfId="2" applyNumberFormat="1" applyFont="1" applyBorder="1" applyAlignment="1">
      <alignment horizontal="center" vertical="center"/>
    </xf>
    <xf numFmtId="0" fontId="1" fillId="0" borderId="118" xfId="0" applyFont="1" applyBorder="1" applyAlignment="1">
      <alignment horizontal="center" vertical="center" shrinkToFit="1"/>
    </xf>
    <xf numFmtId="164" fontId="1" fillId="0" borderId="118" xfId="0" applyNumberFormat="1" applyFont="1" applyBorder="1" applyAlignment="1">
      <alignment horizontal="center" vertical="center"/>
    </xf>
    <xf numFmtId="0" fontId="55" fillId="16" borderId="66" xfId="0" applyFont="1" applyFill="1" applyBorder="1" applyAlignment="1">
      <alignment horizontal="center" vertical="center"/>
    </xf>
    <xf numFmtId="0" fontId="55" fillId="16" borderId="102" xfId="0" applyNumberFormat="1" applyFont="1" applyFill="1" applyBorder="1" applyAlignment="1">
      <alignment horizontal="center" vertical="center"/>
    </xf>
    <xf numFmtId="49" fontId="55" fillId="16" borderId="94" xfId="0" applyNumberFormat="1" applyFont="1" applyFill="1" applyBorder="1" applyAlignment="1">
      <alignment horizontal="center" vertical="center"/>
    </xf>
    <xf numFmtId="164" fontId="55" fillId="16" borderId="94" xfId="0" applyNumberFormat="1" applyFont="1" applyFill="1" applyBorder="1" applyAlignment="1">
      <alignment horizontal="center" vertical="center"/>
    </xf>
    <xf numFmtId="1" fontId="55" fillId="16" borderId="67" xfId="0" applyNumberFormat="1" applyFont="1" applyFill="1" applyBorder="1" applyAlignment="1">
      <alignment horizontal="center" vertical="center"/>
    </xf>
    <xf numFmtId="0" fontId="55" fillId="16" borderId="98" xfId="0" applyFont="1" applyFill="1" applyBorder="1" applyAlignment="1">
      <alignment horizontal="center" vertical="center"/>
    </xf>
    <xf numFmtId="1" fontId="1" fillId="0" borderId="35" xfId="0" applyNumberFormat="1" applyFont="1" applyBorder="1" applyAlignment="1">
      <alignment horizontal="center" vertical="center"/>
    </xf>
    <xf numFmtId="0" fontId="6" fillId="18" borderId="3" xfId="0" quotePrefix="1" applyFont="1" applyFill="1" applyBorder="1" applyAlignment="1">
      <alignment horizontal="center" vertical="center"/>
    </xf>
    <xf numFmtId="0" fontId="8" fillId="10" borderId="3" xfId="0" quotePrefix="1" applyFont="1" applyFill="1" applyBorder="1" applyAlignment="1">
      <alignment horizontal="center" vertical="center"/>
    </xf>
  </cellXfs>
  <cellStyles count="9">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7" xr:uid="{00000000-0005-0000-0000-000006000000}"/>
    <cellStyle name="Percent" xfId="2" builtinId="5"/>
    <cellStyle name="Percent 2" xfId="3" xr:uid="{00000000-0005-0000-0000-000008000000}"/>
  </cellStyles>
  <dxfs count="21">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00FF"/>
      <color rgb="FF00FFFF"/>
      <color rgb="FFCCFFCC"/>
      <color rgb="FF009900"/>
      <color rgb="FFFF66FF"/>
      <color rgb="FFFF33CC"/>
      <color rgb="FFCCCC00"/>
      <color rgb="FF99FF99"/>
      <color rgb="FFCC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13</xdr:row>
      <xdr:rowOff>95249</xdr:rowOff>
    </xdr:from>
    <xdr:to>
      <xdr:col>6</xdr:col>
      <xdr:colOff>1190625</xdr:colOff>
      <xdr:row>20</xdr:row>
      <xdr:rowOff>133349</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104775" y="3143249"/>
          <a:ext cx="6829425" cy="1514475"/>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Auras and Effects:</a:t>
          </a:r>
        </a:p>
        <a:p>
          <a:pPr algn="just" rtl="0">
            <a:defRPr sz="1000"/>
          </a:pPr>
          <a:endParaRPr lang="en-US" sz="1200" b="1"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Resistance to Cold (15) [active aura]</a:t>
          </a:r>
          <a:endParaRPr lang="en-US" sz="1200" b="0" i="1" u="none" strike="noStrike" baseline="0">
            <a:solidFill>
              <a:srgbClr val="99FF99"/>
            </a:solidFill>
            <a:latin typeface="Times New Roman"/>
            <a:cs typeface="Times New Roman"/>
          </a:endParaRPr>
        </a:p>
      </xdr:txBody>
    </xdr:sp>
    <xdr:clientData/>
  </xdr:twoCellAnchor>
  <xdr:twoCellAnchor editAs="oneCell">
    <xdr:from>
      <xdr:col>5</xdr:col>
      <xdr:colOff>38101</xdr:colOff>
      <xdr:row>1</xdr:row>
      <xdr:rowOff>67073</xdr:rowOff>
    </xdr:from>
    <xdr:to>
      <xdr:col>6</xdr:col>
      <xdr:colOff>1052039</xdr:colOff>
      <xdr:row>12</xdr:row>
      <xdr:rowOff>243840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632961" y="440453"/>
          <a:ext cx="2103598" cy="25694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2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306705</xdr:colOff>
      <xdr:row>1</xdr:row>
      <xdr:rowOff>123825</xdr:rowOff>
    </xdr:from>
    <xdr:to>
      <xdr:col>2</xdr:col>
      <xdr:colOff>344805</xdr:colOff>
      <xdr:row>2</xdr:row>
      <xdr:rowOff>66675</xdr:rowOff>
    </xdr:to>
    <xdr:sp macro="" textlink="">
      <xdr:nvSpPr>
        <xdr:cNvPr id="3078" name="Text Box 6" hidden="1">
          <a:extLst>
            <a:ext uri="{FF2B5EF4-FFF2-40B4-BE49-F238E27FC236}">
              <a16:creationId xmlns:a16="http://schemas.microsoft.com/office/drawing/2014/main" id="{00000000-0008-0000-03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
  <sheetViews>
    <sheetView showGridLines="0" tabSelected="1" zoomScaleNormal="100" workbookViewId="0"/>
  </sheetViews>
  <sheetFormatPr defaultColWidth="13" defaultRowHeight="15.6"/>
  <cols>
    <col min="1" max="1" width="16.19921875" style="65" customWidth="1"/>
    <col min="2" max="2" width="11" style="66" customWidth="1"/>
    <col min="3" max="3" width="6" style="66" customWidth="1"/>
    <col min="4" max="4" width="13.69921875" style="65" bestFit="1" customWidth="1"/>
    <col min="5" max="5" width="13.3984375" style="66" bestFit="1" customWidth="1"/>
    <col min="6" max="6" width="14.296875" style="65" customWidth="1"/>
    <col min="7" max="7" width="14.296875" style="66" customWidth="1"/>
    <col min="8" max="16384" width="13" style="19"/>
  </cols>
  <sheetData>
    <row r="1" spans="1:7" ht="29.4" thickTop="1" thickBot="1">
      <c r="A1" s="284" t="s">
        <v>170</v>
      </c>
      <c r="B1" s="285" t="s">
        <v>171</v>
      </c>
      <c r="C1" s="15"/>
      <c r="D1" s="16"/>
      <c r="E1" s="17"/>
      <c r="F1" s="16"/>
      <c r="G1" s="18" t="s">
        <v>90</v>
      </c>
    </row>
    <row r="2" spans="1:7" ht="17.399999999999999" thickTop="1">
      <c r="A2" s="20" t="s">
        <v>195</v>
      </c>
      <c r="B2" s="21" t="s">
        <v>93</v>
      </c>
      <c r="C2" s="21"/>
      <c r="D2" s="22" t="s">
        <v>196</v>
      </c>
      <c r="E2" s="23" t="s">
        <v>91</v>
      </c>
      <c r="F2" s="24"/>
      <c r="G2" s="25"/>
    </row>
    <row r="3" spans="1:7" ht="16.8">
      <c r="A3" s="20" t="s">
        <v>197</v>
      </c>
      <c r="B3" s="21" t="s">
        <v>101</v>
      </c>
      <c r="C3" s="21"/>
      <c r="D3" s="22" t="s">
        <v>0</v>
      </c>
      <c r="E3" s="23">
        <v>12</v>
      </c>
      <c r="F3" s="22"/>
      <c r="G3" s="25"/>
    </row>
    <row r="4" spans="1:7" ht="17.399999999999999" thickBot="1">
      <c r="A4" s="20" t="s">
        <v>198</v>
      </c>
      <c r="B4" s="322" t="s">
        <v>165</v>
      </c>
      <c r="C4" s="322"/>
      <c r="D4" s="22" t="s">
        <v>199</v>
      </c>
      <c r="E4" s="23" t="s">
        <v>166</v>
      </c>
      <c r="F4" s="22"/>
      <c r="G4" s="25"/>
    </row>
    <row r="5" spans="1:7" ht="17.399999999999999" thickTop="1">
      <c r="A5" s="26" t="s">
        <v>200</v>
      </c>
      <c r="B5" s="380">
        <f>9</f>
        <v>9</v>
      </c>
      <c r="C5" s="381"/>
      <c r="D5" s="27" t="s">
        <v>71</v>
      </c>
      <c r="E5" s="28" t="s">
        <v>172</v>
      </c>
      <c r="F5" s="29"/>
      <c r="G5" s="25"/>
    </row>
    <row r="6" spans="1:7" ht="17.399999999999999" thickBot="1">
      <c r="A6" s="30" t="s">
        <v>201</v>
      </c>
      <c r="B6" s="31">
        <f>C8</f>
        <v>-3</v>
      </c>
      <c r="C6" s="32"/>
      <c r="D6" s="33"/>
      <c r="E6" s="34"/>
      <c r="F6" s="29"/>
      <c r="G6" s="25"/>
    </row>
    <row r="7" spans="1:7" ht="17.399999999999999" thickTop="1">
      <c r="A7" s="35" t="s">
        <v>202</v>
      </c>
      <c r="B7" s="432">
        <f>17+4</f>
        <v>21</v>
      </c>
      <c r="C7" s="36" t="str">
        <f t="shared" ref="C7:C12" si="0">IF(B7&gt;9.9,CONCATENATE("+",ROUNDDOWN((B7-10)/2,0)),ROUNDUP((B7-10)/2,0))</f>
        <v>+5</v>
      </c>
      <c r="D7" s="37" t="s">
        <v>203</v>
      </c>
      <c r="E7" s="382" t="s">
        <v>167</v>
      </c>
      <c r="F7" s="29"/>
      <c r="G7" s="25"/>
    </row>
    <row r="8" spans="1:7" ht="16.8">
      <c r="A8" s="38" t="s">
        <v>204</v>
      </c>
      <c r="B8" s="433">
        <f>16-12</f>
        <v>4</v>
      </c>
      <c r="C8" s="39">
        <f t="shared" si="0"/>
        <v>-3</v>
      </c>
      <c r="D8" s="40" t="s">
        <v>205</v>
      </c>
      <c r="E8" s="41">
        <f>SUM(Martial!G7:G24)+SUM(Equipment!C3:C10)</f>
        <v>31</v>
      </c>
      <c r="F8" s="29"/>
      <c r="G8" s="25"/>
    </row>
    <row r="9" spans="1:7" ht="16.8">
      <c r="A9" s="42" t="s">
        <v>206</v>
      </c>
      <c r="B9" s="43">
        <f>14</f>
        <v>14</v>
      </c>
      <c r="C9" s="44" t="str">
        <f t="shared" si="0"/>
        <v>+2</v>
      </c>
      <c r="D9" s="40" t="s">
        <v>207</v>
      </c>
      <c r="E9" s="45">
        <f>ROUNDUP(((E3*10)*0.75)+(E3*C9),0)</f>
        <v>114</v>
      </c>
      <c r="F9" s="29"/>
      <c r="G9" s="25"/>
    </row>
    <row r="10" spans="1:7" ht="16.8">
      <c r="A10" s="46" t="s">
        <v>208</v>
      </c>
      <c r="B10" s="43">
        <v>12</v>
      </c>
      <c r="C10" s="39" t="str">
        <f t="shared" si="0"/>
        <v>+1</v>
      </c>
      <c r="D10" s="47" t="s">
        <v>209</v>
      </c>
      <c r="E10" s="313">
        <f>10+C8+3</f>
        <v>10</v>
      </c>
      <c r="F10" s="20"/>
      <c r="G10" s="25"/>
    </row>
    <row r="11" spans="1:7" ht="16.8">
      <c r="A11" s="48" t="s">
        <v>210</v>
      </c>
      <c r="B11" s="43">
        <v>12</v>
      </c>
      <c r="C11" s="39" t="str">
        <f t="shared" si="0"/>
        <v>+1</v>
      </c>
      <c r="D11" s="47" t="s">
        <v>211</v>
      </c>
      <c r="E11" s="401">
        <f>E12-C8</f>
        <v>24</v>
      </c>
      <c r="F11" s="399"/>
      <c r="G11" s="25"/>
    </row>
    <row r="12" spans="1:7" ht="17.399999999999999" thickBot="1">
      <c r="A12" s="49" t="s">
        <v>212</v>
      </c>
      <c r="B12" s="379">
        <f>19</f>
        <v>19</v>
      </c>
      <c r="C12" s="50" t="str">
        <f t="shared" si="0"/>
        <v>+4</v>
      </c>
      <c r="D12" s="51" t="s">
        <v>213</v>
      </c>
      <c r="E12" s="400">
        <f>E10+SUM(Martial!B17:B21)</f>
        <v>21</v>
      </c>
      <c r="F12" s="29"/>
      <c r="G12" s="25"/>
    </row>
    <row r="13" spans="1:7" ht="24" thickTop="1" thickBot="1">
      <c r="A13" s="52" t="s">
        <v>17</v>
      </c>
      <c r="B13" s="53"/>
      <c r="C13" s="53"/>
      <c r="D13" s="54"/>
      <c r="E13" s="54"/>
      <c r="F13" s="54"/>
      <c r="G13" s="55"/>
    </row>
    <row r="14" spans="1:7" s="7" customFormat="1" ht="17.399999999999999" thickTop="1">
      <c r="A14" s="56"/>
      <c r="B14" s="57"/>
      <c r="C14" s="57"/>
      <c r="D14" s="57"/>
      <c r="E14" s="57"/>
      <c r="F14" s="57"/>
      <c r="G14" s="58"/>
    </row>
    <row r="15" spans="1:7" s="7" customFormat="1" ht="16.8">
      <c r="A15" s="59"/>
      <c r="B15" s="60"/>
      <c r="C15" s="60"/>
      <c r="D15" s="60"/>
      <c r="E15" s="60"/>
      <c r="F15" s="60"/>
      <c r="G15" s="61"/>
    </row>
    <row r="16" spans="1:7" s="7" customFormat="1" ht="16.8">
      <c r="A16" s="59"/>
      <c r="B16" s="60"/>
      <c r="C16" s="60"/>
      <c r="D16" s="60"/>
      <c r="E16" s="60"/>
      <c r="F16" s="60"/>
      <c r="G16" s="61"/>
    </row>
    <row r="17" spans="1:7" s="7" customFormat="1" ht="16.8">
      <c r="A17" s="59"/>
      <c r="B17" s="60"/>
      <c r="C17" s="60"/>
      <c r="D17" s="60"/>
      <c r="E17" s="60"/>
      <c r="F17" s="60"/>
      <c r="G17" s="61"/>
    </row>
    <row r="18" spans="1:7" s="7" customFormat="1" ht="16.8">
      <c r="A18" s="59"/>
      <c r="B18" s="60"/>
      <c r="C18" s="60"/>
      <c r="D18" s="60"/>
      <c r="E18" s="60"/>
      <c r="F18" s="60"/>
      <c r="G18" s="61"/>
    </row>
    <row r="19" spans="1:7" s="7" customFormat="1" ht="16.8">
      <c r="A19" s="59"/>
      <c r="B19" s="60"/>
      <c r="C19" s="60"/>
      <c r="D19" s="60"/>
      <c r="E19" s="60"/>
      <c r="F19" s="60"/>
      <c r="G19" s="61"/>
    </row>
    <row r="20" spans="1:7" s="7" customFormat="1" ht="16.8">
      <c r="A20" s="59"/>
      <c r="B20" s="60"/>
      <c r="C20" s="60"/>
      <c r="D20" s="60"/>
      <c r="E20" s="60"/>
      <c r="F20" s="60"/>
      <c r="G20" s="61"/>
    </row>
    <row r="21" spans="1:7" ht="17.399999999999999" thickBot="1">
      <c r="A21" s="62"/>
      <c r="B21" s="63"/>
      <c r="C21" s="63"/>
      <c r="D21" s="63"/>
      <c r="E21" s="63"/>
      <c r="F21" s="63"/>
      <c r="G21" s="64"/>
    </row>
    <row r="22" spans="1:7" ht="16.2" thickTop="1"/>
  </sheetData>
  <phoneticPr fontId="0" type="noConversion"/>
  <conditionalFormatting sqref="E8">
    <cfRule type="cellIs" dxfId="20" priority="4" stopIfTrue="1" operator="greaterThan">
      <formula>116</formula>
    </cfRule>
    <cfRule type="cellIs" dxfId="19"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5"/>
  <sheetViews>
    <sheetView showGridLines="0" workbookViewId="0">
      <pane ySplit="2" topLeftCell="A3" activePane="bottomLeft" state="frozen"/>
      <selection pane="bottomLeft" activeCell="A3" sqref="A3"/>
    </sheetView>
  </sheetViews>
  <sheetFormatPr defaultColWidth="13" defaultRowHeight="15.6"/>
  <cols>
    <col min="1" max="1" width="21.69921875" style="65" bestFit="1" customWidth="1"/>
    <col min="2" max="2" width="5.8984375" style="65" bestFit="1" customWidth="1"/>
    <col min="3" max="3" width="7.59765625" style="66" hidden="1" customWidth="1"/>
    <col min="4" max="4" width="5.8984375" style="66" hidden="1" customWidth="1"/>
    <col min="5" max="5" width="9.19921875" style="66" bestFit="1" customWidth="1"/>
    <col min="6" max="6" width="6.69921875" style="66" bestFit="1" customWidth="1"/>
    <col min="7" max="7" width="6" style="171" bestFit="1" customWidth="1"/>
    <col min="8" max="8" width="5.19921875" style="171" bestFit="1" customWidth="1"/>
    <col min="9" max="9" width="6.8984375" style="171" bestFit="1" customWidth="1"/>
    <col min="10" max="10" width="41.5" style="65" customWidth="1"/>
    <col min="11" max="16384" width="13" style="19"/>
  </cols>
  <sheetData>
    <row r="1" spans="1:11" ht="25.8" thickBot="1">
      <c r="A1" s="67" t="s">
        <v>7</v>
      </c>
      <c r="B1" s="68"/>
      <c r="C1" s="68"/>
      <c r="D1" s="68"/>
      <c r="E1" s="68"/>
      <c r="F1" s="68"/>
      <c r="G1" s="69"/>
      <c r="H1" s="69"/>
      <c r="I1" s="69"/>
      <c r="J1" s="68"/>
    </row>
    <row r="2" spans="1:11" s="7" customFormat="1" ht="34.200000000000003" thickBot="1">
      <c r="A2" s="1" t="s">
        <v>81</v>
      </c>
      <c r="B2" s="2" t="s">
        <v>22</v>
      </c>
      <c r="C2" s="2" t="s">
        <v>29</v>
      </c>
      <c r="D2" s="2" t="s">
        <v>21</v>
      </c>
      <c r="E2" s="3" t="s">
        <v>54</v>
      </c>
      <c r="F2" s="3" t="s">
        <v>30</v>
      </c>
      <c r="G2" s="4" t="s">
        <v>56</v>
      </c>
      <c r="H2" s="309" t="s">
        <v>80</v>
      </c>
      <c r="I2" s="5" t="s">
        <v>69</v>
      </c>
      <c r="J2" s="6" t="s">
        <v>67</v>
      </c>
    </row>
    <row r="3" spans="1:11" s="7" customFormat="1" ht="16.8">
      <c r="A3" s="70" t="s">
        <v>58</v>
      </c>
      <c r="B3" s="71">
        <v>8</v>
      </c>
      <c r="C3" s="72" t="s">
        <v>24</v>
      </c>
      <c r="D3" s="72" t="str">
        <f>IF(C3="Str",'Personal File'!$C$7,IF(C3="Dex",'Personal File'!$C$8,IF(C3="Con",'Personal File'!$C$9,IF(C3="Int",'Personal File'!$C$10,IF(C3="Wis",'Personal File'!$C$11,IF(C3="Cha",'Personal File'!$C$12))))))</f>
        <v>+2</v>
      </c>
      <c r="E3" s="73" t="str">
        <f t="shared" ref="E3:E5" si="0">CONCATENATE(C3," (",D3,")")</f>
        <v>Con (+2)</v>
      </c>
      <c r="F3" s="74">
        <v>0</v>
      </c>
      <c r="G3" s="75">
        <f t="shared" ref="G3:G41" si="1">B3+D3+F3</f>
        <v>10</v>
      </c>
      <c r="H3" s="76">
        <f t="shared" ref="H3:H5" ca="1" si="2">RANDBETWEEN(1,20)</f>
        <v>7</v>
      </c>
      <c r="I3" s="75">
        <f t="shared" ref="I3:I41" ca="1" si="3">SUM(G3:H3)</f>
        <v>17</v>
      </c>
      <c r="J3" s="77" t="s">
        <v>123</v>
      </c>
    </row>
    <row r="4" spans="1:11" s="7" customFormat="1" ht="16.8">
      <c r="A4" s="78" t="s">
        <v>59</v>
      </c>
      <c r="B4" s="71">
        <v>4</v>
      </c>
      <c r="C4" s="72" t="s">
        <v>27</v>
      </c>
      <c r="D4" s="72">
        <f>IF(C4="Str",'Personal File'!$C$7,IF(C4="Dex",'Personal File'!$C$8,IF(C4="Con",'Personal File'!$C$9,IF(C4="Int",'Personal File'!$C$10,IF(C4="Wis",'Personal File'!$C$11,IF(C4="Cha",'Personal File'!$C$12))))))</f>
        <v>-3</v>
      </c>
      <c r="E4" s="79" t="str">
        <f t="shared" si="0"/>
        <v>Dex (-3)</v>
      </c>
      <c r="F4" s="94" t="s">
        <v>55</v>
      </c>
      <c r="G4" s="75">
        <f t="shared" si="1"/>
        <v>1</v>
      </c>
      <c r="H4" s="76">
        <f t="shared" ca="1" si="2"/>
        <v>4</v>
      </c>
      <c r="I4" s="75">
        <f t="shared" ca="1" si="3"/>
        <v>5</v>
      </c>
      <c r="J4" s="77" t="s">
        <v>123</v>
      </c>
      <c r="K4" s="323"/>
    </row>
    <row r="5" spans="1:11" s="7" customFormat="1" ht="16.8">
      <c r="A5" s="80" t="s">
        <v>60</v>
      </c>
      <c r="B5" s="81">
        <v>8</v>
      </c>
      <c r="C5" s="82" t="s">
        <v>26</v>
      </c>
      <c r="D5" s="82" t="str">
        <f>IF(C5="Str",'Personal File'!$C$7,IF(C5="Dex",'Personal File'!$C$8,IF(C5="Con",'Personal File'!$C$9,IF(C5="Int",'Personal File'!$C$10,IF(C5="Wis",'Personal File'!$C$11,IF(C5="Cha",'Personal File'!$C$12))))))</f>
        <v>+1</v>
      </c>
      <c r="E5" s="83" t="str">
        <f t="shared" si="0"/>
        <v>Wis (+1)</v>
      </c>
      <c r="F5" s="84">
        <v>0</v>
      </c>
      <c r="G5" s="85">
        <f t="shared" si="1"/>
        <v>9</v>
      </c>
      <c r="H5" s="86">
        <f t="shared" ca="1" si="2"/>
        <v>1</v>
      </c>
      <c r="I5" s="85">
        <f t="shared" ca="1" si="3"/>
        <v>10</v>
      </c>
      <c r="J5" s="87" t="s">
        <v>123</v>
      </c>
    </row>
    <row r="6" spans="1:11" s="96" customFormat="1" ht="16.8">
      <c r="A6" s="88" t="s">
        <v>31</v>
      </c>
      <c r="B6" s="89">
        <v>0</v>
      </c>
      <c r="C6" s="90" t="s">
        <v>25</v>
      </c>
      <c r="D6" s="91" t="str">
        <f>IF(C6="Str",'Personal File'!$C$7,IF(C6="Dex",'Personal File'!$C$8,IF(C6="Con",'Personal File'!$C$9,IF(C6="Int",'Personal File'!$C$10,IF(C6="Wis",'Personal File'!$C$11,IF(C6="Cha",'Personal File'!$C$12))))))</f>
        <v>+1</v>
      </c>
      <c r="E6" s="92" t="str">
        <f t="shared" ref="E6:E41" si="4">CONCATENATE(C6," (",D6,")")</f>
        <v>Int (+1)</v>
      </c>
      <c r="F6" s="93" t="s">
        <v>55</v>
      </c>
      <c r="G6" s="94">
        <f t="shared" si="1"/>
        <v>1</v>
      </c>
      <c r="H6" s="76">
        <f ca="1">RANDBETWEEN(1,20)</f>
        <v>3</v>
      </c>
      <c r="I6" s="94">
        <f t="shared" ca="1" si="3"/>
        <v>4</v>
      </c>
      <c r="J6" s="95"/>
    </row>
    <row r="7" spans="1:11" s="100" customFormat="1" ht="16.8">
      <c r="A7" s="97" t="s">
        <v>32</v>
      </c>
      <c r="B7" s="89">
        <v>0</v>
      </c>
      <c r="C7" s="98" t="s">
        <v>27</v>
      </c>
      <c r="D7" s="99">
        <f>IF(C7="Str",'Personal File'!$C$7,IF(C7="Dex",'Personal File'!$C$8,IF(C7="Con",'Personal File'!$C$9,IF(C7="Int",'Personal File'!$C$10,IF(C7="Wis",'Personal File'!$C$11,IF(C7="Cha",'Personal File'!$C$12))))))</f>
        <v>-3</v>
      </c>
      <c r="E7" s="79" t="str">
        <f t="shared" si="4"/>
        <v>Dex (-3)</v>
      </c>
      <c r="F7" s="93">
        <f>SUM(Martial!$D$17:$D$21)</f>
        <v>-2</v>
      </c>
      <c r="G7" s="94">
        <f t="shared" si="1"/>
        <v>-5</v>
      </c>
      <c r="H7" s="76">
        <f t="shared" ref="H7:H41" ca="1" si="5">RANDBETWEEN(1,20)</f>
        <v>15</v>
      </c>
      <c r="I7" s="94">
        <f t="shared" ca="1" si="3"/>
        <v>10</v>
      </c>
      <c r="J7" s="95"/>
    </row>
    <row r="8" spans="1:11" s="105" customFormat="1" ht="16.8">
      <c r="A8" s="101" t="s">
        <v>33</v>
      </c>
      <c r="B8" s="89">
        <v>0</v>
      </c>
      <c r="C8" s="102" t="s">
        <v>23</v>
      </c>
      <c r="D8" s="103" t="str">
        <f>IF(C8="Str",'Personal File'!$C$7,IF(C8="Dex",'Personal File'!$C$8,IF(C8="Con",'Personal File'!$C$9,IF(C8="Int",'Personal File'!$C$10,IF(C8="Wis",'Personal File'!$C$11,IF(C8="Cha",'Personal File'!$C$12))))))</f>
        <v>+4</v>
      </c>
      <c r="E8" s="104" t="str">
        <f t="shared" si="4"/>
        <v>Cha (+4)</v>
      </c>
      <c r="F8" s="94" t="s">
        <v>55</v>
      </c>
      <c r="G8" s="94">
        <f t="shared" si="1"/>
        <v>4</v>
      </c>
      <c r="H8" s="76">
        <f t="shared" ca="1" si="5"/>
        <v>1</v>
      </c>
      <c r="I8" s="94">
        <f t="shared" ca="1" si="3"/>
        <v>5</v>
      </c>
      <c r="J8" s="95"/>
    </row>
    <row r="9" spans="1:11" s="110" customFormat="1" ht="16.8">
      <c r="A9" s="287" t="s">
        <v>34</v>
      </c>
      <c r="B9" s="127">
        <v>8</v>
      </c>
      <c r="C9" s="288" t="s">
        <v>28</v>
      </c>
      <c r="D9" s="289" t="str">
        <f>IF(C9="Str",'Personal File'!$C$7,IF(C9="Dex",'Personal File'!$C$8,IF(C9="Con",'Personal File'!$C$9,IF(C9="Int",'Personal File'!$C$10,IF(C9="Wis",'Personal File'!$C$11,IF(C9="Cha",'Personal File'!$C$12))))))</f>
        <v>+5</v>
      </c>
      <c r="E9" s="290" t="str">
        <f t="shared" si="4"/>
        <v>Str (+5)</v>
      </c>
      <c r="F9" s="128">
        <f>SUM(Martial!$D$17:$D$21)</f>
        <v>-2</v>
      </c>
      <c r="G9" s="128">
        <f t="shared" si="1"/>
        <v>11</v>
      </c>
      <c r="H9" s="76">
        <f t="shared" ca="1" si="5"/>
        <v>12</v>
      </c>
      <c r="I9" s="128">
        <f t="shared" ca="1" si="3"/>
        <v>23</v>
      </c>
      <c r="J9" s="129"/>
    </row>
    <row r="10" spans="1:11" s="110" customFormat="1" ht="16.8">
      <c r="A10" s="291" t="s">
        <v>8</v>
      </c>
      <c r="B10" s="89">
        <v>0</v>
      </c>
      <c r="C10" s="292" t="s">
        <v>24</v>
      </c>
      <c r="D10" s="293" t="str">
        <f>IF(C10="Str",'Personal File'!$C$7,IF(C10="Dex",'Personal File'!$C$8,IF(C10="Con",'Personal File'!$C$9,IF(C10="Int",'Personal File'!$C$10,IF(C10="Wis",'Personal File'!$C$11,IF(C10="Cha",'Personal File'!$C$12))))))</f>
        <v>+2</v>
      </c>
      <c r="E10" s="294" t="str">
        <f t="shared" si="4"/>
        <v>Con (+2)</v>
      </c>
      <c r="F10" s="94" t="s">
        <v>55</v>
      </c>
      <c r="G10" s="94">
        <f t="shared" si="1"/>
        <v>2</v>
      </c>
      <c r="H10" s="76">
        <f t="shared" ca="1" si="5"/>
        <v>6</v>
      </c>
      <c r="I10" s="94">
        <f t="shared" ca="1" si="3"/>
        <v>8</v>
      </c>
      <c r="J10" s="95"/>
    </row>
    <row r="11" spans="1:11" s="96" customFormat="1" ht="16.8">
      <c r="A11" s="88" t="s">
        <v>131</v>
      </c>
      <c r="B11" s="89">
        <v>0</v>
      </c>
      <c r="C11" s="90" t="s">
        <v>25</v>
      </c>
      <c r="D11" s="91" t="str">
        <f>IF(C11="Str",'Personal File'!$C$7,IF(C11="Dex",'Personal File'!$C$8,IF(C11="Con",'Personal File'!$C$9,IF(C11="Int",'Personal File'!$C$10,IF(C11="Wis",'Personal File'!$C$11,IF(C11="Cha",'Personal File'!$C$12))))))</f>
        <v>+1</v>
      </c>
      <c r="E11" s="92" t="str">
        <f t="shared" si="4"/>
        <v>Int (+1)</v>
      </c>
      <c r="F11" s="94" t="s">
        <v>55</v>
      </c>
      <c r="G11" s="94">
        <f t="shared" si="1"/>
        <v>1</v>
      </c>
      <c r="H11" s="76">
        <f t="shared" ca="1" si="5"/>
        <v>2</v>
      </c>
      <c r="I11" s="94">
        <f t="shared" ca="1" si="3"/>
        <v>3</v>
      </c>
      <c r="J11" s="95"/>
    </row>
    <row r="12" spans="1:11" s="118" customFormat="1" ht="16.8">
      <c r="A12" s="111" t="s">
        <v>35</v>
      </c>
      <c r="B12" s="112">
        <v>0</v>
      </c>
      <c r="C12" s="113" t="s">
        <v>25</v>
      </c>
      <c r="D12" s="114" t="str">
        <f>IF(C12="Str",'Personal File'!$C$7,IF(C12="Dex",'Personal File'!$C$8,IF(C12="Con",'Personal File'!$C$9,IF(C12="Int",'Personal File'!$C$10,IF(C12="Wis",'Personal File'!$C$11,IF(C12="Cha",'Personal File'!$C$12))))))</f>
        <v>+1</v>
      </c>
      <c r="E12" s="115" t="str">
        <f t="shared" si="4"/>
        <v>Int (+1)</v>
      </c>
      <c r="F12" s="116" t="s">
        <v>55</v>
      </c>
      <c r="G12" s="116">
        <f t="shared" si="1"/>
        <v>1</v>
      </c>
      <c r="H12" s="76">
        <f t="shared" ca="1" si="5"/>
        <v>19</v>
      </c>
      <c r="I12" s="116">
        <f t="shared" ca="1" si="3"/>
        <v>20</v>
      </c>
      <c r="J12" s="117"/>
    </row>
    <row r="13" spans="1:11" s="100" customFormat="1" ht="16.8">
      <c r="A13" s="101" t="s">
        <v>36</v>
      </c>
      <c r="B13" s="89">
        <v>0</v>
      </c>
      <c r="C13" s="102" t="s">
        <v>23</v>
      </c>
      <c r="D13" s="103" t="str">
        <f>IF(C13="Str",'Personal File'!$C$7,IF(C13="Dex",'Personal File'!$C$8,IF(C13="Con",'Personal File'!$C$9,IF(C13="Int",'Personal File'!$C$10,IF(C13="Wis",'Personal File'!$C$11,IF(C13="Cha",'Personal File'!$C$12))))))</f>
        <v>+4</v>
      </c>
      <c r="E13" s="104" t="str">
        <f t="shared" si="4"/>
        <v>Cha (+4)</v>
      </c>
      <c r="F13" s="94" t="s">
        <v>55</v>
      </c>
      <c r="G13" s="94">
        <f t="shared" si="1"/>
        <v>4</v>
      </c>
      <c r="H13" s="76">
        <f t="shared" ca="1" si="5"/>
        <v>12</v>
      </c>
      <c r="I13" s="94">
        <f t="shared" ca="1" si="3"/>
        <v>16</v>
      </c>
      <c r="J13" s="119"/>
    </row>
    <row r="14" spans="1:11" s="100" customFormat="1" ht="16.8">
      <c r="A14" s="111" t="s">
        <v>37</v>
      </c>
      <c r="B14" s="112">
        <v>0</v>
      </c>
      <c r="C14" s="113" t="s">
        <v>25</v>
      </c>
      <c r="D14" s="114" t="str">
        <f>IF(C14="Str",'Personal File'!$C$7,IF(C14="Dex",'Personal File'!$C$8,IF(C14="Con",'Personal File'!$C$9,IF(C14="Int",'Personal File'!$C$10,IF(C14="Wis",'Personal File'!$C$11,IF(C14="Cha",'Personal File'!$C$12))))))</f>
        <v>+1</v>
      </c>
      <c r="E14" s="115" t="str">
        <f t="shared" si="4"/>
        <v>Int (+1)</v>
      </c>
      <c r="F14" s="116" t="s">
        <v>55</v>
      </c>
      <c r="G14" s="116">
        <f t="shared" si="1"/>
        <v>1</v>
      </c>
      <c r="H14" s="76">
        <f t="shared" ca="1" si="5"/>
        <v>17</v>
      </c>
      <c r="I14" s="116">
        <f t="shared" ca="1" si="3"/>
        <v>18</v>
      </c>
      <c r="J14" s="117"/>
    </row>
    <row r="15" spans="1:11" s="100" customFormat="1" ht="16.8">
      <c r="A15" s="101" t="s">
        <v>38</v>
      </c>
      <c r="B15" s="89">
        <v>0</v>
      </c>
      <c r="C15" s="102" t="s">
        <v>23</v>
      </c>
      <c r="D15" s="103" t="str">
        <f>IF(C15="Str",'Personal File'!$C$7,IF(C15="Dex",'Personal File'!$C$8,IF(C15="Con",'Personal File'!$C$9,IF(C15="Int",'Personal File'!$C$10,IF(C15="Wis",'Personal File'!$C$11,IF(C15="Cha",'Personal File'!$C$12))))))</f>
        <v>+4</v>
      </c>
      <c r="E15" s="104" t="str">
        <f t="shared" si="4"/>
        <v>Cha (+4)</v>
      </c>
      <c r="F15" s="94" t="s">
        <v>55</v>
      </c>
      <c r="G15" s="94">
        <f t="shared" si="1"/>
        <v>4</v>
      </c>
      <c r="H15" s="76">
        <f t="shared" ca="1" si="5"/>
        <v>19</v>
      </c>
      <c r="I15" s="94">
        <f t="shared" ca="1" si="3"/>
        <v>23</v>
      </c>
      <c r="J15" s="95"/>
    </row>
    <row r="16" spans="1:11" s="100" customFormat="1" ht="16.8">
      <c r="A16" s="97" t="s">
        <v>39</v>
      </c>
      <c r="B16" s="89">
        <v>0</v>
      </c>
      <c r="C16" s="98" t="s">
        <v>27</v>
      </c>
      <c r="D16" s="99">
        <f>IF(C16="Str",'Personal File'!$C$7,IF(C16="Dex",'Personal File'!$C$8,IF(C16="Con",'Personal File'!$C$9,IF(C16="Int",'Personal File'!$C$10,IF(C16="Wis",'Personal File'!$C$11,IF(C16="Cha",'Personal File'!$C$12))))))</f>
        <v>-3</v>
      </c>
      <c r="E16" s="79" t="str">
        <f t="shared" si="4"/>
        <v>Dex (-3)</v>
      </c>
      <c r="F16" s="93">
        <f>SUM(Martial!$D$17:$D$21)</f>
        <v>-2</v>
      </c>
      <c r="G16" s="94">
        <f t="shared" si="1"/>
        <v>-5</v>
      </c>
      <c r="H16" s="76">
        <f t="shared" ca="1" si="5"/>
        <v>18</v>
      </c>
      <c r="I16" s="94">
        <f t="shared" ca="1" si="3"/>
        <v>13</v>
      </c>
      <c r="J16" s="95"/>
    </row>
    <row r="17" spans="1:10" s="100" customFormat="1" ht="16.8">
      <c r="A17" s="120" t="s">
        <v>40</v>
      </c>
      <c r="B17" s="121">
        <v>0</v>
      </c>
      <c r="C17" s="122" t="s">
        <v>25</v>
      </c>
      <c r="D17" s="123" t="str">
        <f>IF(C17="Str",'Personal File'!$C$7,IF(C17="Dex",'Personal File'!$C$8,IF(C17="Con",'Personal File'!$C$9,IF(C17="Int",'Personal File'!$C$10,IF(C17="Wis",'Personal File'!$C$11,IF(C17="Cha",'Personal File'!$C$12))))))</f>
        <v>+1</v>
      </c>
      <c r="E17" s="124" t="str">
        <f t="shared" si="4"/>
        <v>Int (+1)</v>
      </c>
      <c r="F17" s="125" t="s">
        <v>55</v>
      </c>
      <c r="G17" s="125">
        <f t="shared" si="1"/>
        <v>1</v>
      </c>
      <c r="H17" s="76">
        <f t="shared" ca="1" si="5"/>
        <v>3</v>
      </c>
      <c r="I17" s="125">
        <f t="shared" ca="1" si="3"/>
        <v>4</v>
      </c>
      <c r="J17" s="126"/>
    </row>
    <row r="18" spans="1:10" s="100" customFormat="1" ht="16.8">
      <c r="A18" s="101" t="s">
        <v>41</v>
      </c>
      <c r="B18" s="89">
        <v>0</v>
      </c>
      <c r="C18" s="102" t="s">
        <v>23</v>
      </c>
      <c r="D18" s="103" t="str">
        <f>IF(C18="Str",'Personal File'!$C$7,IF(C18="Dex",'Personal File'!$C$8,IF(C18="Con",'Personal File'!$C$9,IF(C18="Int",'Personal File'!$C$10,IF(C18="Wis",'Personal File'!$C$11,IF(C18="Cha",'Personal File'!$C$12))))))</f>
        <v>+4</v>
      </c>
      <c r="E18" s="104" t="str">
        <f t="shared" si="4"/>
        <v>Cha (+4)</v>
      </c>
      <c r="F18" s="94" t="s">
        <v>55</v>
      </c>
      <c r="G18" s="94">
        <f t="shared" si="1"/>
        <v>4</v>
      </c>
      <c r="H18" s="76">
        <f t="shared" ca="1" si="5"/>
        <v>16</v>
      </c>
      <c r="I18" s="94">
        <f t="shared" ca="1" si="3"/>
        <v>20</v>
      </c>
      <c r="J18" s="95"/>
    </row>
    <row r="19" spans="1:10" s="100" customFormat="1" ht="16.8">
      <c r="A19" s="101" t="s">
        <v>10</v>
      </c>
      <c r="B19" s="89">
        <v>0</v>
      </c>
      <c r="C19" s="102" t="s">
        <v>23</v>
      </c>
      <c r="D19" s="103" t="str">
        <f>IF(C19="Str",'Personal File'!$C$7,IF(C19="Dex",'Personal File'!$C$8,IF(C19="Con",'Personal File'!$C$9,IF(C19="Int",'Personal File'!$C$10,IF(C19="Wis",'Personal File'!$C$11,IF(C19="Cha",'Personal File'!$C$12))))))</f>
        <v>+4</v>
      </c>
      <c r="E19" s="104" t="str">
        <f t="shared" si="4"/>
        <v>Cha (+4)</v>
      </c>
      <c r="F19" s="94" t="s">
        <v>55</v>
      </c>
      <c r="G19" s="94">
        <f t="shared" si="1"/>
        <v>4</v>
      </c>
      <c r="H19" s="76">
        <f t="shared" ca="1" si="5"/>
        <v>11</v>
      </c>
      <c r="I19" s="94">
        <f t="shared" ca="1" si="3"/>
        <v>15</v>
      </c>
      <c r="J19" s="95"/>
    </row>
    <row r="20" spans="1:10" s="100" customFormat="1" ht="16.8">
      <c r="A20" s="130" t="s">
        <v>42</v>
      </c>
      <c r="B20" s="89">
        <v>0</v>
      </c>
      <c r="C20" s="131" t="s">
        <v>26</v>
      </c>
      <c r="D20" s="132" t="str">
        <f>IF(C20="Str",'Personal File'!$C$7,IF(C20="Dex",'Personal File'!$C$8,IF(C20="Con",'Personal File'!$C$9,IF(C20="Int",'Personal File'!$C$10,IF(C20="Wis",'Personal File'!$C$11,IF(C20="Cha",'Personal File'!$C$12))))))</f>
        <v>+1</v>
      </c>
      <c r="E20" s="133" t="str">
        <f t="shared" si="4"/>
        <v>Wis (+1)</v>
      </c>
      <c r="F20" s="94" t="s">
        <v>55</v>
      </c>
      <c r="G20" s="94">
        <f t="shared" si="1"/>
        <v>1</v>
      </c>
      <c r="H20" s="76">
        <f t="shared" ca="1" si="5"/>
        <v>9</v>
      </c>
      <c r="I20" s="94">
        <f t="shared" ca="1" si="3"/>
        <v>10</v>
      </c>
      <c r="J20" s="95"/>
    </row>
    <row r="21" spans="1:10" s="100" customFormat="1" ht="16.8">
      <c r="A21" s="402" t="s">
        <v>43</v>
      </c>
      <c r="B21" s="127">
        <v>13</v>
      </c>
      <c r="C21" s="403" t="s">
        <v>27</v>
      </c>
      <c r="D21" s="404">
        <f>IF(C21="Str",'Personal File'!$C$7,IF(C21="Dex",'Personal File'!$C$8,IF(C21="Con",'Personal File'!$C$9,IF(C21="Int",'Personal File'!$C$10,IF(C21="Wis",'Personal File'!$C$11,IF(C21="Cha",'Personal File'!$C$12))))))</f>
        <v>-3</v>
      </c>
      <c r="E21" s="405" t="str">
        <f t="shared" si="4"/>
        <v>Dex (-3)</v>
      </c>
      <c r="F21" s="406">
        <f>SUM(Martial!$D$17:$D$21)+3</f>
        <v>1</v>
      </c>
      <c r="G21" s="128">
        <f t="shared" si="1"/>
        <v>11</v>
      </c>
      <c r="H21" s="76">
        <f t="shared" ca="1" si="5"/>
        <v>5</v>
      </c>
      <c r="I21" s="128">
        <f t="shared" ca="1" si="3"/>
        <v>16</v>
      </c>
      <c r="J21" s="129" t="s">
        <v>158</v>
      </c>
    </row>
    <row r="22" spans="1:10" s="100" customFormat="1" ht="16.8">
      <c r="A22" s="302" t="s">
        <v>44</v>
      </c>
      <c r="B22" s="127">
        <v>13</v>
      </c>
      <c r="C22" s="324" t="s">
        <v>23</v>
      </c>
      <c r="D22" s="325" t="str">
        <f>IF(C22="Str",'Personal File'!$C$7,IF(C22="Dex",'Personal File'!$C$8,IF(C22="Con",'Personal File'!$C$9,IF(C22="Int",'Personal File'!$C$10,IF(C22="Wis",'Personal File'!$C$11,IF(C22="Cha",'Personal File'!$C$12))))))</f>
        <v>+4</v>
      </c>
      <c r="E22" s="303" t="str">
        <f t="shared" si="4"/>
        <v>Cha (+4)</v>
      </c>
      <c r="F22" s="128" t="s">
        <v>55</v>
      </c>
      <c r="G22" s="128">
        <f t="shared" si="1"/>
        <v>17</v>
      </c>
      <c r="H22" s="76">
        <f t="shared" ca="1" si="5"/>
        <v>11</v>
      </c>
      <c r="I22" s="128">
        <f t="shared" ca="1" si="3"/>
        <v>28</v>
      </c>
      <c r="J22" s="129"/>
    </row>
    <row r="23" spans="1:10" s="100" customFormat="1" ht="16.8">
      <c r="A23" s="106" t="s">
        <v>45</v>
      </c>
      <c r="B23" s="89">
        <v>0</v>
      </c>
      <c r="C23" s="107" t="s">
        <v>28</v>
      </c>
      <c r="D23" s="108" t="str">
        <f>IF(C23="Str",'Personal File'!$C$7,IF(C23="Dex",'Personal File'!$C$8,IF(C23="Con",'Personal File'!$C$9,IF(C23="Int",'Personal File'!$C$10,IF(C23="Wis",'Personal File'!$C$11,IF(C23="Cha",'Personal File'!$C$12))))))</f>
        <v>+5</v>
      </c>
      <c r="E23" s="109" t="str">
        <f t="shared" si="4"/>
        <v>Str (+5)</v>
      </c>
      <c r="F23" s="94">
        <f>SUM(Martial!$D$17:$D$21)</f>
        <v>-2</v>
      </c>
      <c r="G23" s="94">
        <f t="shared" si="1"/>
        <v>3</v>
      </c>
      <c r="H23" s="76">
        <f t="shared" ca="1" si="5"/>
        <v>3</v>
      </c>
      <c r="I23" s="94">
        <f t="shared" ca="1" si="3"/>
        <v>6</v>
      </c>
      <c r="J23" s="95"/>
    </row>
    <row r="24" spans="1:10" s="100" customFormat="1" ht="16.8">
      <c r="A24" s="304" t="s">
        <v>173</v>
      </c>
      <c r="B24" s="127">
        <v>2</v>
      </c>
      <c r="C24" s="305" t="s">
        <v>25</v>
      </c>
      <c r="D24" s="306" t="str">
        <f>IF(C24="Str",'Personal File'!$C$7,IF(C24="Dex",'Personal File'!$C$8,IF(C24="Con",'Personal File'!$C$9,IF(C24="Int",'Personal File'!$C$10,IF(C24="Wis",'Personal File'!$C$11,IF(C24="Cha",'Personal File'!$C$12))))))</f>
        <v>+1</v>
      </c>
      <c r="E24" s="307" t="str">
        <f>CONCATENATE(C24," (",D24,")")</f>
        <v>Int (+1)</v>
      </c>
      <c r="F24" s="128" t="s">
        <v>55</v>
      </c>
      <c r="G24" s="128">
        <f t="shared" si="1"/>
        <v>3</v>
      </c>
      <c r="H24" s="76">
        <f t="shared" ca="1" si="5"/>
        <v>15</v>
      </c>
      <c r="I24" s="128">
        <f t="shared" ca="1" si="3"/>
        <v>18</v>
      </c>
      <c r="J24" s="129"/>
    </row>
    <row r="25" spans="1:10" s="100" customFormat="1" ht="16.8">
      <c r="A25" s="130" t="s">
        <v>46</v>
      </c>
      <c r="B25" s="89">
        <v>0</v>
      </c>
      <c r="C25" s="131" t="s">
        <v>26</v>
      </c>
      <c r="D25" s="132" t="str">
        <f>IF(C25="Str",'Personal File'!$C$7,IF(C25="Dex",'Personal File'!$C$8,IF(C25="Con",'Personal File'!$C$9,IF(C25="Int",'Personal File'!$C$10,IF(C25="Wis",'Personal File'!$C$11,IF(C25="Cha",'Personal File'!$C$12))))))</f>
        <v>+1</v>
      </c>
      <c r="E25" s="133" t="str">
        <f t="shared" si="4"/>
        <v>Wis (+1)</v>
      </c>
      <c r="F25" s="94" t="s">
        <v>55</v>
      </c>
      <c r="G25" s="94">
        <f t="shared" si="1"/>
        <v>1</v>
      </c>
      <c r="H25" s="76">
        <f t="shared" ca="1" si="5"/>
        <v>7</v>
      </c>
      <c r="I25" s="94">
        <f t="shared" ca="1" si="3"/>
        <v>8</v>
      </c>
      <c r="J25" s="95" t="s">
        <v>118</v>
      </c>
    </row>
    <row r="26" spans="1:10" s="100" customFormat="1" ht="16.8">
      <c r="A26" s="97" t="s">
        <v>11</v>
      </c>
      <c r="B26" s="89">
        <v>0</v>
      </c>
      <c r="C26" s="98" t="s">
        <v>27</v>
      </c>
      <c r="D26" s="99">
        <f>IF(C26="Str",'Personal File'!$C$7,IF(C26="Dex",'Personal File'!$C$8,IF(C26="Con",'Personal File'!$C$9,IF(C26="Int",'Personal File'!$C$10,IF(C26="Wis",'Personal File'!$C$11,IF(C26="Cha",'Personal File'!$C$12))))))</f>
        <v>-3</v>
      </c>
      <c r="E26" s="79" t="str">
        <f t="shared" si="4"/>
        <v>Dex (-3)</v>
      </c>
      <c r="F26" s="93">
        <f>SUM(Martial!$D$17:$D$21)</f>
        <v>-2</v>
      </c>
      <c r="G26" s="94">
        <f t="shared" si="1"/>
        <v>-5</v>
      </c>
      <c r="H26" s="76">
        <f t="shared" ca="1" si="5"/>
        <v>11</v>
      </c>
      <c r="I26" s="94">
        <f t="shared" ca="1" si="3"/>
        <v>6</v>
      </c>
      <c r="J26" s="95" t="s">
        <v>158</v>
      </c>
    </row>
    <row r="27" spans="1:10" s="100" customFormat="1" ht="16.8">
      <c r="A27" s="134" t="s">
        <v>47</v>
      </c>
      <c r="B27" s="112">
        <v>0</v>
      </c>
      <c r="C27" s="135" t="s">
        <v>27</v>
      </c>
      <c r="D27" s="136">
        <f>IF(C27="Str",'Personal File'!$C$7,IF(C27="Dex",'Personal File'!$C$8,IF(C27="Con",'Personal File'!$C$9,IF(C27="Int",'Personal File'!$C$10,IF(C27="Wis",'Personal File'!$C$11,IF(C27="Cha",'Personal File'!$C$12))))))</f>
        <v>-3</v>
      </c>
      <c r="E27" s="137" t="str">
        <f t="shared" si="4"/>
        <v>Dex (-3)</v>
      </c>
      <c r="F27" s="116" t="s">
        <v>55</v>
      </c>
      <c r="G27" s="116">
        <f t="shared" si="1"/>
        <v>-3</v>
      </c>
      <c r="H27" s="76">
        <f t="shared" ca="1" si="5"/>
        <v>9</v>
      </c>
      <c r="I27" s="116">
        <f t="shared" ca="1" si="3"/>
        <v>6</v>
      </c>
      <c r="J27" s="117"/>
    </row>
    <row r="28" spans="1:10" ht="16.8">
      <c r="A28" s="101" t="s">
        <v>83</v>
      </c>
      <c r="B28" s="89">
        <v>0</v>
      </c>
      <c r="C28" s="102" t="s">
        <v>23</v>
      </c>
      <c r="D28" s="103" t="str">
        <f>IF(C28="Str",'Personal File'!$C$7,IF(C28="Dex",'Personal File'!$C$8,IF(C28="Con",'Personal File'!$C$9,IF(C28="Int",'Personal File'!$C$10,IF(C28="Wis",'Personal File'!$C$11,IF(C28="Cha",'Personal File'!$C$12))))))</f>
        <v>+4</v>
      </c>
      <c r="E28" s="104" t="str">
        <f t="shared" si="4"/>
        <v>Cha (+4)</v>
      </c>
      <c r="F28" s="94" t="s">
        <v>55</v>
      </c>
      <c r="G28" s="94">
        <f t="shared" si="1"/>
        <v>4</v>
      </c>
      <c r="H28" s="76">
        <f t="shared" ca="1" si="5"/>
        <v>17</v>
      </c>
      <c r="I28" s="94">
        <f t="shared" ca="1" si="3"/>
        <v>21</v>
      </c>
      <c r="J28" s="95"/>
    </row>
    <row r="29" spans="1:10" ht="16.8">
      <c r="A29" s="138" t="s">
        <v>84</v>
      </c>
      <c r="B29" s="139">
        <v>0</v>
      </c>
      <c r="C29" s="140" t="s">
        <v>26</v>
      </c>
      <c r="D29" s="141" t="str">
        <f>IF(C29="Str",'Personal File'!$C$7,IF(C29="Dex",'Personal File'!$C$8,IF(C29="Con",'Personal File'!$C$9,IF(C29="Int",'Personal File'!$C$10,IF(C29="Wis",'Personal File'!$C$11,IF(C29="Cha",'Personal File'!$C$12))))))</f>
        <v>+1</v>
      </c>
      <c r="E29" s="142" t="str">
        <f t="shared" ref="E29" si="6">CONCATENATE(C29," (",D29,")")</f>
        <v>Wis (+1)</v>
      </c>
      <c r="F29" s="143" t="s">
        <v>55</v>
      </c>
      <c r="G29" s="144">
        <f t="shared" si="1"/>
        <v>1</v>
      </c>
      <c r="H29" s="76">
        <f t="shared" ca="1" si="5"/>
        <v>11</v>
      </c>
      <c r="I29" s="144">
        <f t="shared" ca="1" si="3"/>
        <v>12</v>
      </c>
      <c r="J29" s="145"/>
    </row>
    <row r="30" spans="1:10" ht="16.8">
      <c r="A30" s="97" t="s">
        <v>12</v>
      </c>
      <c r="B30" s="89">
        <v>0</v>
      </c>
      <c r="C30" s="98" t="s">
        <v>27</v>
      </c>
      <c r="D30" s="99">
        <f>IF(C30="Str",'Personal File'!$C$7,IF(C30="Dex",'Personal File'!$C$8,IF(C30="Con",'Personal File'!$C$9,IF(C30="Int",'Personal File'!$C$10,IF(C30="Wis",'Personal File'!$C$11,IF(C30="Cha",'Personal File'!$C$12))))))</f>
        <v>-3</v>
      </c>
      <c r="E30" s="79" t="str">
        <f t="shared" si="4"/>
        <v>Dex (-3)</v>
      </c>
      <c r="F30" s="94" t="s">
        <v>55</v>
      </c>
      <c r="G30" s="94">
        <f t="shared" si="1"/>
        <v>-3</v>
      </c>
      <c r="H30" s="76">
        <f t="shared" ca="1" si="5"/>
        <v>18</v>
      </c>
      <c r="I30" s="94">
        <f t="shared" ca="1" si="3"/>
        <v>15</v>
      </c>
      <c r="J30" s="95"/>
    </row>
    <row r="31" spans="1:10" ht="16.8">
      <c r="A31" s="304" t="s">
        <v>13</v>
      </c>
      <c r="B31" s="127">
        <v>15</v>
      </c>
      <c r="C31" s="305" t="s">
        <v>25</v>
      </c>
      <c r="D31" s="306" t="str">
        <f>IF(C31="Str",'Personal File'!$C$7,IF(C31="Dex",'Personal File'!$C$8,IF(C31="Con",'Personal File'!$C$9,IF(C31="Int",'Personal File'!$C$10,IF(C31="Wis",'Personal File'!$C$11,IF(C31="Cha",'Personal File'!$C$12))))))</f>
        <v>+1</v>
      </c>
      <c r="E31" s="307" t="str">
        <f t="shared" si="4"/>
        <v>Int (+1)</v>
      </c>
      <c r="F31" s="128" t="s">
        <v>55</v>
      </c>
      <c r="G31" s="128">
        <f t="shared" si="1"/>
        <v>16</v>
      </c>
      <c r="H31" s="76">
        <f t="shared" ca="1" si="5"/>
        <v>13</v>
      </c>
      <c r="I31" s="128">
        <f t="shared" ca="1" si="3"/>
        <v>29</v>
      </c>
      <c r="J31" s="129"/>
    </row>
    <row r="32" spans="1:10" ht="16.8">
      <c r="A32" s="130" t="s">
        <v>48</v>
      </c>
      <c r="B32" s="89">
        <v>0</v>
      </c>
      <c r="C32" s="131" t="s">
        <v>26</v>
      </c>
      <c r="D32" s="132" t="str">
        <f>IF(C32="Str",'Personal File'!$C$7,IF(C32="Dex",'Personal File'!$C$8,IF(C32="Con",'Personal File'!$C$9,IF(C32="Int",'Personal File'!$C$10,IF(C32="Wis",'Personal File'!$C$11,IF(C32="Cha",'Personal File'!$C$12))))))</f>
        <v>+1</v>
      </c>
      <c r="E32" s="133" t="str">
        <f t="shared" si="4"/>
        <v>Wis (+1)</v>
      </c>
      <c r="F32" s="94" t="s">
        <v>55</v>
      </c>
      <c r="G32" s="94">
        <f t="shared" si="1"/>
        <v>1</v>
      </c>
      <c r="H32" s="76">
        <f t="shared" ca="1" si="5"/>
        <v>12</v>
      </c>
      <c r="I32" s="94">
        <f t="shared" ca="1" si="3"/>
        <v>13</v>
      </c>
      <c r="J32" s="95"/>
    </row>
    <row r="33" spans="1:10" ht="16.8">
      <c r="A33" s="134" t="s">
        <v>73</v>
      </c>
      <c r="B33" s="112">
        <v>0</v>
      </c>
      <c r="C33" s="135" t="s">
        <v>27</v>
      </c>
      <c r="D33" s="136">
        <f>IF(C33="Str",'Personal File'!$C$7,IF(C33="Dex",'Personal File'!$C$8,IF(C33="Con",'Personal File'!$C$9,IF(C33="Int",'Personal File'!$C$10,IF(C33="Wis",'Personal File'!$C$11,IF(C33="Cha",'Personal File'!$C$12))))))</f>
        <v>-3</v>
      </c>
      <c r="E33" s="137" t="str">
        <f t="shared" si="4"/>
        <v>Dex (-3)</v>
      </c>
      <c r="F33" s="143">
        <f>SUM(Martial!$D$17:$D$21)</f>
        <v>-2</v>
      </c>
      <c r="G33" s="116">
        <f t="shared" si="1"/>
        <v>-5</v>
      </c>
      <c r="H33" s="76">
        <f t="shared" ca="1" si="5"/>
        <v>5</v>
      </c>
      <c r="I33" s="116">
        <f t="shared" ca="1" si="3"/>
        <v>0</v>
      </c>
      <c r="J33" s="117"/>
    </row>
    <row r="34" spans="1:10" ht="16.8">
      <c r="A34" s="146" t="s">
        <v>72</v>
      </c>
      <c r="B34" s="139">
        <v>0</v>
      </c>
      <c r="C34" s="147" t="s">
        <v>25</v>
      </c>
      <c r="D34" s="148" t="str">
        <f>IF(C34="Str",'Personal File'!$C$7,IF(C34="Dex",'Personal File'!$C$8,IF(C34="Con",'Personal File'!$C$9,IF(C34="Int",'Personal File'!$C$10,IF(C34="Wis",'Personal File'!$C$11,IF(C34="Cha",'Personal File'!$C$12))))))</f>
        <v>+1</v>
      </c>
      <c r="E34" s="149" t="str">
        <f t="shared" si="4"/>
        <v>Int (+1)</v>
      </c>
      <c r="F34" s="143" t="s">
        <v>55</v>
      </c>
      <c r="G34" s="116">
        <f t="shared" si="1"/>
        <v>1</v>
      </c>
      <c r="H34" s="76">
        <f t="shared" ca="1" si="5"/>
        <v>3</v>
      </c>
      <c r="I34" s="116">
        <f t="shared" ca="1" si="3"/>
        <v>4</v>
      </c>
      <c r="J34" s="150"/>
    </row>
    <row r="35" spans="1:10" ht="16.8">
      <c r="A35" s="146" t="s">
        <v>49</v>
      </c>
      <c r="B35" s="139">
        <v>0</v>
      </c>
      <c r="C35" s="147" t="s">
        <v>25</v>
      </c>
      <c r="D35" s="148" t="str">
        <f>IF(C35="Str",'Personal File'!$C$7,IF(C35="Dex",'Personal File'!$C$8,IF(C35="Con",'Personal File'!$C$9,IF(C35="Int",'Personal File'!$C$10,IF(C35="Wis",'Personal File'!$C$11,IF(C35="Cha",'Personal File'!$C$12))))))</f>
        <v>+1</v>
      </c>
      <c r="E35" s="149" t="str">
        <f t="shared" si="4"/>
        <v>Int (+1)</v>
      </c>
      <c r="F35" s="143" t="s">
        <v>55</v>
      </c>
      <c r="G35" s="143">
        <f t="shared" si="1"/>
        <v>1</v>
      </c>
      <c r="H35" s="76">
        <f t="shared" ca="1" si="5"/>
        <v>16</v>
      </c>
      <c r="I35" s="143">
        <f t="shared" ca="1" si="3"/>
        <v>17</v>
      </c>
      <c r="J35" s="150"/>
    </row>
    <row r="36" spans="1:10" ht="16.8">
      <c r="A36" s="130" t="s">
        <v>50</v>
      </c>
      <c r="B36" s="89">
        <v>0</v>
      </c>
      <c r="C36" s="131" t="s">
        <v>26</v>
      </c>
      <c r="D36" s="132" t="str">
        <f>IF(C36="Str",'Personal File'!$C$7,IF(C36="Dex",'Personal File'!$C$8,IF(C36="Con",'Personal File'!$C$9,IF(C36="Int",'Personal File'!$C$10,IF(C36="Wis",'Personal File'!$C$11,IF(C36="Cha",'Personal File'!$C$12))))))</f>
        <v>+1</v>
      </c>
      <c r="E36" s="133" t="str">
        <f t="shared" si="4"/>
        <v>Wis (+1)</v>
      </c>
      <c r="F36" s="94" t="s">
        <v>55</v>
      </c>
      <c r="G36" s="94">
        <f t="shared" si="1"/>
        <v>1</v>
      </c>
      <c r="H36" s="76">
        <f t="shared" ca="1" si="5"/>
        <v>17</v>
      </c>
      <c r="I36" s="94">
        <f t="shared" ca="1" si="3"/>
        <v>18</v>
      </c>
      <c r="J36" s="95" t="s">
        <v>118</v>
      </c>
    </row>
    <row r="37" spans="1:10" ht="16.8">
      <c r="A37" s="130" t="s">
        <v>74</v>
      </c>
      <c r="B37" s="89">
        <v>0</v>
      </c>
      <c r="C37" s="131" t="s">
        <v>26</v>
      </c>
      <c r="D37" s="132" t="str">
        <f>IF(C37="Str",'Personal File'!$C$7,IF(C37="Dex",'Personal File'!$C$8,IF(C37="Con",'Personal File'!$C$9,IF(C37="Int",'Personal File'!$C$10,IF(C37="Wis",'Personal File'!$C$11,IF(C37="Cha",'Personal File'!$C$12))))))</f>
        <v>+1</v>
      </c>
      <c r="E37" s="133" t="str">
        <f t="shared" si="4"/>
        <v>Wis (+1)</v>
      </c>
      <c r="F37" s="94" t="s">
        <v>55</v>
      </c>
      <c r="G37" s="94">
        <f t="shared" si="1"/>
        <v>1</v>
      </c>
      <c r="H37" s="76">
        <f t="shared" ca="1" si="5"/>
        <v>16</v>
      </c>
      <c r="I37" s="94">
        <f t="shared" ca="1" si="3"/>
        <v>17</v>
      </c>
      <c r="J37" s="95"/>
    </row>
    <row r="38" spans="1:10" ht="16.8">
      <c r="A38" s="287" t="s">
        <v>14</v>
      </c>
      <c r="B38" s="127">
        <v>9</v>
      </c>
      <c r="C38" s="288" t="s">
        <v>28</v>
      </c>
      <c r="D38" s="289" t="str">
        <f>IF(C38="Str",'Personal File'!$C$7,IF(C38="Dex",'Personal File'!$C$8,IF(C38="Con",'Personal File'!$C$9,IF(C38="Int",'Personal File'!$C$10,IF(C38="Wis",'Personal File'!$C$11,IF(C38="Cha",'Personal File'!$C$12))))))</f>
        <v>+5</v>
      </c>
      <c r="E38" s="290" t="str">
        <f t="shared" si="4"/>
        <v>Str (+5)</v>
      </c>
      <c r="F38" s="128" t="s">
        <v>113</v>
      </c>
      <c r="G38" s="128">
        <f t="shared" si="1"/>
        <v>17</v>
      </c>
      <c r="H38" s="76">
        <f t="shared" ca="1" si="5"/>
        <v>6</v>
      </c>
      <c r="I38" s="128">
        <f t="shared" ca="1" si="3"/>
        <v>23</v>
      </c>
      <c r="J38" s="407" t="s">
        <v>158</v>
      </c>
    </row>
    <row r="39" spans="1:10" ht="16.8">
      <c r="A39" s="151" t="s">
        <v>51</v>
      </c>
      <c r="B39" s="152">
        <v>0</v>
      </c>
      <c r="C39" s="153" t="s">
        <v>27</v>
      </c>
      <c r="D39" s="154">
        <f>IF(C39="Str",'Personal File'!$C$7,IF(C39="Dex",'Personal File'!$C$8,IF(C39="Con",'Personal File'!$C$9,IF(C39="Int",'Personal File'!$C$10,IF(C39="Wis",'Personal File'!$C$11,IF(C39="Cha",'Personal File'!$C$12))))))</f>
        <v>-3</v>
      </c>
      <c r="E39" s="155" t="str">
        <f t="shared" si="4"/>
        <v>Dex (-3)</v>
      </c>
      <c r="F39" s="143">
        <f>SUM(Martial!$D$17:$D$21)</f>
        <v>-2</v>
      </c>
      <c r="G39" s="116">
        <f t="shared" si="1"/>
        <v>-5</v>
      </c>
      <c r="H39" s="76">
        <f t="shared" ca="1" si="5"/>
        <v>8</v>
      </c>
      <c r="I39" s="116">
        <f t="shared" ca="1" si="3"/>
        <v>3</v>
      </c>
      <c r="J39" s="156"/>
    </row>
    <row r="40" spans="1:10" ht="16.8">
      <c r="A40" s="157" t="s">
        <v>52</v>
      </c>
      <c r="B40" s="112">
        <v>0</v>
      </c>
      <c r="C40" s="158" t="s">
        <v>23</v>
      </c>
      <c r="D40" s="159" t="str">
        <f>IF(C40="Str",'Personal File'!$C$7,IF(C40="Dex",'Personal File'!$C$8,IF(C40="Con",'Personal File'!$C$9,IF(C40="Int",'Personal File'!$C$10,IF(C40="Wis",'Personal File'!$C$11,IF(C40="Cha",'Personal File'!$C$12))))))</f>
        <v>+4</v>
      </c>
      <c r="E40" s="160" t="str">
        <f t="shared" si="4"/>
        <v>Cha (+4)</v>
      </c>
      <c r="F40" s="116" t="s">
        <v>55</v>
      </c>
      <c r="G40" s="116">
        <f t="shared" si="1"/>
        <v>4</v>
      </c>
      <c r="H40" s="76">
        <f t="shared" ca="1" si="5"/>
        <v>20</v>
      </c>
      <c r="I40" s="116">
        <f t="shared" ca="1" si="3"/>
        <v>24</v>
      </c>
      <c r="J40" s="117"/>
    </row>
    <row r="41" spans="1:10" ht="17.399999999999999" thickBot="1">
      <c r="A41" s="161" t="s">
        <v>53</v>
      </c>
      <c r="B41" s="162">
        <v>0</v>
      </c>
      <c r="C41" s="163" t="s">
        <v>27</v>
      </c>
      <c r="D41" s="164">
        <f>IF(C41="Str",'Personal File'!$C$7,IF(C41="Dex",'Personal File'!$C$8,IF(C41="Con",'Personal File'!$C$9,IF(C41="Int",'Personal File'!$C$10,IF(C41="Wis",'Personal File'!$C$11,IF(C41="Cha",'Personal File'!$C$12))))))</f>
        <v>-3</v>
      </c>
      <c r="E41" s="165" t="str">
        <f t="shared" si="4"/>
        <v>Dex (-3)</v>
      </c>
      <c r="F41" s="166" t="s">
        <v>55</v>
      </c>
      <c r="G41" s="166">
        <f t="shared" si="1"/>
        <v>-3</v>
      </c>
      <c r="H41" s="167">
        <f t="shared" ca="1" si="5"/>
        <v>18</v>
      </c>
      <c r="I41" s="166">
        <f t="shared" ca="1" si="3"/>
        <v>15</v>
      </c>
      <c r="J41" s="168"/>
    </row>
    <row r="42" spans="1:10" ht="16.2" thickTop="1">
      <c r="B42" s="169">
        <f>SUM(B6:B41)</f>
        <v>60</v>
      </c>
      <c r="E42" s="378">
        <f>SUM(E43:E55)</f>
        <v>60</v>
      </c>
      <c r="F42" s="170" t="s">
        <v>56</v>
      </c>
    </row>
    <row r="43" spans="1:10">
      <c r="B43" s="169"/>
      <c r="E43" s="378">
        <f>4*(2+'Personal File'!$C$10)</f>
        <v>12</v>
      </c>
      <c r="F43" s="172" t="s">
        <v>97</v>
      </c>
    </row>
    <row r="44" spans="1:10">
      <c r="E44" s="378">
        <f>2+'Personal File'!$C$10</f>
        <v>3</v>
      </c>
      <c r="F44" s="172" t="s">
        <v>103</v>
      </c>
    </row>
    <row r="45" spans="1:10">
      <c r="E45" s="378">
        <f>2+'Personal File'!$C$10</f>
        <v>3</v>
      </c>
      <c r="F45" s="172" t="s">
        <v>104</v>
      </c>
    </row>
    <row r="46" spans="1:10">
      <c r="E46" s="378">
        <f>2+'Personal File'!$C$10</f>
        <v>3</v>
      </c>
      <c r="F46" s="172" t="s">
        <v>105</v>
      </c>
    </row>
    <row r="47" spans="1:10">
      <c r="E47" s="378">
        <f>2+'Personal File'!$C$10</f>
        <v>3</v>
      </c>
      <c r="F47" s="172" t="s">
        <v>106</v>
      </c>
    </row>
    <row r="48" spans="1:10">
      <c r="E48" s="378">
        <f>2+'Personal File'!$C$10</f>
        <v>3</v>
      </c>
      <c r="F48" s="172" t="s">
        <v>107</v>
      </c>
    </row>
    <row r="49" spans="5:6">
      <c r="E49" s="378">
        <f>2+'Personal File'!$C$10</f>
        <v>3</v>
      </c>
      <c r="F49" s="172" t="s">
        <v>108</v>
      </c>
    </row>
    <row r="50" spans="5:6">
      <c r="E50" s="378">
        <f>2+'Personal File'!$C$10</f>
        <v>3</v>
      </c>
      <c r="F50" s="172" t="s">
        <v>109</v>
      </c>
    </row>
    <row r="51" spans="5:6">
      <c r="E51" s="378">
        <f>2+'Personal File'!$C$10</f>
        <v>3</v>
      </c>
      <c r="F51" s="172" t="s">
        <v>110</v>
      </c>
    </row>
    <row r="52" spans="5:6">
      <c r="E52" s="378">
        <f>2+'Personal File'!$C$10</f>
        <v>3</v>
      </c>
      <c r="F52" s="172" t="s">
        <v>111</v>
      </c>
    </row>
    <row r="53" spans="5:6">
      <c r="E53" s="378">
        <f>2+'Personal File'!$C$10</f>
        <v>3</v>
      </c>
      <c r="F53" s="172" t="s">
        <v>151</v>
      </c>
    </row>
    <row r="54" spans="5:6">
      <c r="E54" s="378">
        <f>2+'Personal File'!$C$10</f>
        <v>3</v>
      </c>
      <c r="F54" s="172" t="s">
        <v>153</v>
      </c>
    </row>
    <row r="55" spans="5:6">
      <c r="E55" s="169">
        <f>3+'Personal File'!E3</f>
        <v>15</v>
      </c>
      <c r="F55" s="172" t="s">
        <v>112</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1"/>
  <sheetViews>
    <sheetView showGridLines="0" zoomScaleNormal="100" workbookViewId="0"/>
  </sheetViews>
  <sheetFormatPr defaultColWidth="8.59765625" defaultRowHeight="16.8"/>
  <cols>
    <col min="1" max="1" width="35.5" style="174" bestFit="1" customWidth="1"/>
    <col min="2" max="2" width="1.8984375" style="175" customWidth="1"/>
    <col min="3" max="3" width="35.796875" style="173" bestFit="1" customWidth="1"/>
    <col min="4" max="4" width="8.59765625" style="177"/>
    <col min="5" max="16384" width="8.59765625" style="173"/>
  </cols>
  <sheetData>
    <row r="1" spans="1:3" ht="24" thickTop="1" thickBot="1">
      <c r="A1" s="176" t="s">
        <v>79</v>
      </c>
      <c r="B1" s="173"/>
      <c r="C1" s="176" t="s">
        <v>75</v>
      </c>
    </row>
    <row r="2" spans="1:3">
      <c r="A2" s="178" t="s">
        <v>98</v>
      </c>
      <c r="B2" s="173"/>
      <c r="C2" s="13" t="s">
        <v>176</v>
      </c>
    </row>
    <row r="3" spans="1:3">
      <c r="A3" s="178" t="s">
        <v>179</v>
      </c>
      <c r="B3" s="173"/>
      <c r="C3" s="13" t="str">
        <f>CONCATENATE("Touch of Vitality:  Heal ",2*'Personal File'!$E$3*'Personal File'!$C$12)</f>
        <v>Touch of Vitality:  Heal 96</v>
      </c>
    </row>
    <row r="4" spans="1:3">
      <c r="A4" s="178" t="s">
        <v>120</v>
      </c>
      <c r="B4" s="173"/>
      <c r="C4" s="13" t="s">
        <v>152</v>
      </c>
    </row>
    <row r="5" spans="1:3">
      <c r="A5" s="408" t="s">
        <v>185</v>
      </c>
      <c r="B5" s="173"/>
      <c r="C5" s="13" t="s">
        <v>168</v>
      </c>
    </row>
    <row r="6" spans="1:3">
      <c r="A6" s="178" t="s">
        <v>180</v>
      </c>
      <c r="B6" s="173"/>
      <c r="C6" s="13" t="s">
        <v>169</v>
      </c>
    </row>
    <row r="7" spans="1:3" ht="17.399999999999999" thickBot="1">
      <c r="A7" s="409" t="s">
        <v>186</v>
      </c>
      <c r="B7" s="173"/>
      <c r="C7" s="13" t="s">
        <v>175</v>
      </c>
    </row>
    <row r="8" spans="1:3" ht="18" thickTop="1" thickBot="1">
      <c r="B8" s="173"/>
      <c r="C8" s="13" t="s">
        <v>174</v>
      </c>
    </row>
    <row r="9" spans="1:3" ht="24" thickTop="1" thickBot="1">
      <c r="A9" s="8" t="s">
        <v>76</v>
      </c>
      <c r="B9" s="173"/>
      <c r="C9" s="13" t="s">
        <v>122</v>
      </c>
    </row>
    <row r="10" spans="1:3">
      <c r="A10" s="179" t="s">
        <v>77</v>
      </c>
      <c r="B10" s="173"/>
      <c r="C10" s="13" t="s">
        <v>150</v>
      </c>
    </row>
    <row r="11" spans="1:3">
      <c r="A11" s="13" t="s">
        <v>88</v>
      </c>
      <c r="B11" s="173"/>
      <c r="C11" s="13" t="s">
        <v>146</v>
      </c>
    </row>
    <row r="12" spans="1:3" ht="17.399999999999999" thickBot="1">
      <c r="A12" s="181" t="s">
        <v>92</v>
      </c>
      <c r="B12" s="173"/>
      <c r="C12" s="13" t="s">
        <v>94</v>
      </c>
    </row>
    <row r="13" spans="1:3" ht="17.399999999999999" thickTop="1">
      <c r="A13" s="29"/>
      <c r="B13" s="173"/>
      <c r="C13" s="13" t="s">
        <v>132</v>
      </c>
    </row>
    <row r="14" spans="1:3">
      <c r="B14" s="173"/>
      <c r="C14" s="13" t="str">
        <f>CONCATENATE("Aura:  Resistance, ",(RIGHT(C10,1)*5)," cold")</f>
        <v>Aura:  Resistance, 15 cold</v>
      </c>
    </row>
    <row r="15" spans="1:3">
      <c r="C15" s="13" t="s">
        <v>117</v>
      </c>
    </row>
    <row r="16" spans="1:3">
      <c r="C16" s="13" t="s">
        <v>96</v>
      </c>
    </row>
    <row r="17" spans="3:4" ht="17.399999999999999" thickBot="1">
      <c r="C17" s="286" t="s">
        <v>95</v>
      </c>
    </row>
    <row r="18" spans="3:4" ht="18" thickTop="1" thickBot="1"/>
    <row r="19" spans="3:4" ht="24" thickTop="1" thickBot="1">
      <c r="C19" s="9" t="s">
        <v>63</v>
      </c>
    </row>
    <row r="20" spans="3:4" ht="17.399999999999999" thickBot="1">
      <c r="C20" s="180" t="s">
        <v>137</v>
      </c>
    </row>
    <row r="21" spans="3:4" ht="17.399999999999999" thickTop="1">
      <c r="D21" s="173"/>
    </row>
  </sheetData>
  <sortState xmlns:xlrd2="http://schemas.microsoft.com/office/spreadsheetml/2017/richdata2" ref="A2:A7">
    <sortCondition ref="A2:A7"/>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2"/>
  <sheetViews>
    <sheetView showGridLines="0" zoomScaleNormal="100" workbookViewId="0"/>
  </sheetViews>
  <sheetFormatPr defaultColWidth="13" defaultRowHeight="15.6"/>
  <cols>
    <col min="1" max="1" width="28.5" style="183" bestFit="1" customWidth="1"/>
    <col min="2" max="2" width="8.59765625" style="183" customWidth="1"/>
    <col min="3" max="3" width="11.19921875" style="183" customWidth="1"/>
    <col min="4" max="4" width="6.19921875" style="183" bestFit="1" customWidth="1"/>
    <col min="5" max="5" width="8.5" style="183" bestFit="1" customWidth="1"/>
    <col min="6" max="6" width="8" style="183" bestFit="1" customWidth="1"/>
    <col min="7" max="7" width="4.5" style="183" bestFit="1" customWidth="1"/>
    <col min="8" max="8" width="5.59765625" style="183" customWidth="1"/>
    <col min="9" max="9" width="5.5" style="183" bestFit="1" customWidth="1"/>
    <col min="10" max="10" width="7.3984375" style="183" customWidth="1"/>
    <col min="11" max="11" width="21.19921875" style="183" bestFit="1" customWidth="1"/>
    <col min="12" max="12" width="2.19921875" style="183" customWidth="1"/>
    <col min="13" max="13" width="5.8984375" style="19" bestFit="1" customWidth="1"/>
    <col min="14" max="16384" width="13" style="19"/>
  </cols>
  <sheetData>
    <row r="1" spans="1:13" ht="23.4" thickBot="1">
      <c r="A1" s="182" t="s">
        <v>15</v>
      </c>
      <c r="B1" s="182"/>
      <c r="C1" s="182"/>
      <c r="D1" s="182"/>
      <c r="E1" s="182"/>
      <c r="F1" s="182"/>
      <c r="G1" s="182"/>
      <c r="H1" s="182"/>
      <c r="I1" s="182"/>
      <c r="J1" s="182"/>
      <c r="K1" s="182"/>
      <c r="M1" s="182"/>
    </row>
    <row r="2" spans="1:13" ht="16.8" thickTop="1" thickBot="1">
      <c r="A2" s="184" t="s">
        <v>1</v>
      </c>
      <c r="B2" s="185" t="s">
        <v>2</v>
      </c>
      <c r="C2" s="185" t="s">
        <v>18</v>
      </c>
      <c r="D2" s="185" t="s">
        <v>19</v>
      </c>
      <c r="E2" s="186" t="s">
        <v>57</v>
      </c>
      <c r="F2" s="185" t="s">
        <v>16</v>
      </c>
      <c r="G2" s="185" t="s">
        <v>20</v>
      </c>
      <c r="H2" s="187" t="s">
        <v>78</v>
      </c>
      <c r="I2" s="188" t="s">
        <v>80</v>
      </c>
      <c r="J2" s="187" t="s">
        <v>69</v>
      </c>
      <c r="K2" s="189" t="s">
        <v>67</v>
      </c>
      <c r="M2" s="190" t="s">
        <v>87</v>
      </c>
    </row>
    <row r="3" spans="1:13">
      <c r="A3" s="410" t="s">
        <v>181</v>
      </c>
      <c r="B3" s="414" t="s">
        <v>161</v>
      </c>
      <c r="C3" s="413" t="str">
        <f>CONCATENATE('Personal File'!$C$7," +2 +2")</f>
        <v>+5 +2 +2</v>
      </c>
      <c r="D3" s="422" t="s">
        <v>82</v>
      </c>
      <c r="E3" s="422" t="s">
        <v>99</v>
      </c>
      <c r="F3" s="423" t="s">
        <v>100</v>
      </c>
      <c r="G3" s="424">
        <v>9</v>
      </c>
      <c r="H3" s="417" t="str">
        <f>CONCATENATE('Personal File'!$B$5+'Personal File'!$C$7+D3+1)</f>
        <v>17</v>
      </c>
      <c r="I3" s="418">
        <f t="shared" ref="I3:I7" ca="1" si="0">RANDBETWEEN(1,20)</f>
        <v>7</v>
      </c>
      <c r="J3" s="419">
        <f t="shared" ref="J3:J7" ca="1" si="1">I3+H3</f>
        <v>24</v>
      </c>
      <c r="K3" s="420"/>
      <c r="L3" s="271"/>
      <c r="M3" s="343">
        <v>18000</v>
      </c>
    </row>
    <row r="4" spans="1:13">
      <c r="A4" s="191" t="s">
        <v>182</v>
      </c>
      <c r="B4" s="368" t="s">
        <v>161</v>
      </c>
      <c r="C4" s="193" t="str">
        <f>CONCATENATE('Personal File'!$C$7," +2 +2")</f>
        <v>+5 +2 +2</v>
      </c>
      <c r="D4" s="369" t="s">
        <v>82</v>
      </c>
      <c r="E4" s="369" t="s">
        <v>99</v>
      </c>
      <c r="F4" s="370" t="s">
        <v>100</v>
      </c>
      <c r="G4" s="383" t="s">
        <v>102</v>
      </c>
      <c r="H4" s="340" t="str">
        <f>CONCATENATE('Personal File'!$B$5+'Personal File'!$C$7+D4+1-5)</f>
        <v>12</v>
      </c>
      <c r="I4" s="195">
        <f t="shared" ca="1" si="0"/>
        <v>17</v>
      </c>
      <c r="J4" s="308">
        <f t="shared" ca="1" si="1"/>
        <v>29</v>
      </c>
      <c r="K4" s="341"/>
      <c r="L4" s="271"/>
      <c r="M4" s="348" t="s">
        <v>102</v>
      </c>
    </row>
    <row r="5" spans="1:13">
      <c r="A5" s="196" t="s">
        <v>183</v>
      </c>
      <c r="B5" s="197" t="s">
        <v>134</v>
      </c>
      <c r="C5" s="330">
        <v>0</v>
      </c>
      <c r="D5" s="331" t="s">
        <v>133</v>
      </c>
      <c r="E5" s="331" t="s">
        <v>135</v>
      </c>
      <c r="F5" s="332" t="s">
        <v>136</v>
      </c>
      <c r="G5" s="333">
        <v>1</v>
      </c>
      <c r="H5" s="334" t="str">
        <f>CONCATENATE('Personal File'!$B$5+'Personal File'!$C$7+D5)</f>
        <v>15</v>
      </c>
      <c r="I5" s="283">
        <f t="shared" ca="1" si="0"/>
        <v>17</v>
      </c>
      <c r="J5" s="282">
        <f t="shared" ref="J5" ca="1" si="2">I5+H5</f>
        <v>32</v>
      </c>
      <c r="K5" s="367"/>
      <c r="L5" s="271"/>
      <c r="M5" s="431">
        <v>2000</v>
      </c>
    </row>
    <row r="6" spans="1:13">
      <c r="A6" s="196" t="s">
        <v>192</v>
      </c>
      <c r="B6" s="197" t="s">
        <v>134</v>
      </c>
      <c r="C6" s="330">
        <v>0</v>
      </c>
      <c r="D6" s="331" t="s">
        <v>133</v>
      </c>
      <c r="E6" s="331" t="s">
        <v>115</v>
      </c>
      <c r="F6" s="332" t="s">
        <v>116</v>
      </c>
      <c r="G6" s="333">
        <v>2</v>
      </c>
      <c r="H6" s="334" t="str">
        <f>CONCATENATE('Personal File'!$B$5+'Personal File'!$C$7+D6)</f>
        <v>15</v>
      </c>
      <c r="I6" s="283">
        <f t="shared" ca="1" si="0"/>
        <v>12</v>
      </c>
      <c r="J6" s="282">
        <f t="shared" ref="J6" ca="1" si="3">I6+H6</f>
        <v>27</v>
      </c>
      <c r="K6" s="367"/>
      <c r="L6" s="271"/>
      <c r="M6" s="431">
        <v>300</v>
      </c>
    </row>
    <row r="7" spans="1:13" ht="16.2" thickBot="1">
      <c r="A7" s="295" t="s">
        <v>114</v>
      </c>
      <c r="B7" s="296" t="s">
        <v>134</v>
      </c>
      <c r="C7" s="297">
        <v>0</v>
      </c>
      <c r="D7" s="298" t="s">
        <v>55</v>
      </c>
      <c r="E7" s="298" t="s">
        <v>115</v>
      </c>
      <c r="F7" s="299" t="s">
        <v>116</v>
      </c>
      <c r="G7" s="300">
        <v>0</v>
      </c>
      <c r="H7" s="326" t="str">
        <f>CONCATENATE('Personal File'!$B$5+'Personal File'!$C$7+D7)</f>
        <v>14</v>
      </c>
      <c r="I7" s="327">
        <f t="shared" ca="1" si="0"/>
        <v>6</v>
      </c>
      <c r="J7" s="328">
        <f t="shared" ca="1" si="1"/>
        <v>20</v>
      </c>
      <c r="K7" s="329"/>
      <c r="M7" s="344" t="s">
        <v>102</v>
      </c>
    </row>
    <row r="8" spans="1:13" ht="6" customHeight="1" thickTop="1" thickBot="1">
      <c r="M8" s="345"/>
    </row>
    <row r="9" spans="1:13" ht="16.8" thickTop="1" thickBot="1">
      <c r="A9" s="184" t="s">
        <v>4</v>
      </c>
      <c r="B9" s="185" t="s">
        <v>5</v>
      </c>
      <c r="C9" s="185" t="s">
        <v>18</v>
      </c>
      <c r="D9" s="185" t="s">
        <v>19</v>
      </c>
      <c r="E9" s="186" t="s">
        <v>57</v>
      </c>
      <c r="F9" s="185" t="s">
        <v>6</v>
      </c>
      <c r="G9" s="185" t="s">
        <v>20</v>
      </c>
      <c r="H9" s="187" t="s">
        <v>78</v>
      </c>
      <c r="I9" s="188" t="s">
        <v>80</v>
      </c>
      <c r="J9" s="187" t="s">
        <v>69</v>
      </c>
      <c r="K9" s="189" t="s">
        <v>67</v>
      </c>
      <c r="M9" s="346" t="s">
        <v>87</v>
      </c>
    </row>
    <row r="10" spans="1:13">
      <c r="A10" s="410" t="s">
        <v>187</v>
      </c>
      <c r="B10" s="411" t="s">
        <v>161</v>
      </c>
      <c r="C10" s="412" t="s">
        <v>55</v>
      </c>
      <c r="D10" s="413">
        <v>1</v>
      </c>
      <c r="E10" s="414" t="s">
        <v>124</v>
      </c>
      <c r="F10" s="415" t="s">
        <v>119</v>
      </c>
      <c r="G10" s="416">
        <v>1</v>
      </c>
      <c r="H10" s="417" t="str">
        <f>CONCATENATE('Personal File'!$B$5+'Personal File'!$C$8+D10)</f>
        <v>7</v>
      </c>
      <c r="I10" s="418">
        <f t="shared" ref="I10:I14" ca="1" si="4">RANDBETWEEN(1,20)</f>
        <v>20</v>
      </c>
      <c r="J10" s="419">
        <f t="shared" ref="J10:J14" ca="1" si="5">I10+H10</f>
        <v>27</v>
      </c>
      <c r="K10" s="420"/>
      <c r="M10" s="347">
        <v>2000</v>
      </c>
    </row>
    <row r="11" spans="1:13">
      <c r="A11" s="191" t="s">
        <v>188</v>
      </c>
      <c r="B11" s="192" t="s">
        <v>161</v>
      </c>
      <c r="C11" s="194" t="s">
        <v>55</v>
      </c>
      <c r="D11" s="193">
        <v>1</v>
      </c>
      <c r="E11" s="368" t="s">
        <v>124</v>
      </c>
      <c r="F11" s="421" t="s">
        <v>119</v>
      </c>
      <c r="G11" s="383" t="s">
        <v>102</v>
      </c>
      <c r="H11" s="340" t="str">
        <f>CONCATENATE('Personal File'!$B$5+'Personal File'!$C$8+D11-5)</f>
        <v>2</v>
      </c>
      <c r="I11" s="195">
        <f t="shared" ca="1" si="4"/>
        <v>2</v>
      </c>
      <c r="J11" s="308">
        <f t="shared" ca="1" si="5"/>
        <v>4</v>
      </c>
      <c r="K11" s="341"/>
      <c r="M11" s="348" t="s">
        <v>102</v>
      </c>
    </row>
    <row r="12" spans="1:13">
      <c r="A12" s="191" t="s">
        <v>181</v>
      </c>
      <c r="B12" s="192" t="s">
        <v>161</v>
      </c>
      <c r="C12" s="193" t="str">
        <f>CONCATENATE('Personal File'!$C$7," +2 +2")</f>
        <v>+5 +2 +2</v>
      </c>
      <c r="D12" s="193">
        <v>2</v>
      </c>
      <c r="E12" s="197" t="s">
        <v>99</v>
      </c>
      <c r="F12" s="198" t="s">
        <v>145</v>
      </c>
      <c r="G12" s="222">
        <v>9</v>
      </c>
      <c r="H12" s="340" t="str">
        <f>CONCATENATE('Personal File'!$B$5+'Personal File'!$C$8+D12+1)</f>
        <v>9</v>
      </c>
      <c r="I12" s="195">
        <f t="shared" ca="1" si="4"/>
        <v>3</v>
      </c>
      <c r="J12" s="308">
        <f t="shared" ref="J12" ca="1" si="6">I12+H12</f>
        <v>12</v>
      </c>
      <c r="K12" s="341"/>
      <c r="M12" s="348" t="s">
        <v>102</v>
      </c>
    </row>
    <row r="13" spans="1:13">
      <c r="A13" s="425" t="s">
        <v>159</v>
      </c>
      <c r="B13" s="397" t="str">
        <f>CONCATENATE(2+ROUNDUP(('Personal File'!E3-4)/2,0),"d6")</f>
        <v>6d6</v>
      </c>
      <c r="C13" s="398" t="s">
        <v>160</v>
      </c>
      <c r="D13" s="426" t="s">
        <v>102</v>
      </c>
      <c r="E13" s="397" t="s">
        <v>102</v>
      </c>
      <c r="F13" s="427" t="s">
        <v>119</v>
      </c>
      <c r="G13" s="428" t="s">
        <v>102</v>
      </c>
      <c r="H13" s="429" t="s">
        <v>102</v>
      </c>
      <c r="I13" s="195" t="s">
        <v>102</v>
      </c>
      <c r="J13" s="429" t="s">
        <v>102</v>
      </c>
      <c r="K13" s="430" t="str">
        <f>CONCATENATE("DC 10 + 2 focus + ",ROUNDDOWN('Personal File'!E3/2,0))</f>
        <v>DC 10 + 2 focus + 6</v>
      </c>
      <c r="M13" s="348" t="s">
        <v>102</v>
      </c>
    </row>
    <row r="14" spans="1:13" ht="16.2" thickBot="1">
      <c r="A14" s="301" t="s">
        <v>184</v>
      </c>
      <c r="B14" s="11" t="s">
        <v>102</v>
      </c>
      <c r="C14" s="14" t="s">
        <v>102</v>
      </c>
      <c r="D14" s="11">
        <v>0</v>
      </c>
      <c r="E14" s="11" t="s">
        <v>102</v>
      </c>
      <c r="F14" s="11" t="s">
        <v>102</v>
      </c>
      <c r="G14" s="12" t="s">
        <v>102</v>
      </c>
      <c r="H14" s="199" t="str">
        <f>CONCATENATE('Personal File'!$B$5+'Personal File'!$C$8+D14)</f>
        <v>6</v>
      </c>
      <c r="I14" s="10">
        <f t="shared" ca="1" si="4"/>
        <v>13</v>
      </c>
      <c r="J14" s="199">
        <f t="shared" ca="1" si="5"/>
        <v>19</v>
      </c>
      <c r="K14" s="200"/>
      <c r="M14" s="344" t="s">
        <v>102</v>
      </c>
    </row>
    <row r="15" spans="1:13" ht="6" customHeight="1" thickTop="1" thickBot="1">
      <c r="D15" s="201"/>
      <c r="E15" s="201"/>
      <c r="G15" s="202"/>
      <c r="H15" s="202"/>
      <c r="I15" s="202"/>
      <c r="J15" s="202"/>
      <c r="M15" s="345"/>
    </row>
    <row r="16" spans="1:13" ht="16.8" thickTop="1" thickBot="1">
      <c r="A16" s="184" t="s">
        <v>61</v>
      </c>
      <c r="B16" s="185" t="s">
        <v>9</v>
      </c>
      <c r="C16" s="185" t="s">
        <v>27</v>
      </c>
      <c r="D16" s="185" t="s">
        <v>69</v>
      </c>
      <c r="E16" s="185" t="s">
        <v>70</v>
      </c>
      <c r="F16" s="185" t="s">
        <v>71</v>
      </c>
      <c r="G16" s="185" t="s">
        <v>20</v>
      </c>
      <c r="H16" s="203" t="s">
        <v>67</v>
      </c>
      <c r="I16" s="204"/>
      <c r="J16" s="204"/>
      <c r="K16" s="205"/>
      <c r="M16" s="346" t="s">
        <v>87</v>
      </c>
    </row>
    <row r="17" spans="1:13">
      <c r="A17" s="371" t="s">
        <v>177</v>
      </c>
      <c r="B17" s="372">
        <v>6</v>
      </c>
      <c r="C17" s="372">
        <v>3</v>
      </c>
      <c r="D17" s="372">
        <v>-2</v>
      </c>
      <c r="E17" s="373">
        <v>0.25</v>
      </c>
      <c r="F17" s="372" t="s">
        <v>154</v>
      </c>
      <c r="G17" s="218">
        <v>12.5</v>
      </c>
      <c r="H17" s="374"/>
      <c r="I17" s="375"/>
      <c r="J17" s="375"/>
      <c r="K17" s="376"/>
      <c r="M17" s="347">
        <v>18000</v>
      </c>
    </row>
    <row r="18" spans="1:13">
      <c r="A18" s="206" t="s">
        <v>178</v>
      </c>
      <c r="B18" s="238">
        <v>1</v>
      </c>
      <c r="C18" s="238" t="s">
        <v>102</v>
      </c>
      <c r="D18" s="238" t="s">
        <v>102</v>
      </c>
      <c r="E18" s="377" t="s">
        <v>102</v>
      </c>
      <c r="F18" s="238" t="s">
        <v>102</v>
      </c>
      <c r="G18" s="222">
        <v>1</v>
      </c>
      <c r="H18" s="207"/>
      <c r="I18" s="208"/>
      <c r="J18" s="208"/>
      <c r="K18" s="209"/>
      <c r="M18" s="351">
        <v>2000</v>
      </c>
    </row>
    <row r="19" spans="1:13">
      <c r="A19" s="384" t="s">
        <v>157</v>
      </c>
      <c r="B19" s="242">
        <v>2</v>
      </c>
      <c r="C19" s="242" t="s">
        <v>102</v>
      </c>
      <c r="D19" s="242" t="s">
        <v>102</v>
      </c>
      <c r="E19" s="385" t="s">
        <v>102</v>
      </c>
      <c r="F19" s="242" t="s">
        <v>102</v>
      </c>
      <c r="G19" s="386">
        <v>0</v>
      </c>
      <c r="H19" s="387"/>
      <c r="I19" s="388"/>
      <c r="J19" s="388"/>
      <c r="K19" s="389"/>
      <c r="M19" s="352">
        <v>4000</v>
      </c>
    </row>
    <row r="20" spans="1:13">
      <c r="A20" s="384" t="s">
        <v>144</v>
      </c>
      <c r="B20" s="242">
        <v>2</v>
      </c>
      <c r="C20" s="242" t="s">
        <v>102</v>
      </c>
      <c r="D20" s="242" t="s">
        <v>102</v>
      </c>
      <c r="E20" s="385" t="s">
        <v>102</v>
      </c>
      <c r="F20" s="242" t="s">
        <v>102</v>
      </c>
      <c r="G20" s="386">
        <v>0</v>
      </c>
      <c r="H20" s="387"/>
      <c r="I20" s="388"/>
      <c r="J20" s="388"/>
      <c r="K20" s="389"/>
      <c r="M20" s="352" t="s">
        <v>102</v>
      </c>
    </row>
    <row r="21" spans="1:13" ht="16.2" thickBot="1">
      <c r="A21" s="390" t="s">
        <v>155</v>
      </c>
      <c r="B21" s="391" t="s">
        <v>156</v>
      </c>
      <c r="C21" s="392" t="s">
        <v>102</v>
      </c>
      <c r="D21" s="392" t="s">
        <v>102</v>
      </c>
      <c r="E21" s="392" t="s">
        <v>102</v>
      </c>
      <c r="F21" s="392" t="s">
        <v>102</v>
      </c>
      <c r="G21" s="393">
        <v>0</v>
      </c>
      <c r="H21" s="394"/>
      <c r="I21" s="395"/>
      <c r="J21" s="395"/>
      <c r="K21" s="396"/>
      <c r="M21" s="344"/>
    </row>
    <row r="22" spans="1:13" ht="6.75" customHeight="1" thickTop="1" thickBot="1">
      <c r="M22" s="345"/>
    </row>
    <row r="23" spans="1:13" ht="16.8" thickTop="1" thickBot="1">
      <c r="A23" s="212"/>
      <c r="B23" s="202"/>
      <c r="C23" s="213" t="s">
        <v>62</v>
      </c>
      <c r="D23" s="204"/>
      <c r="E23" s="214"/>
      <c r="F23" s="187" t="s">
        <v>3</v>
      </c>
      <c r="G23" s="185" t="s">
        <v>20</v>
      </c>
      <c r="H23" s="187" t="s">
        <v>78</v>
      </c>
      <c r="I23" s="203" t="s">
        <v>67</v>
      </c>
      <c r="J23" s="204"/>
      <c r="K23" s="205"/>
      <c r="M23" s="346" t="s">
        <v>87</v>
      </c>
    </row>
    <row r="24" spans="1:13">
      <c r="A24" s="212"/>
      <c r="B24" s="202"/>
      <c r="C24" s="215" t="s">
        <v>121</v>
      </c>
      <c r="D24" s="216"/>
      <c r="E24" s="217"/>
      <c r="F24" s="335">
        <v>30</v>
      </c>
      <c r="G24" s="218">
        <f t="shared" ref="G24:G26" si="7">(F24*3)/20</f>
        <v>4.5</v>
      </c>
      <c r="H24" s="310" t="s">
        <v>55</v>
      </c>
      <c r="I24" s="219"/>
      <c r="J24" s="220"/>
      <c r="K24" s="221"/>
      <c r="M24" s="347">
        <v>0</v>
      </c>
    </row>
    <row r="25" spans="1:13">
      <c r="A25" s="212"/>
      <c r="B25" s="202"/>
      <c r="C25" s="314" t="s">
        <v>138</v>
      </c>
      <c r="D25" s="315"/>
      <c r="E25" s="316"/>
      <c r="F25" s="336">
        <v>5</v>
      </c>
      <c r="G25" s="317">
        <f t="shared" si="7"/>
        <v>0.75</v>
      </c>
      <c r="H25" s="318" t="s">
        <v>140</v>
      </c>
      <c r="I25" s="319" t="s">
        <v>141</v>
      </c>
      <c r="J25" s="320"/>
      <c r="K25" s="321"/>
      <c r="M25" s="350">
        <f t="shared" ref="M25:M29" si="8">F25*100</f>
        <v>500</v>
      </c>
    </row>
    <row r="26" spans="1:13">
      <c r="A26" s="212"/>
      <c r="B26" s="202"/>
      <c r="C26" s="314" t="s">
        <v>139</v>
      </c>
      <c r="D26" s="315"/>
      <c r="E26" s="316"/>
      <c r="F26" s="336">
        <v>1</v>
      </c>
      <c r="G26" s="317">
        <f t="shared" si="7"/>
        <v>0.15</v>
      </c>
      <c r="H26" s="318" t="s">
        <v>140</v>
      </c>
      <c r="I26" s="319" t="s">
        <v>141</v>
      </c>
      <c r="J26" s="320"/>
      <c r="K26" s="321"/>
      <c r="M26" s="350">
        <f t="shared" si="8"/>
        <v>100</v>
      </c>
    </row>
    <row r="27" spans="1:13">
      <c r="A27" s="212"/>
      <c r="B27" s="202"/>
      <c r="C27" s="314" t="s">
        <v>125</v>
      </c>
      <c r="D27" s="315"/>
      <c r="E27" s="316"/>
      <c r="F27" s="336">
        <v>3</v>
      </c>
      <c r="G27" s="317">
        <f t="shared" ref="G27:G29" si="9">(F27*3)/20</f>
        <v>0.45</v>
      </c>
      <c r="H27" s="318" t="s">
        <v>55</v>
      </c>
      <c r="I27" s="319" t="s">
        <v>128</v>
      </c>
      <c r="J27" s="320"/>
      <c r="K27" s="321"/>
      <c r="M27" s="350">
        <f t="shared" si="8"/>
        <v>300</v>
      </c>
    </row>
    <row r="28" spans="1:13">
      <c r="A28" s="212"/>
      <c r="B28" s="202"/>
      <c r="C28" s="223" t="s">
        <v>126</v>
      </c>
      <c r="D28" s="224"/>
      <c r="E28" s="225"/>
      <c r="F28" s="337">
        <v>4</v>
      </c>
      <c r="G28" s="222">
        <f t="shared" si="9"/>
        <v>0.6</v>
      </c>
      <c r="H28" s="311" t="s">
        <v>55</v>
      </c>
      <c r="I28" s="226" t="s">
        <v>129</v>
      </c>
      <c r="J28" s="227"/>
      <c r="K28" s="228"/>
      <c r="M28" s="351">
        <f t="shared" si="8"/>
        <v>400</v>
      </c>
    </row>
    <row r="29" spans="1:13" ht="16.2" thickBot="1">
      <c r="C29" s="229" t="s">
        <v>127</v>
      </c>
      <c r="D29" s="230"/>
      <c r="E29" s="231"/>
      <c r="F29" s="338">
        <v>4</v>
      </c>
      <c r="G29" s="210">
        <f t="shared" si="9"/>
        <v>0.6</v>
      </c>
      <c r="H29" s="312" t="s">
        <v>55</v>
      </c>
      <c r="I29" s="232" t="s">
        <v>130</v>
      </c>
      <c r="J29" s="233"/>
      <c r="K29" s="234"/>
      <c r="M29" s="349">
        <f t="shared" si="8"/>
        <v>400</v>
      </c>
    </row>
    <row r="30" spans="1:13" ht="16.8" thickTop="1" thickBot="1">
      <c r="M30" s="345"/>
    </row>
    <row r="31" spans="1:13" ht="16.8" thickTop="1" thickBot="1">
      <c r="C31" s="213" t="s">
        <v>85</v>
      </c>
      <c r="D31" s="204"/>
      <c r="E31" s="204"/>
      <c r="F31" s="204"/>
      <c r="G31" s="235" t="s">
        <v>3</v>
      </c>
      <c r="H31" s="235" t="s">
        <v>0</v>
      </c>
      <c r="I31" s="235" t="s">
        <v>86</v>
      </c>
      <c r="J31" s="203" t="s">
        <v>67</v>
      </c>
      <c r="K31" s="205"/>
      <c r="M31" s="346" t="s">
        <v>87</v>
      </c>
    </row>
    <row r="32" spans="1:13">
      <c r="C32" s="236" t="s">
        <v>162</v>
      </c>
      <c r="D32" s="237"/>
      <c r="E32" s="237"/>
      <c r="F32" s="237"/>
      <c r="G32" s="238">
        <v>1</v>
      </c>
      <c r="H32" s="238">
        <v>3</v>
      </c>
      <c r="I32" s="238">
        <v>5</v>
      </c>
      <c r="J32" s="226"/>
      <c r="K32" s="239"/>
      <c r="M32" s="351">
        <f t="shared" ref="M32:M34" si="10">25*G32*H32*I32</f>
        <v>375</v>
      </c>
    </row>
    <row r="33" spans="3:13">
      <c r="C33" s="240" t="s">
        <v>163</v>
      </c>
      <c r="D33" s="241"/>
      <c r="E33" s="241"/>
      <c r="F33" s="241"/>
      <c r="G33" s="242">
        <v>1</v>
      </c>
      <c r="H33" s="242" t="s">
        <v>82</v>
      </c>
      <c r="I33" s="242">
        <v>3</v>
      </c>
      <c r="J33" s="243"/>
      <c r="K33" s="244"/>
      <c r="M33" s="352">
        <f t="shared" si="10"/>
        <v>150</v>
      </c>
    </row>
    <row r="34" spans="3:13" ht="16.2" thickBot="1">
      <c r="C34" s="245" t="s">
        <v>164</v>
      </c>
      <c r="D34" s="230"/>
      <c r="E34" s="230"/>
      <c r="F34" s="230"/>
      <c r="G34" s="246">
        <v>1</v>
      </c>
      <c r="H34" s="246" t="s">
        <v>82</v>
      </c>
      <c r="I34" s="246">
        <v>3</v>
      </c>
      <c r="J34" s="232"/>
      <c r="K34" s="211"/>
      <c r="M34" s="349">
        <f t="shared" si="10"/>
        <v>150</v>
      </c>
    </row>
    <row r="35" spans="3:13" ht="16.2" thickTop="1">
      <c r="M35" s="345"/>
    </row>
    <row r="36" spans="3:13">
      <c r="M36" s="183"/>
    </row>
    <row r="37" spans="3:13">
      <c r="M37" s="183"/>
    </row>
    <row r="38" spans="3:13">
      <c r="M38" s="183"/>
    </row>
    <row r="39" spans="3:13">
      <c r="M39" s="183"/>
    </row>
    <row r="40" spans="3:13">
      <c r="M40" s="183"/>
    </row>
    <row r="41" spans="3:13">
      <c r="M41" s="183"/>
    </row>
    <row r="42" spans="3:13">
      <c r="M42" s="183"/>
    </row>
  </sheetData>
  <phoneticPr fontId="0" type="noConversion"/>
  <conditionalFormatting sqref="I7">
    <cfRule type="cellIs" dxfId="18" priority="23" operator="equal">
      <formula>20</formula>
    </cfRule>
    <cfRule type="cellIs" dxfId="17" priority="24" operator="equal">
      <formula>1</formula>
    </cfRule>
  </conditionalFormatting>
  <conditionalFormatting sqref="I14">
    <cfRule type="cellIs" dxfId="16" priority="21" operator="equal">
      <formula>20</formula>
    </cfRule>
    <cfRule type="cellIs" dxfId="15" priority="22" operator="equal">
      <formula>1</formula>
    </cfRule>
  </conditionalFormatting>
  <conditionalFormatting sqref="I10 I12">
    <cfRule type="cellIs" dxfId="14" priority="13" operator="equal">
      <formula>20</formula>
    </cfRule>
    <cfRule type="cellIs" dxfId="13" priority="14" operator="equal">
      <formula>1</formula>
    </cfRule>
  </conditionalFormatting>
  <conditionalFormatting sqref="I3 I5">
    <cfRule type="cellIs" dxfId="12" priority="11" operator="equal">
      <formula>20</formula>
    </cfRule>
    <cfRule type="cellIs" dxfId="11" priority="12" operator="equal">
      <formula>1</formula>
    </cfRule>
  </conditionalFormatting>
  <conditionalFormatting sqref="I4">
    <cfRule type="cellIs" dxfId="10" priority="9" operator="equal">
      <formula>20</formula>
    </cfRule>
    <cfRule type="cellIs" dxfId="9" priority="10" operator="equal">
      <formula>1</formula>
    </cfRule>
  </conditionalFormatting>
  <conditionalFormatting sqref="I11">
    <cfRule type="cellIs" dxfId="8" priority="7" operator="equal">
      <formula>20</formula>
    </cfRule>
    <cfRule type="cellIs" dxfId="7" priority="8" operator="equal">
      <formula>1</formula>
    </cfRule>
  </conditionalFormatting>
  <conditionalFormatting sqref="I13">
    <cfRule type="cellIs" dxfId="6" priority="5" operator="equal">
      <formula>20</formula>
    </cfRule>
    <cfRule type="cellIs" dxfId="5" priority="6" operator="equal">
      <formula>1</formula>
    </cfRule>
  </conditionalFormatting>
  <conditionalFormatting sqref="I6">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1"/>
  <sheetViews>
    <sheetView showGridLines="0" workbookViewId="0"/>
  </sheetViews>
  <sheetFormatPr defaultColWidth="13" defaultRowHeight="15.6"/>
  <cols>
    <col min="1" max="1" width="29.19921875" style="183" bestFit="1" customWidth="1"/>
    <col min="2" max="2" width="4.5" style="183" bestFit="1" customWidth="1"/>
    <col min="3" max="3" width="5.59765625" style="202" bestFit="1" customWidth="1"/>
    <col min="4" max="5" width="26.59765625" style="19" customWidth="1"/>
    <col min="6" max="6" width="2.3984375" style="183" customWidth="1"/>
    <col min="7" max="7" width="5.8984375" style="19" bestFit="1" customWidth="1"/>
    <col min="8" max="16384" width="13" style="19"/>
  </cols>
  <sheetData>
    <row r="1" spans="1:7" ht="23.4" thickBot="1">
      <c r="A1" s="182" t="s">
        <v>64</v>
      </c>
      <c r="B1" s="182"/>
      <c r="C1" s="248"/>
      <c r="D1" s="182"/>
      <c r="E1" s="182"/>
    </row>
    <row r="2" spans="1:7" s="183" customFormat="1" ht="16.8" thickTop="1" thickBot="1">
      <c r="A2" s="249" t="s">
        <v>65</v>
      </c>
      <c r="B2" s="249" t="s">
        <v>3</v>
      </c>
      <c r="C2" s="250" t="s">
        <v>20</v>
      </c>
      <c r="D2" s="251" t="s">
        <v>66</v>
      </c>
      <c r="E2" s="252" t="s">
        <v>67</v>
      </c>
      <c r="G2" s="253" t="s">
        <v>87</v>
      </c>
    </row>
    <row r="3" spans="1:7">
      <c r="A3" s="278" t="s">
        <v>142</v>
      </c>
      <c r="B3" s="279">
        <v>1</v>
      </c>
      <c r="C3" s="274">
        <v>0</v>
      </c>
      <c r="D3" s="339" t="s">
        <v>143</v>
      </c>
      <c r="E3" s="342" t="s">
        <v>147</v>
      </c>
      <c r="G3" s="354">
        <v>2000</v>
      </c>
    </row>
    <row r="4" spans="1:7">
      <c r="A4" s="254" t="s">
        <v>193</v>
      </c>
      <c r="B4" s="255">
        <v>1</v>
      </c>
      <c r="C4" s="258">
        <v>0</v>
      </c>
      <c r="D4" s="281"/>
      <c r="E4" s="257"/>
      <c r="G4" s="353" t="s">
        <v>194</v>
      </c>
    </row>
    <row r="5" spans="1:7">
      <c r="A5" s="254" t="s">
        <v>189</v>
      </c>
      <c r="B5" s="255">
        <v>1</v>
      </c>
      <c r="C5" s="258">
        <v>1</v>
      </c>
      <c r="D5" s="281"/>
      <c r="E5" s="257"/>
      <c r="G5" s="353">
        <v>3300</v>
      </c>
    </row>
    <row r="6" spans="1:7">
      <c r="A6" s="254" t="s">
        <v>191</v>
      </c>
      <c r="B6" s="255">
        <v>1</v>
      </c>
      <c r="C6" s="258">
        <v>0</v>
      </c>
      <c r="D6" s="281"/>
      <c r="E6" s="257"/>
      <c r="G6" s="353">
        <v>8000</v>
      </c>
    </row>
    <row r="7" spans="1:7" ht="16.2" thickBot="1">
      <c r="A7" s="280" t="s">
        <v>190</v>
      </c>
      <c r="B7" s="260">
        <v>1</v>
      </c>
      <c r="C7" s="261">
        <v>2</v>
      </c>
      <c r="D7" s="363"/>
      <c r="E7" s="263"/>
      <c r="G7" s="355">
        <v>3100</v>
      </c>
    </row>
    <row r="8" spans="1:7" ht="24" thickTop="1" thickBot="1">
      <c r="A8" s="182" t="s">
        <v>68</v>
      </c>
      <c r="B8" s="182"/>
      <c r="C8" s="264"/>
      <c r="D8" s="182"/>
      <c r="E8" s="265"/>
      <c r="F8" s="271"/>
      <c r="G8" s="356"/>
    </row>
    <row r="9" spans="1:7" ht="16.8" thickTop="1" thickBot="1">
      <c r="A9" s="249" t="s">
        <v>65</v>
      </c>
      <c r="B9" s="249" t="s">
        <v>3</v>
      </c>
      <c r="C9" s="250" t="s">
        <v>20</v>
      </c>
      <c r="D9" s="251" t="s">
        <v>66</v>
      </c>
      <c r="E9" s="252" t="s">
        <v>67</v>
      </c>
      <c r="G9" s="357" t="s">
        <v>87</v>
      </c>
    </row>
    <row r="10" spans="1:7">
      <c r="A10" s="266"/>
      <c r="B10" s="267"/>
      <c r="C10" s="268"/>
      <c r="D10" s="269"/>
      <c r="E10" s="270"/>
      <c r="F10" s="271"/>
      <c r="G10" s="358"/>
    </row>
    <row r="11" spans="1:7">
      <c r="A11" s="272"/>
      <c r="B11" s="273"/>
      <c r="C11" s="274"/>
      <c r="D11" s="275"/>
      <c r="E11" s="276"/>
      <c r="G11" s="359"/>
    </row>
    <row r="12" spans="1:7">
      <c r="A12" s="272"/>
      <c r="B12" s="273"/>
      <c r="C12" s="274"/>
      <c r="D12" s="277"/>
      <c r="E12" s="276"/>
      <c r="G12" s="359"/>
    </row>
    <row r="13" spans="1:7" ht="16.2" thickBot="1">
      <c r="A13" s="259"/>
      <c r="B13" s="260"/>
      <c r="C13" s="261"/>
      <c r="D13" s="262"/>
      <c r="E13" s="263"/>
      <c r="G13" s="355"/>
    </row>
    <row r="14" spans="1:7" ht="24" thickTop="1" thickBot="1">
      <c r="A14" s="182" t="s">
        <v>148</v>
      </c>
      <c r="B14" s="182"/>
      <c r="C14" s="264"/>
      <c r="D14" s="182"/>
      <c r="E14" s="265"/>
      <c r="F14" s="360"/>
      <c r="G14" s="247"/>
    </row>
    <row r="15" spans="1:7" ht="16.8" thickTop="1" thickBot="1">
      <c r="A15" s="249" t="s">
        <v>65</v>
      </c>
      <c r="B15" s="249" t="s">
        <v>3</v>
      </c>
      <c r="C15" s="250" t="s">
        <v>20</v>
      </c>
      <c r="D15" s="251" t="s">
        <v>66</v>
      </c>
      <c r="E15" s="252" t="s">
        <v>67</v>
      </c>
      <c r="F15" s="247"/>
      <c r="G15" s="253" t="s">
        <v>87</v>
      </c>
    </row>
    <row r="16" spans="1:7">
      <c r="A16" s="278"/>
      <c r="B16" s="273"/>
      <c r="C16" s="274"/>
      <c r="D16" s="281"/>
      <c r="E16" s="342"/>
      <c r="F16" s="247"/>
      <c r="G16" s="353"/>
    </row>
    <row r="17" spans="1:7">
      <c r="A17" s="361"/>
      <c r="B17" s="362"/>
      <c r="C17" s="256"/>
      <c r="D17" s="281"/>
      <c r="E17" s="342"/>
      <c r="F17" s="247"/>
      <c r="G17" s="353"/>
    </row>
    <row r="18" spans="1:7">
      <c r="A18" s="361"/>
      <c r="B18" s="362"/>
      <c r="C18" s="256"/>
      <c r="D18" s="281"/>
      <c r="E18" s="342"/>
      <c r="F18" s="247"/>
      <c r="G18" s="353"/>
    </row>
    <row r="19" spans="1:7" ht="16.2" thickBot="1">
      <c r="A19" s="259"/>
      <c r="B19" s="260"/>
      <c r="C19" s="261"/>
      <c r="D19" s="363"/>
      <c r="E19" s="364"/>
      <c r="F19" s="247"/>
      <c r="G19" s="355"/>
    </row>
    <row r="20" spans="1:7" ht="16.2" thickTop="1">
      <c r="A20" s="271"/>
      <c r="B20" s="365" t="s">
        <v>149</v>
      </c>
      <c r="C20" s="366">
        <f>SUM(C16:C19)/100</f>
        <v>0</v>
      </c>
      <c r="D20" s="247"/>
      <c r="E20" s="247"/>
      <c r="F20" s="247"/>
      <c r="G20" s="247"/>
    </row>
    <row r="21" spans="1:7">
      <c r="E21" s="65" t="s">
        <v>89</v>
      </c>
      <c r="G21" s="345">
        <f>SUM(Martial!M3:M34,Equipment!G3:G19)</f>
        <v>65075</v>
      </c>
    </row>
  </sheetData>
  <sortState xmlns:xlrd2="http://schemas.microsoft.com/office/spreadsheetml/2017/richdata2" ref="A8:E24">
    <sortCondition ref="A8:A24"/>
  </sortState>
  <phoneticPr fontId="0" type="noConversion"/>
  <conditionalFormatting sqref="C20">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2020-11-28T13:14:20Z</dcterms:modified>
</cp:coreProperties>
</file>