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A\Jue\DoW\NPCs\"/>
    </mc:Choice>
  </mc:AlternateContent>
  <xr:revisionPtr revIDLastSave="0" documentId="13_ncr:1_{E569739F-D8C0-45DE-8D75-4B8E61191E54}"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une" sheetId="21" r:id="rId3"/>
    <sheet name="Spells" sheetId="20" r:id="rId4"/>
    <sheet name="Feats" sheetId="23" r:id="rId5"/>
    <sheet name="Martial" sheetId="6" r:id="rId6"/>
    <sheet name="Equipment" sheetId="19" r:id="rId7"/>
    <sheet name="Mount" sheetId="22" r:id="rId8"/>
  </sheets>
  <externalReferences>
    <externalReference r:id="rId9"/>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7">Mount!$A$1:$H$12</definedName>
    <definedName name="_xlnm.Print_Area" localSheetId="0">'Personal File'!$A$1:$H$13</definedName>
    <definedName name="_xlnm.Print_Area" localSheetId="1">Skills!$A$1:$K$28</definedName>
    <definedName name="_xlnm.Print_Area" localSheetId="3">Spells!#REF!</definedName>
    <definedName name="_xlnm.Print_Area" localSheetId="2">Sune!$A$1:$I$14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D3" i="6" l="1"/>
  <c r="I3" i="6"/>
  <c r="D4" i="6"/>
  <c r="I4" i="6"/>
  <c r="D5" i="6"/>
  <c r="I5" i="6"/>
  <c r="D6" i="6"/>
  <c r="I6" i="6"/>
  <c r="M36" i="6" l="1"/>
  <c r="B6" i="4" l="1"/>
  <c r="B10" i="4" l="1"/>
  <c r="B43" i="15" l="1"/>
  <c r="B5" i="15" l="1"/>
  <c r="B4" i="15"/>
  <c r="B3" i="15"/>
  <c r="B9" i="4"/>
  <c r="B12" i="4" l="1"/>
  <c r="I7" i="20" l="1"/>
  <c r="J7" i="20"/>
  <c r="G9" i="20" l="1"/>
  <c r="E6" i="4" l="1"/>
  <c r="G13" i="20" l="1"/>
  <c r="B13" i="4" l="1"/>
  <c r="H10" i="15" l="1"/>
  <c r="H13" i="15"/>
  <c r="H11" i="15"/>
  <c r="H9" i="15"/>
  <c r="H8" i="15"/>
  <c r="M38" i="6" l="1"/>
  <c r="I21" i="6" l="1"/>
  <c r="I20" i="6"/>
  <c r="I19" i="6"/>
  <c r="I14" i="6"/>
  <c r="I10" i="6"/>
  <c r="I13" i="6"/>
  <c r="I9" i="6"/>
  <c r="F40" i="15" l="1"/>
  <c r="F34" i="15"/>
  <c r="F27" i="15"/>
  <c r="F23" i="15"/>
  <c r="F21" i="15"/>
  <c r="F16" i="15"/>
  <c r="F7" i="15"/>
  <c r="B25" i="6"/>
  <c r="H20" i="15" l="1"/>
  <c r="G31" i="6" l="1"/>
  <c r="I18" i="6" l="1"/>
  <c r="M35" i="6" l="1"/>
  <c r="F9" i="15" l="1"/>
  <c r="G6" i="19" l="1"/>
  <c r="H7" i="20" l="1"/>
  <c r="G17" i="20" l="1"/>
  <c r="G15" i="20"/>
  <c r="I8" i="6" l="1"/>
  <c r="I7" i="6"/>
  <c r="I12" i="6" l="1"/>
  <c r="I11" i="6"/>
  <c r="H24" i="15" l="1"/>
  <c r="G7" i="20" l="1"/>
  <c r="I15" i="6" l="1"/>
  <c r="G24" i="19" l="1"/>
  <c r="E9" i="4"/>
  <c r="C9" i="22"/>
  <c r="C8" i="22"/>
  <c r="C7" i="22"/>
  <c r="C6" i="22"/>
  <c r="C5" i="22"/>
  <c r="C4" i="22"/>
  <c r="E58" i="15" l="1"/>
  <c r="H30" i="15"/>
  <c r="H29" i="15"/>
  <c r="H28" i="15"/>
  <c r="H27" i="15"/>
  <c r="H26" i="15"/>
  <c r="H25" i="15"/>
  <c r="H23" i="15"/>
  <c r="H22" i="15"/>
  <c r="H21" i="15"/>
  <c r="H19" i="15"/>
  <c r="H18" i="15"/>
  <c r="H17" i="15"/>
  <c r="H16" i="15"/>
  <c r="H15" i="15"/>
  <c r="H14" i="15"/>
  <c r="H12" i="15"/>
  <c r="H39" i="15"/>
  <c r="I22" i="6" l="1"/>
  <c r="H42" i="15" l="1"/>
  <c r="H41" i="15"/>
  <c r="H40" i="15"/>
  <c r="H38" i="15"/>
  <c r="H37" i="15"/>
  <c r="H36" i="15"/>
  <c r="H35" i="15"/>
  <c r="H34" i="15"/>
  <c r="H33" i="15"/>
  <c r="H32" i="15"/>
  <c r="H31" i="15"/>
  <c r="H5" i="15"/>
  <c r="H4" i="15"/>
  <c r="H3" i="15"/>
  <c r="H7" i="15"/>
  <c r="H6" i="15"/>
  <c r="C13" i="4" l="1"/>
  <c r="C3" i="23" s="1"/>
  <c r="C12" i="4"/>
  <c r="C11" i="4"/>
  <c r="C10" i="4"/>
  <c r="E10" i="4" s="1"/>
  <c r="C9" i="4"/>
  <c r="E11" i="4" s="1"/>
  <c r="C8" i="4"/>
  <c r="E50" i="15" l="1"/>
  <c r="E49" i="15"/>
  <c r="E57" i="15"/>
  <c r="E56" i="15"/>
  <c r="E55" i="15"/>
  <c r="C3" i="6"/>
  <c r="C4" i="6"/>
  <c r="C5" i="6"/>
  <c r="C6" i="6"/>
  <c r="H6" i="6"/>
  <c r="J6" i="6" s="1"/>
  <c r="H3" i="6"/>
  <c r="F3" i="15"/>
  <c r="F5" i="15"/>
  <c r="F4" i="15"/>
  <c r="C21" i="20"/>
  <c r="C7" i="20"/>
  <c r="C16" i="20"/>
  <c r="C19" i="20"/>
  <c r="C20" i="20"/>
  <c r="C17" i="20"/>
  <c r="C15" i="20"/>
  <c r="C14" i="20"/>
  <c r="C18" i="20"/>
  <c r="C6" i="20"/>
  <c r="H14" i="6"/>
  <c r="H10" i="6"/>
  <c r="B7" i="4"/>
  <c r="H18" i="6"/>
  <c r="C6" i="23"/>
  <c r="C4" i="20"/>
  <c r="C8" i="20"/>
  <c r="C5" i="20"/>
  <c r="C9" i="20"/>
  <c r="C10" i="20"/>
  <c r="C3" i="20"/>
  <c r="G14" i="20"/>
  <c r="G16" i="20"/>
  <c r="G18" i="20"/>
  <c r="C14" i="6"/>
  <c r="C10" i="6"/>
  <c r="C9" i="6"/>
  <c r="C13" i="6"/>
  <c r="C8" i="6"/>
  <c r="C7" i="6"/>
  <c r="E13" i="4"/>
  <c r="E12" i="4" s="1"/>
  <c r="H22" i="6"/>
  <c r="J22" i="6" s="1"/>
  <c r="C12" i="6"/>
  <c r="H15" i="6"/>
  <c r="J15" i="6" s="1"/>
  <c r="H7" i="6"/>
  <c r="H11" i="6"/>
  <c r="C11" i="6"/>
  <c r="E54" i="15"/>
  <c r="D24" i="15"/>
  <c r="E44" i="15"/>
  <c r="D6" i="15"/>
  <c r="G6" i="15" s="1"/>
  <c r="E52" i="15"/>
  <c r="E46" i="15"/>
  <c r="E51" i="15"/>
  <c r="E45" i="15"/>
  <c r="E53" i="15"/>
  <c r="D25" i="15"/>
  <c r="E48" i="15"/>
  <c r="E47" i="15"/>
  <c r="D4" i="15"/>
  <c r="D5" i="15"/>
  <c r="D3" i="15"/>
  <c r="D36" i="15"/>
  <c r="D38" i="15"/>
  <c r="D35" i="15"/>
  <c r="B23" i="19"/>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H4" i="6" l="1"/>
  <c r="J3" i="6"/>
  <c r="J18" i="6"/>
  <c r="H19" i="6"/>
  <c r="J11" i="6"/>
  <c r="H12" i="6"/>
  <c r="J7" i="6"/>
  <c r="H8" i="6"/>
  <c r="G24" i="15"/>
  <c r="I24" i="15" s="1"/>
  <c r="E24" i="15"/>
  <c r="E6" i="15"/>
  <c r="G25" i="15"/>
  <c r="I25" i="15" s="1"/>
  <c r="E25" i="15"/>
  <c r="E43" i="15"/>
  <c r="I6" i="15"/>
  <c r="E22" i="15"/>
  <c r="G22" i="15"/>
  <c r="E8" i="15"/>
  <c r="G8" i="15"/>
  <c r="E18" i="15"/>
  <c r="G18" i="15"/>
  <c r="E23" i="15"/>
  <c r="G23" i="15"/>
  <c r="E31" i="15"/>
  <c r="G31" i="15"/>
  <c r="E14" i="15"/>
  <c r="G14" i="15"/>
  <c r="E19" i="15"/>
  <c r="G19" i="15"/>
  <c r="E40" i="15"/>
  <c r="G40" i="15"/>
  <c r="E38" i="15"/>
  <c r="G38"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H5" i="6" l="1"/>
  <c r="J5" i="6" s="1"/>
  <c r="J4" i="6"/>
  <c r="H20" i="6"/>
  <c r="J19" i="6"/>
  <c r="H13" i="6"/>
  <c r="J12" i="6"/>
  <c r="H9" i="6"/>
  <c r="J8" i="6"/>
  <c r="I3" i="15"/>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40" i="15"/>
  <c r="I14" i="15"/>
  <c r="I23" i="15"/>
  <c r="I5" i="15"/>
  <c r="I41" i="15"/>
  <c r="I8" i="15"/>
  <c r="I18" i="15"/>
  <c r="I22" i="15"/>
  <c r="H21" i="6" l="1"/>
  <c r="J21" i="6" s="1"/>
  <c r="J20" i="6"/>
  <c r="J9" i="6"/>
  <c r="J10" i="6"/>
  <c r="J13" i="6"/>
  <c r="J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i/>
            <sz val="12"/>
            <color indexed="81"/>
            <rFont val="Times New Roman"/>
            <family val="1"/>
          </rPr>
          <t>bless +1   haste +1
inspired greatness +2
divine favor +2</t>
        </r>
      </text>
    </comment>
    <comment ref="E7" authorId="0" shapeId="0" xr:uid="{00000000-0006-0000-0000-000002000000}">
      <text>
        <r>
          <rPr>
            <sz val="12"/>
            <color indexed="81"/>
            <rFont val="Times New Roman"/>
            <family val="1"/>
          </rPr>
          <t>Next level at 105,000 XPs</t>
        </r>
      </text>
    </comment>
    <comment ref="B8" authorId="0" shapeId="0" xr:uid="{00000000-0006-0000-0000-000003000000}">
      <text>
        <r>
          <rPr>
            <i/>
            <sz val="12"/>
            <color indexed="81"/>
            <rFont val="Times New Roman"/>
            <family val="1"/>
          </rPr>
          <t>bull’s strength +4
righteous fury +4
enlarge person +2
incorporeal touch -2
elation +2</t>
        </r>
      </text>
    </comment>
    <comment ref="E8" authorId="0" shapeId="0" xr:uid="{00000000-0006-0000-0000-000004000000}">
      <text>
        <r>
          <rPr>
            <sz val="12"/>
            <color indexed="81"/>
            <rFont val="Times New Roman"/>
            <family val="1"/>
          </rPr>
          <t>See PHB 162</t>
        </r>
      </text>
    </comment>
    <comment ref="B9" authorId="0" shapeId="0" xr:uid="{00000000-0006-0000-0000-000005000000}">
      <text>
        <r>
          <rPr>
            <sz val="12"/>
            <color indexed="81"/>
            <rFont val="Times New Roman"/>
            <family val="1"/>
          </rPr>
          <t xml:space="preserve">Gloves of Dexterity +2
</t>
        </r>
        <r>
          <rPr>
            <i/>
            <sz val="12"/>
            <color indexed="81"/>
            <rFont val="Times New Roman"/>
            <family val="1"/>
          </rPr>
          <t>enlarge person -2
elation +2</t>
        </r>
      </text>
    </comment>
    <comment ref="B10" authorId="0" shapeId="0" xr:uid="{2F2A5241-B9A7-450C-8B4F-6117A9637D50}">
      <text>
        <r>
          <rPr>
            <i/>
            <sz val="12"/>
            <color indexed="81"/>
            <rFont val="Times New Roman"/>
            <family val="1"/>
          </rPr>
          <t>bear’s endurance +4</t>
        </r>
      </text>
    </comment>
    <comment ref="E10" authorId="0" shapeId="0" xr:uid="{00000000-0006-0000-0000-000006000000}">
      <text>
        <r>
          <rPr>
            <sz val="12"/>
            <color indexed="81"/>
            <rFont val="Times New Roman"/>
            <family val="1"/>
          </rPr>
          <t>[(7 * 10 Paladin) * 75%] +
[(7 * 10 Pious Templar) * 75%] +
(14 * 2 Con) + 14 Improved Toughness</t>
        </r>
      </text>
    </comment>
    <comment ref="E11" authorId="0" shapeId="0" xr:uid="{00000000-0006-0000-0000-000007000000}">
      <text>
        <r>
          <rPr>
            <i/>
            <sz val="12"/>
            <color indexed="81"/>
            <rFont val="Times New Roman"/>
            <family val="1"/>
          </rPr>
          <t>haste +1
protection from evil +2</t>
        </r>
      </text>
    </comment>
    <comment ref="B12" authorId="0" shapeId="0" xr:uid="{00000000-0006-0000-0000-000008000000}">
      <text>
        <r>
          <rPr>
            <sz val="12"/>
            <color indexed="81"/>
            <rFont val="Times New Roman"/>
            <family val="1"/>
          </rPr>
          <t xml:space="preserve">Amulet of Wisdom +2
</t>
        </r>
        <r>
          <rPr>
            <i/>
            <sz val="12"/>
            <color indexed="81"/>
            <rFont val="Times New Roman"/>
            <family val="1"/>
          </rPr>
          <t>Wisdom drain -5</t>
        </r>
      </text>
    </comment>
    <comment ref="E12" authorId="0" shapeId="0" xr:uid="{00000000-0006-0000-0000-000009000000}">
      <text>
        <r>
          <rPr>
            <i/>
            <sz val="12"/>
            <color indexed="81"/>
            <rFont val="Times New Roman"/>
            <family val="1"/>
          </rPr>
          <t>protection from evil +2</t>
        </r>
      </text>
    </comment>
    <comment ref="B13" authorId="0" shapeId="0" xr:uid="{00000000-0006-0000-0000-00000A000000}">
      <text>
        <r>
          <rPr>
            <sz val="12"/>
            <color indexed="81"/>
            <rFont val="Times New Roman"/>
            <family val="1"/>
          </rPr>
          <t>Cloak of Charisma +2</t>
        </r>
      </text>
    </comment>
    <comment ref="E13" authorId="0" shapeId="0" xr:uid="{00000000-0006-0000-0000-00000B000000}">
      <text>
        <r>
          <rPr>
            <i/>
            <sz val="12"/>
            <color indexed="81"/>
            <rFont val="Times New Roman"/>
            <family val="1"/>
          </rPr>
          <t>haste +1
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100-000001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3" authorId="0" shapeId="0" xr:uid="{00000000-0006-0000-0100-000002000000}">
      <text>
        <r>
          <rPr>
            <i/>
            <sz val="12"/>
            <color indexed="81"/>
            <rFont val="Times New Roman"/>
            <family val="1"/>
          </rPr>
          <t>inspired greatness +1
vest of resistance +2
resistance +1</t>
        </r>
      </text>
    </comment>
    <comment ref="F4" authorId="0" shapeId="0" xr:uid="{00000000-0006-0000-0100-000003000000}">
      <text>
        <r>
          <rPr>
            <i/>
            <sz val="12"/>
            <color indexed="81"/>
            <rFont val="Times New Roman"/>
            <family val="1"/>
          </rPr>
          <t>vest of resistance +2
resistance +1</t>
        </r>
      </text>
    </comment>
    <comment ref="A5" authorId="0" shapeId="0" xr:uid="{00000000-0006-0000-0100-000004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5" authorId="0" shapeId="0" xr:uid="{00000000-0006-0000-0100-000005000000}">
      <text>
        <r>
          <rPr>
            <i/>
            <sz val="12"/>
            <color indexed="81"/>
            <rFont val="Times New Roman"/>
            <family val="1"/>
          </rPr>
          <t>vest of resistance +2
resistance +1</t>
        </r>
      </text>
    </comment>
    <comment ref="F7" authorId="0" shapeId="0" xr:uid="{00000000-0006-0000-0100-000006000000}">
      <text>
        <r>
          <rPr>
            <sz val="12"/>
            <color indexed="81"/>
            <rFont val="Times New Roman"/>
            <family val="1"/>
          </rPr>
          <t>Full Plate +3</t>
        </r>
      </text>
    </comment>
    <comment ref="F9" authorId="0" shapeId="0" xr:uid="{00000000-0006-0000-0100-000007000000}">
      <text>
        <r>
          <rPr>
            <sz val="12"/>
            <color indexed="81"/>
            <rFont val="Times New Roman"/>
            <family val="1"/>
          </rPr>
          <t>Full Plate +3</t>
        </r>
      </text>
    </comment>
    <comment ref="F16" authorId="0" shapeId="0" xr:uid="{00000000-0006-0000-0100-000008000000}">
      <text>
        <r>
          <rPr>
            <sz val="12"/>
            <color indexed="81"/>
            <rFont val="Times New Roman"/>
            <family val="1"/>
          </rPr>
          <t>Full Plate +3</t>
        </r>
      </text>
    </comment>
    <comment ref="F20" authorId="0" shapeId="0" xr:uid="{00000000-0006-0000-0100-000009000000}">
      <text>
        <r>
          <rPr>
            <sz val="12"/>
            <color indexed="81"/>
            <rFont val="Times New Roman"/>
            <family val="1"/>
          </rPr>
          <t>Healing Belt +2</t>
        </r>
      </text>
    </comment>
    <comment ref="F21" authorId="0" shapeId="0" xr:uid="{00000000-0006-0000-0100-00000A000000}">
      <text>
        <r>
          <rPr>
            <sz val="12"/>
            <color indexed="81"/>
            <rFont val="Times New Roman"/>
            <family val="1"/>
          </rPr>
          <t>Full Plate +3</t>
        </r>
      </text>
    </comment>
    <comment ref="F23" authorId="0" shapeId="0" xr:uid="{00000000-0006-0000-0100-00000B000000}">
      <text>
        <r>
          <rPr>
            <sz val="12"/>
            <color indexed="81"/>
            <rFont val="Times New Roman"/>
            <family val="1"/>
          </rPr>
          <t>Full Plate +3</t>
        </r>
      </text>
    </comment>
    <comment ref="F27" authorId="0" shapeId="0" xr:uid="{00000000-0006-0000-0100-00000C000000}">
      <text>
        <r>
          <rPr>
            <sz val="12"/>
            <color indexed="81"/>
            <rFont val="Times New Roman"/>
            <family val="1"/>
          </rPr>
          <t>Full Plate +3</t>
        </r>
      </text>
    </comment>
    <comment ref="F34" authorId="0" shapeId="0" xr:uid="{00000000-0006-0000-0100-00000D000000}">
      <text>
        <r>
          <rPr>
            <sz val="12"/>
            <color indexed="81"/>
            <rFont val="Times New Roman"/>
            <family val="1"/>
          </rPr>
          <t>Full Plate +3</t>
        </r>
      </text>
    </comment>
    <comment ref="F40" authorId="0" shapeId="0" xr:uid="{00000000-0006-0000-0100-00000E000000}">
      <text>
        <r>
          <rPr>
            <sz val="12"/>
            <color indexed="81"/>
            <rFont val="Times New Roman"/>
            <family val="1"/>
          </rPr>
          <t>Full Plate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16"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shapeId="0" xr:uid="{00000000-0006-0000-0400-000002000000}">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00000000-0006-0000-0400-00000300000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shapeId="0" xr:uid="{00000000-0006-0000-0400-000004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400-00000600000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A5" authorId="0" shapeId="0" xr:uid="{00000000-0006-0000-0400-00000700000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shapeId="0" xr:uid="{00000000-0006-0000-0400-000008000000}">
      <text>
        <r>
          <rPr>
            <sz val="12"/>
            <color indexed="81"/>
            <rFont val="Times New Roman"/>
            <family val="1"/>
          </rPr>
          <t>At will, a paladin can use detect evil, as the spell.
PHB 44</t>
        </r>
      </text>
    </comment>
    <comment ref="A6" authorId="0" shapeId="0" xr:uid="{00000000-0006-0000-0400-000009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C6" authorId="0" shapeId="0" xr:uid="{00000000-0006-0000-0400-00000A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shapeId="0" xr:uid="{00000000-0006-0000-0400-00000B00000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shapeId="0" xr:uid="{00000000-0006-0000-0400-00000C000000}">
      <text>
        <r>
          <rPr>
            <sz val="12"/>
            <color indexed="81"/>
            <rFont val="Times New Roman"/>
            <family val="1"/>
          </rPr>
          <t>At 2nd level, a paladin gains a bonus equal to her Charisma bonus (if any) on all saving throws.
PHB 44</t>
        </r>
      </text>
    </comment>
    <comment ref="C8" authorId="0" shapeId="0" xr:uid="{00000000-0006-0000-0400-00000D000000}">
      <text>
        <r>
          <rPr>
            <sz val="12"/>
            <color indexed="81"/>
            <rFont val="Times New Roman"/>
            <family val="1"/>
          </rPr>
          <t>At 3rd level, a paladin gains immunity to all diseases, including supernatural and magical diseases (such as mummy rot and lycanthropy).
PHB 44</t>
        </r>
      </text>
    </comment>
    <comment ref="C9" authorId="0" shapeId="0" xr:uid="{00000000-0006-0000-0400-00000E00000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A10" authorId="0" shapeId="0" xr:uid="{00000000-0006-0000-0400-00000F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C10" authorId="0" shapeId="0" xr:uid="{00000000-0006-0000-0400-00001000000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A11" authorId="0" shapeId="0" xr:uid="{00000000-0006-0000-0400-00001100000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C11" authorId="0" shapeId="0" xr:uid="{00000000-0006-0000-04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A12" authorId="0" shapeId="0" xr:uid="{00000000-0006-0000-0400-000013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C12" authorId="0" shapeId="0" xr:uid="{00000000-0006-0000-0400-000014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A13" authorId="0" shapeId="0" xr:uid="{00000000-0006-0000-0400-00001500000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A14" authorId="0" shapeId="0" xr:uid="{00000000-0006-0000-0400-00001600000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00000000-0006-0000-0500-000001000000}">
      <text>
        <r>
          <rPr>
            <sz val="12"/>
            <color indexed="81"/>
            <rFont val="Times New Roman"/>
            <family val="1"/>
          </rPr>
          <t>Weapon Specialization +2 dmg</t>
        </r>
      </text>
    </comment>
    <comment ref="D3" authorId="0" shapeId="0" xr:uid="{00000000-0006-0000-0500-000002000000}">
      <text>
        <r>
          <rPr>
            <i/>
            <sz val="12"/>
            <color indexed="81"/>
            <rFont val="Times New Roman"/>
            <family val="1"/>
          </rPr>
          <t>Divine Favor +2</t>
        </r>
      </text>
    </comment>
    <comment ref="E3" authorId="0" shapeId="0" xr:uid="{00000000-0006-0000-0500-000003000000}">
      <text>
        <r>
          <rPr>
            <sz val="12"/>
            <color indexed="81"/>
            <rFont val="Times New Roman"/>
            <family val="1"/>
          </rPr>
          <t>Improved Critical</t>
        </r>
      </text>
    </comment>
    <comment ref="B4" authorId="0" shapeId="0" xr:uid="{00000000-0006-0000-0500-000004000000}">
      <text>
        <r>
          <rPr>
            <sz val="12"/>
            <color indexed="81"/>
            <rFont val="Times New Roman"/>
            <family val="1"/>
          </rPr>
          <t>Weapon Specialization +2 dmg</t>
        </r>
      </text>
    </comment>
    <comment ref="E4" authorId="0" shapeId="0" xr:uid="{00000000-0006-0000-0500-000005000000}">
      <text>
        <r>
          <rPr>
            <sz val="12"/>
            <color indexed="81"/>
            <rFont val="Times New Roman"/>
            <family val="1"/>
          </rPr>
          <t>Improved Critical</t>
        </r>
      </text>
    </comment>
    <comment ref="B5" authorId="0" shapeId="0" xr:uid="{00000000-0006-0000-0500-000006000000}">
      <text>
        <r>
          <rPr>
            <sz val="12"/>
            <color indexed="81"/>
            <rFont val="Times New Roman"/>
            <family val="1"/>
          </rPr>
          <t>Weapon Specialization +2 dmg</t>
        </r>
      </text>
    </comment>
    <comment ref="E5" authorId="0" shapeId="0" xr:uid="{00000000-0006-0000-0500-000007000000}">
      <text>
        <r>
          <rPr>
            <sz val="12"/>
            <color indexed="81"/>
            <rFont val="Times New Roman"/>
            <family val="1"/>
          </rPr>
          <t>Improved Critical</t>
        </r>
      </text>
    </comment>
    <comment ref="B6" authorId="0" shapeId="0" xr:uid="{00000000-0006-0000-0500-000008000000}">
      <text>
        <r>
          <rPr>
            <sz val="12"/>
            <color indexed="81"/>
            <rFont val="Times New Roman"/>
            <family val="1"/>
          </rPr>
          <t>Weapon Specialization +2 dmg</t>
        </r>
      </text>
    </comment>
    <comment ref="E6" authorId="0" shapeId="0" xr:uid="{00000000-0006-0000-0500-000009000000}">
      <text>
        <r>
          <rPr>
            <sz val="12"/>
            <color indexed="81"/>
            <rFont val="Times New Roman"/>
            <family val="1"/>
          </rPr>
          <t>Improved Critical</t>
        </r>
      </text>
    </comment>
    <comment ref="D24" authorId="0" shapeId="0" xr:uid="{00000000-0006-0000-0500-00000A000000}">
      <text>
        <r>
          <rPr>
            <sz val="12"/>
            <color indexed="81"/>
            <rFont val="Times New Roman"/>
            <family val="1"/>
          </rPr>
          <t>Balance, Climb, Escape Artist, Hide, Jump, Move Silently, Sleight of Hand, Tumble.</t>
        </r>
      </text>
    </comment>
    <comment ref="A26" authorId="0" shapeId="0" xr:uid="{00000000-0006-0000-0500-00000B00000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7" authorId="0" shapeId="0" xr:uid="{00000000-0006-0000-0500-00000C00000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8" authorId="0" shapeId="0" xr:uid="{00000000-0006-0000-0500-00000D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600-00000100000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shapeId="0" xr:uid="{00000000-0006-0000-0600-000003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shapeId="0" xr:uid="{00000000-0006-0000-0600-00000400000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shapeId="0" xr:uid="{00000000-0006-0000-0600-000005000000}">
      <text>
        <r>
          <rPr>
            <sz val="12"/>
            <color indexed="81"/>
            <rFont val="Times New Roman"/>
            <family val="1"/>
          </rPr>
          <t>DMG 238</t>
        </r>
      </text>
    </comment>
  </commentList>
</comments>
</file>

<file path=xl/sharedStrings.xml><?xml version="1.0" encoding="utf-8"?>
<sst xmlns="http://schemas.openxmlformats.org/spreadsheetml/2006/main" count="1038" uniqueCount="413">
  <si>
    <t>Race:</t>
  </si>
  <si>
    <t>Sex:</t>
  </si>
  <si>
    <t>Strength:</t>
  </si>
  <si>
    <t>Dexterity:</t>
  </si>
  <si>
    <t>Level</t>
  </si>
  <si>
    <t>Properties</t>
  </si>
  <si>
    <t>Melee Weapon</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</si>
  <si>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</si>
  <si>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</si>
  <si>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</si>
  <si>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</si>
  <si>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</si>
  <si>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</si>
  <si>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</si>
  <si>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</si>
  <si>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</si>
  <si>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</si>
  <si>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</si>
  <si>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</si>
  <si>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</si>
  <si>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</si>
  <si>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</si>
  <si>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</si>
  <si>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</si>
  <si>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</si>
  <si>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</si>
  <si>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</si>
  <si>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</si>
  <si>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</si>
  <si>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</si>
  <si>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</si>
  <si>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</si>
  <si>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</si>
  <si>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</si>
  <si>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</si>
  <si>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</si>
  <si>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</si>
  <si>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</si>
  <si>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</si>
  <si>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</si>
  <si>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</si>
  <si>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</si>
  <si>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</si>
  <si>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</si>
  <si>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</si>
  <si>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</si>
  <si>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</si>
  <si>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</si>
  <si>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</si>
  <si>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</si>
  <si>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</si>
  <si>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</si>
  <si>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</si>
  <si>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</si>
  <si>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</si>
  <si>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</si>
  <si>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</si>
  <si>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</si>
  <si>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</si>
  <si>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</si>
  <si>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</si>
  <si>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</si>
  <si>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</si>
  <si>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</si>
  <si>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</si>
  <si>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</si>
  <si>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</si>
  <si>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</si>
  <si>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</si>
  <si>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</si>
  <si>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</si>
  <si>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</si>
  <si>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</si>
  <si>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</si>
  <si>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</si>
  <si>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</si>
  <si>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</si>
  <si>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</si>
  <si>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</si>
  <si>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</si>
  <si>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</si>
  <si>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</si>
  <si>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</si>
  <si>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</si>
  <si>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</si>
  <si>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</si>
  <si>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</si>
  <si>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</si>
  <si>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</si>
  <si>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</si>
  <si>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</si>
  <si>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</si>
  <si>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</si>
  <si>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</si>
  <si>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</si>
  <si>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</si>
  <si>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</si>
  <si>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</si>
  <si>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</si>
  <si>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</si>
  <si>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</si>
  <si>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</si>
  <si>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</si>
  <si>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</si>
  <si>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</si>
  <si>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</si>
  <si>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</si>
  <si>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</si>
  <si>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</si>
  <si>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</si>
  <si>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</si>
  <si>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</si>
  <si>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</si>
  <si>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</si>
  <si>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</si>
  <si>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</si>
  <si>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</si>
  <si>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</si>
  <si>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</si>
  <si>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</si>
  <si>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</si>
  <si>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</si>
  <si>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</si>
  <si>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</si>
  <si>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</si>
  <si>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</si>
  <si>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</si>
  <si>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</si>
  <si>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</si>
  <si>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</si>
  <si>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</si>
  <si>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</si>
  <si>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</si>
  <si>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</si>
  <si>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</si>
  <si>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</si>
  <si>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</si>
  <si>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</si>
  <si>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</si>
  <si>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</si>
  <si>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</si>
  <si>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</si>
  <si>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</si>
  <si>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</si>
  <si>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Female</t>
  </si>
  <si>
    <t>Special Mount</t>
  </si>
  <si>
    <t>Divine Sacrifice</t>
  </si>
  <si>
    <t>Saddlebags</t>
  </si>
  <si>
    <t>Military Saddle</t>
  </si>
  <si>
    <t>Belt Pouch</t>
  </si>
  <si>
    <t>Whetstone</t>
  </si>
  <si>
    <t>Roll</t>
  </si>
  <si>
    <t>All Armor and Shields (not tower)</t>
  </si>
  <si>
    <t>Simple and Martial Weapons</t>
  </si>
  <si>
    <t>five</t>
  </si>
  <si>
    <t>Divine Grace</t>
  </si>
  <si>
    <t>Mount Encumbrance:</t>
  </si>
  <si>
    <t>19-20/x2</t>
  </si>
  <si>
    <t>Bludgeon</t>
  </si>
  <si>
    <t>Faith</t>
  </si>
  <si>
    <t>Victoria Greystone</t>
  </si>
  <si>
    <t>Pious Templar</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</si>
  <si>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</si>
  <si>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Pious Templar 1</t>
  </si>
  <si>
    <t>Pious Templar 2</t>
  </si>
  <si>
    <t>Pious Templar 3</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</si>
  <si>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</si>
  <si>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</si>
  <si>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</si>
  <si>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</si>
  <si>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</si>
  <si>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</si>
  <si>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</si>
  <si>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</si>
  <si>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</si>
  <si>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</si>
  <si>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</si>
  <si>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</si>
  <si>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</si>
  <si>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</si>
  <si>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</si>
  <si>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Male</t>
  </si>
  <si>
    <t>Initiative:</t>
  </si>
  <si>
    <t>Size:</t>
  </si>
  <si>
    <t>Medium</t>
  </si>
  <si>
    <t>Wlk/Brw/Clm:</t>
  </si>
  <si>
    <t>TAC/AC:</t>
  </si>
  <si>
    <t>BAB:</t>
  </si>
  <si>
    <t>Fort:</t>
  </si>
  <si>
    <t>Ref:</t>
  </si>
  <si>
    <t>Will:</t>
  </si>
  <si>
    <t>Mount</t>
  </si>
  <si>
    <t>+1</t>
  </si>
  <si>
    <t>Heavy Warhorse</t>
  </si>
  <si>
    <t>MW Silver Heavy Flail</t>
  </si>
  <si>
    <t>x2</t>
  </si>
  <si>
    <t>30’</t>
  </si>
  <si>
    <t>x3</t>
  </si>
  <si>
    <t>Piercing</t>
  </si>
  <si>
    <t>Common</t>
  </si>
  <si>
    <t>Human:  Power Attack</t>
  </si>
  <si>
    <t>Slashing</t>
  </si>
  <si>
    <t>Total Equity:</t>
  </si>
  <si>
    <t>bypasses lycanthropes’ DR</t>
  </si>
  <si>
    <t>20’</t>
  </si>
  <si>
    <t>Animated Heavy Darkwood Shield +1</t>
  </si>
  <si>
    <t>-</t>
  </si>
  <si>
    <t>1st</t>
  </si>
  <si>
    <t>2nd</t>
  </si>
  <si>
    <t>3rd</t>
  </si>
  <si>
    <t>4th</t>
  </si>
  <si>
    <t>Total Daily Spells</t>
  </si>
  <si>
    <t>Spells by Level</t>
  </si>
  <si>
    <t>Paladin Spells</t>
  </si>
  <si>
    <t>Pious Templar Spells</t>
  </si>
  <si>
    <t>Wisdom Bonus 1</t>
  </si>
  <si>
    <t>Wisdom Bonus 2</t>
  </si>
  <si>
    <t>Bless Weapon</t>
  </si>
  <si>
    <t>Transmutation</t>
  </si>
  <si>
    <t>Enchantment</t>
  </si>
  <si>
    <t>Paladin Features</t>
  </si>
  <si>
    <t>Pious Templar Features</t>
  </si>
  <si>
    <t>Mettle</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</si>
  <si>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</si>
  <si>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</si>
  <si>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</si>
  <si>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</si>
  <si>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</si>
  <si>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</si>
  <si>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</si>
  <si>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</si>
  <si>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</si>
  <si>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</si>
  <si>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</si>
  <si>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</si>
  <si>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</si>
  <si>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</si>
  <si>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</si>
  <si>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Pious Templar 4</t>
  </si>
  <si>
    <t>Javelins, 3</t>
  </si>
  <si>
    <t>17-20/x2</t>
  </si>
  <si>
    <t>Turning Undead</t>
  </si>
  <si>
    <t>Max HD Turned</t>
  </si>
  <si>
    <t>Turns/Day</t>
  </si>
  <si>
    <t>1d20 Roll</t>
  </si>
  <si>
    <t>Turn Check</t>
  </si>
  <si>
    <t>2d6 Roll</t>
  </si>
  <si>
    <t>Turns Used</t>
  </si>
  <si>
    <t>Pious Templar 5</t>
  </si>
  <si>
    <t>Vest of Resistance +2</t>
  </si>
  <si>
    <t xml:space="preserve">Protection from Evil </t>
  </si>
  <si>
    <r>
      <t xml:space="preserve">Potion of </t>
    </r>
    <r>
      <rPr>
        <i/>
        <sz val="12"/>
        <rFont val="Times New Roman"/>
        <family val="1"/>
      </rPr>
      <t>enlarge person</t>
    </r>
  </si>
  <si>
    <t>Restful Crystal</t>
  </si>
  <si>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</si>
  <si>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</si>
  <si>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</si>
  <si>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</si>
  <si>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</si>
  <si>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</si>
  <si>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</si>
  <si>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</si>
  <si>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</si>
  <si>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</si>
  <si>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</si>
  <si>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</si>
  <si>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</si>
  <si>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</si>
  <si>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</si>
  <si>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</si>
  <si>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</si>
  <si>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</si>
  <si>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</si>
  <si>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</si>
  <si>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</si>
  <si>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</si>
  <si>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Seal of the Serpent King</t>
  </si>
  <si>
    <t>?</t>
  </si>
  <si>
    <t>Aura of Resolve</t>
  </si>
  <si>
    <t>Protection from Law</t>
  </si>
  <si>
    <t>Protection from Evil</t>
  </si>
  <si>
    <t>Magic Circle vs. Law</t>
  </si>
  <si>
    <t>Remove Curse</t>
  </si>
  <si>
    <t>Smite +1/day (see Smite Evil above)</t>
  </si>
  <si>
    <t>Pious Templar 6</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</si>
  <si>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</si>
  <si>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</si>
  <si>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</si>
  <si>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</si>
  <si>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</si>
  <si>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</si>
  <si>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</si>
  <si>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</si>
  <si>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</si>
  <si>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</si>
  <si>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</si>
  <si>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</si>
  <si>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</si>
  <si>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</si>
  <si>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</si>
  <si>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</si>
  <si>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</si>
  <si>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</si>
  <si>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</si>
  <si>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</si>
  <si>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</si>
  <si>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</si>
  <si>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</si>
  <si>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</si>
  <si>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</si>
  <si>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</si>
  <si>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</si>
  <si>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</si>
  <si>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</si>
  <si>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</si>
  <si>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</si>
  <si>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</si>
  <si>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</si>
  <si>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</si>
  <si>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</si>
  <si>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</si>
  <si>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</si>
  <si>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</si>
  <si>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</si>
  <si>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</si>
  <si>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</si>
  <si>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</si>
  <si>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</si>
  <si>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</si>
  <si>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</si>
  <si>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</si>
  <si>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</si>
  <si>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</si>
  <si>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</si>
  <si>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</si>
  <si>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</si>
  <si>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</si>
  <si>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</si>
  <si>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</si>
  <si>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</si>
  <si>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</si>
  <si>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</si>
  <si>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</si>
  <si>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</si>
  <si>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</si>
  <si>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</si>
  <si>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</si>
  <si>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</si>
  <si>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</si>
  <si>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</si>
  <si>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</si>
  <si>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</si>
  <si>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</si>
  <si>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Sune</t>
  </si>
  <si>
    <t>Chaotic Good</t>
  </si>
  <si>
    <t>Paladin of Freedom</t>
  </si>
  <si>
    <t>Code of Conduct:  Liberator</t>
  </si>
  <si>
    <t>Pearls of Power, 1st level</t>
  </si>
  <si>
    <t>Spells Granted by Sune</t>
  </si>
  <si>
    <t>Full Plate of the Dove +3</t>
  </si>
  <si>
    <t>Affixed to Full Plate</t>
  </si>
  <si>
    <t>Adamantine Illuminating Holy Greatsword +1</t>
  </si>
  <si>
    <t>Detect Evil</t>
  </si>
  <si>
    <r>
      <t xml:space="preserve">Wings (stats as </t>
    </r>
    <r>
      <rPr>
        <i/>
        <sz val="12"/>
        <rFont val="Times New Roman"/>
        <family val="1"/>
      </rPr>
      <t xml:space="preserve">fly </t>
    </r>
    <r>
      <rPr>
        <sz val="12"/>
        <rFont val="Times New Roman"/>
        <family val="1"/>
      </rPr>
      <t>spell, CL 8) 1/day</t>
    </r>
  </si>
  <si>
    <t>q</t>
  </si>
  <si>
    <t>Caster Level:</t>
  </si>
  <si>
    <t>Damage Reduction 2/—</t>
  </si>
  <si>
    <t>Paladin of Freedom 1</t>
  </si>
  <si>
    <t>Paladin of Freedom 2</t>
  </si>
  <si>
    <t>Paladin of Freedom 3</t>
  </si>
  <si>
    <t>Paladin of Freedom 4</t>
  </si>
  <si>
    <t>Paladin of Freedom 5</t>
  </si>
  <si>
    <t>Pious Templar 7</t>
  </si>
  <si>
    <t>+4 to Cha vs. Serpentine NPCs</t>
  </si>
  <si>
    <t>Turn Damage</t>
  </si>
  <si>
    <t>+2d6 to evil</t>
  </si>
  <si>
    <t>ignores 20 hardness</t>
  </si>
  <si>
    <r>
      <t xml:space="preserve">+1 </t>
    </r>
    <r>
      <rPr>
        <i/>
        <sz val="13"/>
        <rFont val="Times New Roman"/>
        <family val="1"/>
      </rPr>
      <t>haste</t>
    </r>
  </si>
  <si>
    <t>Healing Belt</t>
  </si>
  <si>
    <t>1d8[2d6]</t>
  </si>
  <si>
    <t>1d10[2d8]</t>
  </si>
  <si>
    <t>1d6[1d8]</t>
  </si>
  <si>
    <t>2nd Attack [damage while Large]</t>
  </si>
  <si>
    <t>12th:  Blind-Fight</t>
  </si>
  <si>
    <t>Bear’s Endurance</t>
  </si>
  <si>
    <t>NPC</t>
  </si>
  <si>
    <t>Remove Disease 2/week</t>
  </si>
  <si>
    <t>Smite Heretic</t>
  </si>
  <si>
    <t>Paladin of Freedom 6</t>
  </si>
  <si>
    <t>Paladin of Freedom 7</t>
  </si>
  <si>
    <t>þ</t>
  </si>
  <si>
    <t>2d6[3d6]+2</t>
  </si>
  <si>
    <t>Dmg[Large]</t>
  </si>
  <si>
    <r>
      <t xml:space="preserve">Potion of </t>
    </r>
    <r>
      <rPr>
        <i/>
        <sz val="12"/>
        <rFont val="Times New Roman"/>
        <family val="1"/>
      </rPr>
      <t>owl’s wisdom</t>
    </r>
  </si>
  <si>
    <t>Race</t>
  </si>
  <si>
    <t>Sex</t>
  </si>
  <si>
    <t>Class</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</si>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</sst>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7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
      <patternFill patternType="solid">
        <fgColor rgb="FFFFCCFF"/>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91">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5" fillId="0" borderId="0" xfId="0" applyNumberFormat="1" applyFont="1" applyBorder="1" applyAlignment="1">
      <alignment horizontal="left"/>
    </xf>
    <xf numFmtId="0" fontId="46" fillId="11" borderId="41"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4" fillId="0" borderId="0" xfId="0" applyFont="1" applyBorder="1" applyAlignment="1">
      <alignment vertical="center" wrapText="1"/>
    </xf>
    <xf numFmtId="0" fontId="2" fillId="0" borderId="44"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1" fillId="13" borderId="14" xfId="0" applyFont="1" applyFill="1" applyBorder="1" applyAlignment="1">
      <alignment horizontal="center" vertical="center"/>
    </xf>
    <xf numFmtId="0" fontId="21" fillId="13" borderId="15" xfId="0" applyFont="1" applyFill="1" applyBorder="1" applyAlignment="1">
      <alignment horizontal="center" vertical="center"/>
    </xf>
    <xf numFmtId="49" fontId="21" fillId="13" borderId="15" xfId="0" applyNumberFormat="1" applyFont="1" applyFill="1" applyBorder="1" applyAlignment="1">
      <alignment horizontal="center" vertical="center"/>
    </xf>
    <xf numFmtId="0" fontId="21"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1" fillId="13" borderId="16" xfId="0" applyFont="1" applyFill="1" applyBorder="1" applyAlignment="1">
      <alignment horizontal="center" vertical="center"/>
    </xf>
    <xf numFmtId="0" fontId="2" fillId="0" borderId="50" xfId="0" applyFont="1" applyFill="1" applyBorder="1" applyAlignment="1">
      <alignment horizontal="center" vertical="center"/>
    </xf>
    <xf numFmtId="49" fontId="2" fillId="0" borderId="50" xfId="2" applyNumberFormat="1" applyFont="1" applyFill="1" applyBorder="1" applyAlignment="1">
      <alignment horizontal="center" vertical="center"/>
    </xf>
    <xf numFmtId="0" fontId="2" fillId="0" borderId="50" xfId="0" applyFont="1" applyBorder="1" applyAlignment="1">
      <alignment horizontal="center" vertical="center"/>
    </xf>
    <xf numFmtId="164" fontId="2" fillId="0" borderId="50"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3" borderId="19" xfId="0" applyFont="1" applyFill="1" applyBorder="1" applyAlignment="1">
      <alignment horizontal="centerContinuous" vertical="center"/>
    </xf>
    <xf numFmtId="0" fontId="21" fillId="13" borderId="60" xfId="0" applyFont="1" applyFill="1" applyBorder="1" applyAlignment="1">
      <alignment horizontal="centerContinuous" vertical="center"/>
    </xf>
    <xf numFmtId="0" fontId="21" fillId="13" borderId="61" xfId="0" applyFont="1" applyFill="1" applyBorder="1" applyAlignment="1">
      <alignment horizontal="centerContinuous" vertical="center"/>
    </xf>
    <xf numFmtId="164" fontId="5" fillId="0" borderId="63" xfId="0" applyNumberFormat="1" applyFont="1" applyFill="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Border="1" applyAlignment="1">
      <alignment horizontal="right" vertical="center"/>
    </xf>
    <xf numFmtId="0" fontId="21" fillId="13" borderId="17" xfId="0" applyFont="1" applyFill="1" applyBorder="1" applyAlignment="1">
      <alignment horizontal="centerContinuous" vertical="center"/>
    </xf>
    <xf numFmtId="0" fontId="21" fillId="13" borderId="18" xfId="0" applyFont="1" applyFill="1" applyBorder="1" applyAlignment="1">
      <alignment horizontal="centerContinuous" vertical="center"/>
    </xf>
    <xf numFmtId="0" fontId="21" fillId="13" borderId="61" xfId="0" applyFont="1" applyFill="1" applyBorder="1" applyAlignment="1">
      <alignment horizontal="center" vertical="center"/>
    </xf>
    <xf numFmtId="0" fontId="5" fillId="0" borderId="63"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6" xfId="0" applyFont="1" applyFill="1" applyBorder="1" applyAlignment="1">
      <alignment horizontal="center" vertical="center"/>
    </xf>
    <xf numFmtId="49" fontId="2" fillId="0" borderId="77" xfId="0" applyNumberFormat="1" applyFont="1" applyFill="1" applyBorder="1" applyAlignment="1">
      <alignment horizontal="center" vertical="center"/>
    </xf>
    <xf numFmtId="0" fontId="5" fillId="0" borderId="64" xfId="0" applyFont="1" applyFill="1" applyBorder="1" applyAlignment="1">
      <alignment horizontal="center" vertical="center"/>
    </xf>
    <xf numFmtId="0" fontId="5" fillId="0" borderId="49" xfId="0" applyFont="1" applyFill="1" applyBorder="1" applyAlignment="1">
      <alignment horizontal="centerContinuous" vertical="center"/>
    </xf>
    <xf numFmtId="0" fontId="5" fillId="0" borderId="80" xfId="0" applyFont="1" applyFill="1" applyBorder="1" applyAlignment="1">
      <alignment horizontal="centerContinuous" vertical="center"/>
    </xf>
    <xf numFmtId="0" fontId="5" fillId="0" borderId="78" xfId="0" applyFont="1" applyFill="1" applyBorder="1" applyAlignment="1">
      <alignment horizontal="centerContinuous" vertical="center"/>
    </xf>
    <xf numFmtId="164" fontId="5" fillId="0" borderId="79"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Border="1" applyAlignment="1">
      <alignment vertical="center" wrapText="1"/>
    </xf>
    <xf numFmtId="0" fontId="12" fillId="10" borderId="35" xfId="0" applyFont="1" applyFill="1" applyBorder="1" applyAlignment="1">
      <alignment horizontal="centerContinuous"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5" fillId="0" borderId="0" xfId="0" applyFont="1" applyBorder="1" applyAlignment="1">
      <alignment horizontal="left" vertical="center"/>
    </xf>
    <xf numFmtId="0" fontId="47" fillId="0" borderId="40" xfId="0" applyFont="1" applyFill="1" applyBorder="1" applyAlignment="1">
      <alignment horizontal="centerContinuous" vertical="center" shrinkToFit="1"/>
    </xf>
    <xf numFmtId="0" fontId="2" fillId="0" borderId="0" xfId="0" applyFont="1" applyBorder="1" applyAlignment="1">
      <alignment vertical="center" wrapText="1"/>
    </xf>
    <xf numFmtId="0" fontId="35" fillId="9" borderId="38" xfId="2"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9" xfId="0" applyFont="1" applyFill="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7" fillId="0" borderId="25" xfId="0" applyFont="1" applyFill="1" applyBorder="1" applyAlignment="1">
      <alignment horizontal="center" vertical="center"/>
    </xf>
    <xf numFmtId="0" fontId="27"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wrapText="1"/>
    </xf>
    <xf numFmtId="0" fontId="44" fillId="11" borderId="26" xfId="0" applyNumberFormat="1" applyFont="1" applyFill="1" applyBorder="1" applyAlignment="1">
      <alignment horizontal="center" vertical="center"/>
    </xf>
    <xf numFmtId="0" fontId="45" fillId="0" borderId="1" xfId="0" applyFont="1" applyFill="1" applyBorder="1" applyAlignment="1">
      <alignment vertical="center"/>
    </xf>
    <xf numFmtId="0" fontId="24"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xf>
    <xf numFmtId="0" fontId="7" fillId="0" borderId="54" xfId="0" applyFont="1" applyFill="1" applyBorder="1" applyAlignment="1">
      <alignment horizontal="center" vertical="center"/>
    </xf>
    <xf numFmtId="0" fontId="28" fillId="0" borderId="12" xfId="0" applyNumberFormat="1" applyFont="1" applyFill="1" applyBorder="1" applyAlignment="1">
      <alignment horizontal="center" vertical="center"/>
    </xf>
    <xf numFmtId="0" fontId="28"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4" fillId="11" borderId="54"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14" borderId="25" xfId="0" applyNumberFormat="1" applyFont="1" applyFill="1" applyBorder="1" applyAlignment="1">
      <alignment horizontal="center" vertical="center"/>
    </xf>
    <xf numFmtId="49" fontId="7" fillId="14" borderId="26" xfId="0" applyNumberFormat="1" applyFont="1" applyFill="1" applyBorder="1" applyAlignment="1">
      <alignment horizontal="center" vertical="center"/>
    </xf>
    <xf numFmtId="0" fontId="7" fillId="14" borderId="27"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5" xfId="0" applyNumberFormat="1"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0" fontId="14" fillId="14" borderId="1" xfId="0" applyFont="1" applyFill="1" applyBorder="1" applyAlignment="1">
      <alignment vertical="center"/>
    </xf>
    <xf numFmtId="49" fontId="23" fillId="14" borderId="25" xfId="0" applyNumberFormat="1" applyFont="1" applyFill="1" applyBorder="1" applyAlignment="1">
      <alignment horizontal="center" vertical="center"/>
    </xf>
    <xf numFmtId="0" fontId="23" fillId="14" borderId="26" xfId="0" applyNumberFormat="1" applyFont="1" applyFill="1" applyBorder="1" applyAlignment="1">
      <alignment horizontal="center" vertical="center"/>
    </xf>
    <xf numFmtId="0" fontId="14" fillId="14"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5" xfId="0" applyNumberFormat="1" applyFont="1" applyFill="1" applyBorder="1" applyAlignment="1">
      <alignment horizontal="center" vertical="center"/>
    </xf>
    <xf numFmtId="0" fontId="23" fillId="7"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1"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13"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NumberFormat="1" applyFont="1" applyFill="1" applyBorder="1" applyAlignment="1">
      <alignment horizontal="center" vertical="center"/>
    </xf>
    <xf numFmtId="0" fontId="11" fillId="4" borderId="1" xfId="0" applyFont="1" applyFill="1" applyBorder="1" applyAlignment="1">
      <alignment vertical="center"/>
    </xf>
    <xf numFmtId="0" fontId="7"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6" borderId="8" xfId="0" applyFont="1" applyFill="1" applyBorder="1" applyAlignment="1">
      <alignment vertical="center"/>
    </xf>
    <xf numFmtId="0" fontId="7" fillId="6" borderId="55" xfId="0" applyNumberFormat="1"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44" fillId="11" borderId="56" xfId="0" applyNumberFormat="1" applyFont="1" applyFill="1" applyBorder="1" applyAlignment="1">
      <alignment horizontal="center" vertical="center"/>
    </xf>
    <xf numFmtId="0" fontId="7" fillId="6" borderId="39" xfId="0" applyNumberFormat="1" applyFont="1" applyFill="1" applyBorder="1" applyAlignment="1">
      <alignment horizontal="center" vertical="center"/>
    </xf>
    <xf numFmtId="0" fontId="4" fillId="0" borderId="0" xfId="0" applyFont="1" applyBorder="1" applyAlignment="1">
      <alignment horizontal="right" vertical="center"/>
    </xf>
    <xf numFmtId="0" fontId="15" fillId="0" borderId="0" xfId="0" applyFont="1" applyBorder="1" applyAlignment="1">
      <alignment horizontal="centerContinuous" vertical="center" wrapText="1"/>
    </xf>
    <xf numFmtId="0" fontId="12" fillId="10" borderId="20" xfId="0" applyFont="1" applyFill="1" applyBorder="1" applyAlignment="1">
      <alignment horizontal="centerContinuous" vertical="center" wrapText="1"/>
    </xf>
    <xf numFmtId="0" fontId="12"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2" fillId="10"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40"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Border="1" applyAlignment="1">
      <alignment horizontal="left" vertical="center"/>
    </xf>
    <xf numFmtId="0" fontId="8"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9"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44" xfId="0" applyFont="1" applyBorder="1" applyAlignment="1">
      <alignment horizontal="left" vertical="center"/>
    </xf>
    <xf numFmtId="0" fontId="5" fillId="0" borderId="69" xfId="0" applyFont="1" applyBorder="1" applyAlignment="1">
      <alignment horizontal="center" vertical="center" shrinkToFit="1"/>
    </xf>
    <xf numFmtId="0" fontId="5" fillId="0" borderId="50" xfId="0" applyFont="1" applyBorder="1" applyAlignment="1">
      <alignment horizontal="left" vertical="center"/>
    </xf>
    <xf numFmtId="0" fontId="3" fillId="0" borderId="0" xfId="0" applyFont="1" applyBorder="1" applyAlignment="1">
      <alignment vertical="center"/>
    </xf>
    <xf numFmtId="0" fontId="5" fillId="0" borderId="67"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2" fillId="0" borderId="44" xfId="0" applyFont="1" applyBorder="1" applyAlignment="1">
      <alignment horizontal="left" vertical="center"/>
    </xf>
    <xf numFmtId="0" fontId="39" fillId="0" borderId="0" xfId="0" applyFont="1" applyBorder="1" applyAlignment="1">
      <alignment vertical="center"/>
    </xf>
    <xf numFmtId="1" fontId="6" fillId="0" borderId="28" xfId="0" applyNumberFormat="1" applyFont="1" applyBorder="1" applyAlignment="1">
      <alignment horizontal="center" vertical="center"/>
    </xf>
    <xf numFmtId="49" fontId="16" fillId="0" borderId="38" xfId="0" applyNumberFormat="1" applyFont="1" applyFill="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7" fillId="14" borderId="25"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NumberFormat="1" applyFont="1" applyFill="1" applyBorder="1" applyAlignment="1">
      <alignment horizontal="center" vertical="center" wrapText="1"/>
    </xf>
    <xf numFmtId="0" fontId="7" fillId="0" borderId="54" xfId="0" applyFont="1" applyFill="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shrinkToFit="1"/>
    </xf>
    <xf numFmtId="0" fontId="36" fillId="0" borderId="40" xfId="0" applyFont="1" applyFill="1" applyBorder="1" applyAlignment="1">
      <alignment horizontal="centerContinuous" vertical="center"/>
    </xf>
    <xf numFmtId="0" fontId="27" fillId="0" borderId="40" xfId="0" applyFont="1" applyFill="1" applyBorder="1" applyAlignment="1">
      <alignment horizontal="center" vertical="center" shrinkToFit="1"/>
    </xf>
    <xf numFmtId="0" fontId="27" fillId="0" borderId="40" xfId="0" applyFont="1" applyFill="1" applyBorder="1" applyAlignment="1">
      <alignment horizontal="centerContinuous" vertical="center"/>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Fill="1" applyBorder="1" applyAlignment="1">
      <alignment horizontal="center" vertical="center"/>
    </xf>
    <xf numFmtId="164" fontId="5" fillId="0" borderId="83" xfId="0" applyNumberFormat="1" applyFont="1" applyBorder="1" applyAlignment="1">
      <alignment horizontal="center" vertical="center" shrinkToFit="1"/>
    </xf>
    <xf numFmtId="0" fontId="21" fillId="13" borderId="85" xfId="0" applyFont="1" applyFill="1" applyBorder="1" applyAlignment="1">
      <alignment horizontal="center" vertical="center"/>
    </xf>
    <xf numFmtId="0" fontId="2" fillId="0" borderId="0" xfId="0" applyFont="1" applyBorder="1" applyAlignment="1">
      <alignment vertical="center"/>
    </xf>
    <xf numFmtId="1" fontId="21" fillId="13" borderId="34" xfId="0" applyNumberFormat="1" applyFont="1" applyFill="1" applyBorder="1" applyAlignment="1">
      <alignment horizontal="center" vertical="center"/>
    </xf>
    <xf numFmtId="0" fontId="2" fillId="0" borderId="62" xfId="0" applyFont="1" applyFill="1" applyBorder="1" applyAlignment="1">
      <alignment horizontal="centerContinuous" vertical="center" shrinkToFit="1"/>
    </xf>
    <xf numFmtId="0" fontId="21" fillId="0" borderId="63" xfId="0" applyFont="1" applyFill="1" applyBorder="1" applyAlignment="1">
      <alignment horizontal="centerContinuous" vertical="center"/>
    </xf>
    <xf numFmtId="0" fontId="21" fillId="0" borderId="86" xfId="0" applyFont="1" applyFill="1" applyBorder="1" applyAlignment="1">
      <alignment horizontal="centerContinuous" vertical="center"/>
    </xf>
    <xf numFmtId="0" fontId="2" fillId="0" borderId="8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4" xfId="0" applyFont="1" applyFill="1" applyBorder="1" applyAlignment="1">
      <alignment horizontal="centerContinuous" vertical="center"/>
    </xf>
    <xf numFmtId="1" fontId="2" fillId="0" borderId="88" xfId="0" applyNumberFormat="1" applyFont="1" applyFill="1" applyBorder="1" applyAlignment="1">
      <alignment horizontal="center" vertical="center"/>
    </xf>
    <xf numFmtId="0" fontId="2" fillId="0" borderId="89"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1" fillId="0" borderId="91" xfId="0" applyFont="1" applyFill="1" applyBorder="1" applyAlignment="1">
      <alignment horizontal="centerContinuous" vertical="center"/>
    </xf>
    <xf numFmtId="0" fontId="2" fillId="0" borderId="45" xfId="0" applyFont="1" applyFill="1" applyBorder="1" applyAlignment="1">
      <alignment horizontal="center" vertical="center"/>
    </xf>
    <xf numFmtId="0" fontId="2" fillId="0" borderId="92" xfId="0" applyFont="1" applyFill="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Fill="1" applyBorder="1" applyAlignment="1">
      <alignment horizontal="centerContinuous" vertical="center" shrinkToFit="1"/>
    </xf>
    <xf numFmtId="0" fontId="2" fillId="0" borderId="81" xfId="0" applyFont="1" applyFill="1" applyBorder="1" applyAlignment="1">
      <alignment horizontal="centerContinuous" vertical="center"/>
    </xf>
    <xf numFmtId="0" fontId="2" fillId="0" borderId="94" xfId="0" applyFont="1" applyFill="1" applyBorder="1" applyAlignment="1">
      <alignment horizontal="centerContinuous" vertical="center"/>
    </xf>
    <xf numFmtId="49" fontId="2" fillId="0" borderId="51"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0" fontId="2" fillId="0" borderId="82" xfId="0" applyFont="1" applyFill="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20"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2" fillId="2" borderId="96" xfId="0" applyFont="1" applyFill="1" applyBorder="1" applyAlignment="1">
      <alignment horizontal="left" vertical="center"/>
    </xf>
    <xf numFmtId="0" fontId="4"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Border="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55"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6" fillId="0" borderId="58" xfId="3" applyNumberFormat="1" applyFont="1" applyFill="1" applyBorder="1" applyAlignment="1">
      <alignment horizontal="center" vertical="center"/>
    </xf>
    <xf numFmtId="0" fontId="8" fillId="4" borderId="98" xfId="3" applyFont="1" applyFill="1" applyBorder="1" applyAlignment="1">
      <alignment horizontal="right" vertical="center"/>
    </xf>
    <xf numFmtId="1" fontId="7" fillId="0" borderId="6" xfId="3" applyNumberFormat="1" applyFont="1" applyBorder="1" applyAlignment="1">
      <alignment horizontal="center" vertical="center"/>
    </xf>
    <xf numFmtId="0" fontId="6" fillId="16" borderId="75" xfId="3"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Border="1" applyAlignment="1">
      <alignment horizontal="center" vertical="center"/>
    </xf>
    <xf numFmtId="0" fontId="26" fillId="0" borderId="99" xfId="3" applyNumberFormat="1" applyFont="1" applyFill="1" applyBorder="1" applyAlignment="1">
      <alignment horizontal="center" vertical="center"/>
    </xf>
    <xf numFmtId="0" fontId="11" fillId="4" borderId="89" xfId="3" applyFont="1" applyFill="1" applyBorder="1" applyAlignment="1">
      <alignment horizontal="right" vertical="center"/>
    </xf>
    <xf numFmtId="0" fontId="7" fillId="0" borderId="100" xfId="3" applyNumberFormat="1" applyFont="1" applyBorder="1" applyAlignment="1">
      <alignment horizontal="center" vertical="center"/>
    </xf>
    <xf numFmtId="1" fontId="7" fillId="0" borderId="29" xfId="3" applyNumberFormat="1" applyFont="1" applyBorder="1" applyAlignment="1">
      <alignment horizontal="center" vertical="center"/>
    </xf>
    <xf numFmtId="0" fontId="7" fillId="0" borderId="2" xfId="0" applyFont="1" applyFill="1" applyBorder="1" applyAlignment="1">
      <alignment horizontal="center" vertical="center"/>
    </xf>
    <xf numFmtId="0" fontId="8" fillId="4" borderId="89" xfId="3" applyFont="1" applyFill="1" applyBorder="1" applyAlignment="1">
      <alignment horizontal="right" vertical="center"/>
    </xf>
    <xf numFmtId="0" fontId="7" fillId="0" borderId="101" xfId="3" quotePrefix="1" applyFont="1" applyBorder="1" applyAlignment="1">
      <alignment horizontal="center" vertical="center"/>
    </xf>
    <xf numFmtId="0" fontId="8" fillId="0" borderId="1" xfId="3" applyFont="1" applyFill="1" applyBorder="1" applyAlignment="1">
      <alignment horizontal="right" vertical="center"/>
    </xf>
    <xf numFmtId="0" fontId="11" fillId="2" borderId="4" xfId="0" applyFont="1" applyFill="1" applyBorder="1" applyAlignment="1">
      <alignment horizontal="right" vertical="center"/>
    </xf>
    <xf numFmtId="0" fontId="7" fillId="0" borderId="101" xfId="3" applyFont="1" applyBorder="1" applyAlignment="1">
      <alignment horizontal="center" vertical="center"/>
    </xf>
    <xf numFmtId="0" fontId="11" fillId="0" borderId="1"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56" fillId="4" borderId="102" xfId="3" applyFont="1" applyFill="1" applyBorder="1" applyAlignment="1">
      <alignment horizontal="right" vertical="center"/>
    </xf>
    <xf numFmtId="0" fontId="7" fillId="0" borderId="24" xfId="0" applyFont="1" applyBorder="1" applyAlignment="1">
      <alignment horizontal="center" vertical="center"/>
    </xf>
    <xf numFmtId="0" fontId="26" fillId="0" borderId="24" xfId="3" applyNumberFormat="1" applyFont="1" applyFill="1" applyBorder="1" applyAlignment="1">
      <alignment horizontal="center" vertical="center"/>
    </xf>
    <xf numFmtId="0" fontId="10" fillId="4" borderId="13" xfId="3" applyFont="1" applyFill="1" applyBorder="1" applyAlignment="1">
      <alignment horizontal="right" vertical="center"/>
    </xf>
    <xf numFmtId="0" fontId="7" fillId="0" borderId="39" xfId="3" applyFont="1" applyBorder="1" applyAlignment="1">
      <alignment horizontal="center" vertical="center"/>
    </xf>
    <xf numFmtId="0" fontId="11" fillId="0" borderId="1" xfId="0" applyFont="1" applyFill="1" applyBorder="1" applyAlignment="1">
      <alignment horizontal="right" vertical="center"/>
    </xf>
    <xf numFmtId="0" fontId="2" fillId="0" borderId="0" xfId="0" applyFont="1" applyBorder="1" applyAlignment="1">
      <alignment horizontal="left" vertical="center"/>
    </xf>
    <xf numFmtId="0" fontId="55" fillId="0" borderId="0" xfId="0" applyFont="1" applyBorder="1" applyAlignment="1">
      <alignment vertical="center"/>
    </xf>
    <xf numFmtId="0" fontId="2" fillId="0" borderId="69" xfId="0" applyFont="1" applyBorder="1" applyAlignment="1">
      <alignment horizontal="center" vertical="center" shrinkToFit="1"/>
    </xf>
    <xf numFmtId="1" fontId="2" fillId="12" borderId="40" xfId="0" applyNumberFormat="1" applyFont="1" applyFill="1" applyBorder="1" applyAlignment="1">
      <alignment horizontal="center" vertical="center" shrinkToFit="1"/>
    </xf>
    <xf numFmtId="165" fontId="5" fillId="0" borderId="0" xfId="0" applyNumberFormat="1" applyFont="1" applyBorder="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103" xfId="0" applyFont="1" applyBorder="1" applyAlignment="1">
      <alignment horizontal="right" vertical="center"/>
    </xf>
    <xf numFmtId="0" fontId="2" fillId="0" borderId="104"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61" fillId="0" borderId="5"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7" fillId="0" borderId="107" xfId="0" applyFont="1" applyFill="1" applyBorder="1" applyAlignment="1">
      <alignment horizontal="center" vertical="center" shrinkToFit="1"/>
    </xf>
    <xf numFmtId="0" fontId="7" fillId="0" borderId="108" xfId="0" applyFont="1" applyFill="1" applyBorder="1" applyAlignment="1">
      <alignment horizontal="center" vertical="center"/>
    </xf>
    <xf numFmtId="0" fontId="35" fillId="9" borderId="109" xfId="2" applyNumberFormat="1" applyFont="1" applyFill="1" applyBorder="1" applyAlignment="1">
      <alignment horizontal="center" vertical="center" shrinkToFit="1"/>
    </xf>
    <xf numFmtId="0" fontId="7" fillId="0" borderId="37" xfId="0" applyFont="1" applyFill="1" applyBorder="1" applyAlignment="1">
      <alignment horizontal="center" vertical="center"/>
    </xf>
    <xf numFmtId="0" fontId="2" fillId="0" borderId="44" xfId="0" applyFont="1" applyFill="1" applyBorder="1" applyAlignment="1">
      <alignment horizontal="center" vertical="center" wrapText="1"/>
    </xf>
    <xf numFmtId="0" fontId="60" fillId="17" borderId="50" xfId="0" applyFont="1" applyFill="1" applyBorder="1" applyAlignment="1">
      <alignment horizontal="center" vertical="center" wrapText="1"/>
    </xf>
    <xf numFmtId="0" fontId="2" fillId="18" borderId="105"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10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7" fillId="0" borderId="89" xfId="0" applyFont="1" applyFill="1" applyBorder="1" applyAlignment="1">
      <alignment horizontal="center" vertical="center" shrinkToFit="1"/>
    </xf>
    <xf numFmtId="0" fontId="7" fillId="0" borderId="100" xfId="0" applyFont="1" applyFill="1" applyBorder="1" applyAlignment="1">
      <alignment horizontal="center" vertical="center"/>
    </xf>
    <xf numFmtId="0" fontId="35"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Fill="1" applyBorder="1" applyAlignment="1">
      <alignment horizontal="center" vertical="center" shrinkToFit="1"/>
    </xf>
    <xf numFmtId="1" fontId="7" fillId="0" borderId="108" xfId="0" applyNumberFormat="1" applyFont="1" applyFill="1" applyBorder="1" applyAlignment="1">
      <alignment horizontal="center" vertical="center"/>
    </xf>
    <xf numFmtId="1" fontId="7" fillId="0" borderId="100" xfId="0" applyNumberFormat="1" applyFont="1" applyFill="1" applyBorder="1" applyAlignment="1">
      <alignment horizontal="center" vertical="center"/>
    </xf>
    <xf numFmtId="1" fontId="7" fillId="0" borderId="54" xfId="0" applyNumberFormat="1" applyFont="1" applyFill="1" applyBorder="1" applyAlignment="1">
      <alignment horizontal="center" vertical="center"/>
    </xf>
    <xf numFmtId="1" fontId="50" fillId="11"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8" fillId="0" borderId="59" xfId="0" applyFont="1" applyFill="1" applyBorder="1" applyAlignment="1">
      <alignment horizontal="centerContinuous" vertical="center"/>
    </xf>
    <xf numFmtId="0" fontId="7" fillId="0" borderId="26" xfId="0" applyNumberFormat="1" applyFont="1" applyFill="1" applyBorder="1" applyAlignment="1">
      <alignment horizontal="center" vertical="center" shrinkToFit="1"/>
    </xf>
    <xf numFmtId="0" fontId="2" fillId="0" borderId="111" xfId="0" applyFont="1" applyFill="1" applyBorder="1" applyAlignment="1">
      <alignment horizontal="center" vertical="center"/>
    </xf>
    <xf numFmtId="0" fontId="2" fillId="0" borderId="112" xfId="0" applyFont="1" applyFill="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1" fontId="50" fillId="11"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83" xfId="0" applyFont="1" applyFill="1" applyBorder="1" applyAlignment="1">
      <alignment horizontal="center" vertical="center"/>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164" fontId="5" fillId="0" borderId="83" xfId="0" applyNumberFormat="1" applyFont="1" applyFill="1" applyBorder="1" applyAlignment="1">
      <alignment horizontal="center" vertical="center"/>
    </xf>
    <xf numFmtId="164" fontId="5"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48"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6" xfId="0" applyFont="1" applyFill="1" applyBorder="1" applyAlignment="1">
      <alignment horizontal="center" vertical="center" shrinkToFit="1"/>
    </xf>
    <xf numFmtId="1" fontId="50" fillId="11" borderId="116" xfId="0" applyNumberFormat="1" applyFont="1" applyFill="1" applyBorder="1" applyAlignment="1">
      <alignment horizontal="center" vertical="center"/>
    </xf>
    <xf numFmtId="1" fontId="2" fillId="0" borderId="116" xfId="0" applyNumberFormat="1" applyFont="1" applyBorder="1" applyAlignment="1">
      <alignment horizontal="center" vertical="center"/>
    </xf>
    <xf numFmtId="1" fontId="2" fillId="0" borderId="118" xfId="0" applyNumberFormat="1" applyFont="1" applyFill="1" applyBorder="1" applyAlignment="1">
      <alignment horizontal="center" vertical="center"/>
    </xf>
    <xf numFmtId="1" fontId="2" fillId="12" borderId="119" xfId="0" applyNumberFormat="1" applyFont="1" applyFill="1" applyBorder="1" applyAlignment="1">
      <alignment horizontal="center" vertical="center"/>
    </xf>
    <xf numFmtId="1" fontId="2" fillId="12" borderId="59" xfId="0" applyNumberFormat="1" applyFont="1" applyFill="1" applyBorder="1" applyAlignment="1">
      <alignment horizontal="center" vertical="center"/>
    </xf>
    <xf numFmtId="164" fontId="5" fillId="12" borderId="112" xfId="0" applyNumberFormat="1" applyFont="1" applyFill="1" applyBorder="1" applyAlignment="1">
      <alignment horizontal="center" vertical="center"/>
    </xf>
    <xf numFmtId="164" fontId="2" fillId="0" borderId="112" xfId="0" applyNumberFormat="1" applyFont="1" applyBorder="1" applyAlignment="1">
      <alignment horizontal="center" vertical="center"/>
    </xf>
    <xf numFmtId="164" fontId="2" fillId="12" borderId="112" xfId="0" applyNumberFormat="1" applyFont="1" applyFill="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164" fontId="5" fillId="0" borderId="121" xfId="0" applyNumberFormat="1" applyFont="1" applyFill="1" applyBorder="1" applyAlignment="1">
      <alignment horizontal="center" vertical="center"/>
    </xf>
    <xf numFmtId="1" fontId="50" fillId="11"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0" fontId="2" fillId="0" borderId="122" xfId="0" applyFont="1" applyFill="1" applyBorder="1" applyAlignment="1">
      <alignment horizontal="center" vertical="center"/>
    </xf>
    <xf numFmtId="164" fontId="2" fillId="0" borderId="116" xfId="0" applyNumberFormat="1" applyFont="1" applyFill="1" applyBorder="1" applyAlignment="1">
      <alignment horizontal="center" vertical="center"/>
    </xf>
    <xf numFmtId="164" fontId="2" fillId="0" borderId="116" xfId="0" applyNumberFormat="1" applyFont="1" applyBorder="1" applyAlignment="1">
      <alignment horizontal="center" vertical="center"/>
    </xf>
    <xf numFmtId="1" fontId="2" fillId="0" borderId="123" xfId="0" applyNumberFormat="1" applyFont="1" applyFill="1" applyBorder="1" applyAlignment="1">
      <alignment horizontal="center" vertical="center"/>
    </xf>
    <xf numFmtId="0" fontId="47" fillId="0" borderId="59" xfId="0" applyFont="1" applyFill="1" applyBorder="1" applyAlignment="1">
      <alignment horizontal="centerContinuous" vertical="center"/>
    </xf>
    <xf numFmtId="49" fontId="2" fillId="15" borderId="116" xfId="2" applyNumberFormat="1" applyFont="1" applyFill="1" applyBorder="1" applyAlignment="1">
      <alignment horizontal="center" vertical="center"/>
    </xf>
    <xf numFmtId="49" fontId="2"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2" fillId="0" borderId="125" xfId="0" applyFont="1" applyFill="1" applyBorder="1" applyAlignment="1">
      <alignment horizontal="centerContinuous" vertical="center"/>
    </xf>
    <xf numFmtId="1" fontId="2" fillId="0" borderId="101" xfId="0" applyNumberFormat="1" applyFont="1" applyFill="1" applyBorder="1" applyAlignment="1">
      <alignment horizontal="centerContinuous" vertical="center"/>
    </xf>
    <xf numFmtId="1" fontId="2" fillId="0" borderId="109" xfId="0" applyNumberFormat="1" applyFont="1" applyFill="1" applyBorder="1" applyAlignment="1">
      <alignment horizontal="centerContinuous" vertical="center"/>
    </xf>
    <xf numFmtId="1" fontId="50" fillId="17" borderId="128"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2" fillId="20" borderId="129" xfId="0" applyNumberFormat="1" applyFont="1" applyFill="1" applyBorder="1" applyAlignment="1">
      <alignment horizontal="centerContinuous" vertical="center"/>
    </xf>
    <xf numFmtId="0" fontId="7" fillId="5" borderId="27" xfId="0" quotePrefix="1" applyNumberFormat="1" applyFont="1" applyFill="1" applyBorder="1" applyAlignment="1">
      <alignment horizontal="center" vertical="center"/>
    </xf>
    <xf numFmtId="0" fontId="7" fillId="14"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21" fillId="13" borderId="130" xfId="0" applyFont="1" applyFill="1" applyBorder="1" applyAlignment="1">
      <alignment horizontal="center" vertical="center"/>
    </xf>
    <xf numFmtId="0" fontId="21" fillId="13" borderId="131" xfId="0" applyFont="1" applyFill="1" applyBorder="1" applyAlignment="1">
      <alignment horizontal="center" vertical="center"/>
    </xf>
    <xf numFmtId="49" fontId="21" fillId="13" borderId="131" xfId="0" applyNumberFormat="1" applyFont="1" applyFill="1" applyBorder="1" applyAlignment="1">
      <alignment horizontal="center" vertical="center"/>
    </xf>
    <xf numFmtId="0" fontId="21" fillId="13" borderId="132" xfId="0" applyFont="1" applyFill="1" applyBorder="1" applyAlignment="1">
      <alignment horizontal="center" vertical="center"/>
    </xf>
    <xf numFmtId="0" fontId="49" fillId="11" borderId="132" xfId="0" applyFont="1" applyFill="1" applyBorder="1" applyAlignment="1">
      <alignment horizontal="center" vertical="center"/>
    </xf>
    <xf numFmtId="0" fontId="21" fillId="13" borderId="133" xfId="0" applyFont="1" applyFill="1" applyBorder="1" applyAlignment="1">
      <alignment horizontal="center" vertical="center"/>
    </xf>
    <xf numFmtId="0" fontId="2" fillId="0" borderId="69" xfId="0" applyFont="1" applyBorder="1" applyAlignment="1">
      <alignment horizontal="center" vertical="center"/>
    </xf>
    <xf numFmtId="49" fontId="64" fillId="0" borderId="50"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94" xfId="0" applyFont="1" applyBorder="1" applyAlignment="1">
      <alignment horizontal="center" vertical="center" shrinkToFit="1"/>
    </xf>
    <xf numFmtId="1" fontId="7" fillId="0" borderId="26"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49" fontId="2" fillId="0" borderId="121" xfId="0" applyNumberFormat="1" applyFont="1" applyFill="1" applyBorder="1" applyAlignment="1">
      <alignment horizontal="center" vertical="center"/>
    </xf>
    <xf numFmtId="164" fontId="2" fillId="0" borderId="121" xfId="0" applyNumberFormat="1" applyFont="1" applyFill="1" applyBorder="1" applyAlignment="1">
      <alignment horizontal="center" vertical="center"/>
    </xf>
    <xf numFmtId="0" fontId="5" fillId="0" borderId="122" xfId="0" applyFont="1" applyFill="1" applyBorder="1" applyAlignment="1">
      <alignment horizontal="center" vertical="center"/>
    </xf>
    <xf numFmtId="0" fontId="2" fillId="0" borderId="62" xfId="0" applyFont="1" applyFill="1" applyBorder="1" applyAlignment="1">
      <alignment horizontal="centerContinuous" vertical="center"/>
    </xf>
    <xf numFmtId="0" fontId="6" fillId="4" borderId="134"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35" xfId="0" applyNumberFormat="1" applyFont="1" applyBorder="1" applyAlignment="1">
      <alignment horizontal="centerContinuous" vertical="center"/>
    </xf>
    <xf numFmtId="0" fontId="22" fillId="14" borderId="1" xfId="0" applyFont="1" applyFill="1" applyBorder="1" applyAlignment="1">
      <alignment vertical="center"/>
    </xf>
    <xf numFmtId="49" fontId="28" fillId="14" borderId="25" xfId="0" applyNumberFormat="1" applyFont="1" applyFill="1" applyBorder="1" applyAlignment="1">
      <alignment horizontal="center" vertical="center"/>
    </xf>
    <xf numFmtId="0" fontId="28" fillId="14" borderId="26" xfId="0" applyNumberFormat="1" applyFont="1" applyFill="1" applyBorder="1" applyAlignment="1">
      <alignment horizontal="center" vertical="center"/>
    </xf>
    <xf numFmtId="0" fontId="7" fillId="0" borderId="88" xfId="0" applyFont="1" applyFill="1" applyBorder="1" applyAlignment="1">
      <alignment horizontal="centerContinuous" vertical="center"/>
    </xf>
    <xf numFmtId="0" fontId="7" fillId="0" borderId="137" xfId="0" applyFont="1" applyFill="1" applyBorder="1" applyAlignment="1">
      <alignment horizontal="centerContinuous" vertical="center"/>
    </xf>
    <xf numFmtId="0" fontId="7" fillId="0" borderId="55" xfId="0" applyFont="1" applyFill="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56" xfId="0" applyFont="1" applyFill="1" applyBorder="1" applyAlignment="1">
      <alignment horizontal="center" vertical="center" wrapText="1"/>
    </xf>
    <xf numFmtId="0" fontId="5" fillId="0" borderId="138"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49" fontId="2" fillId="15" borderId="121" xfId="2" applyNumberFormat="1" applyFont="1" applyFill="1" applyBorder="1" applyAlignment="1">
      <alignment horizontal="center" vertical="center"/>
    </xf>
    <xf numFmtId="164" fontId="2" fillId="0" borderId="121" xfId="0" applyNumberFormat="1" applyFont="1" applyBorder="1" applyAlignment="1">
      <alignment horizontal="center" vertical="center"/>
    </xf>
    <xf numFmtId="0" fontId="2" fillId="0" borderId="122" xfId="0" quotePrefix="1" applyFont="1" applyFill="1" applyBorder="1" applyAlignment="1">
      <alignment horizontal="center" vertical="center"/>
    </xf>
    <xf numFmtId="164" fontId="2" fillId="12" borderId="121" xfId="0" applyNumberFormat="1" applyFont="1" applyFill="1" applyBorder="1" applyAlignment="1">
      <alignment horizontal="center" vertical="center"/>
    </xf>
    <xf numFmtId="164" fontId="5" fillId="12" borderId="121" xfId="0" applyNumberFormat="1" applyFont="1" applyFill="1" applyBorder="1" applyAlignment="1">
      <alignment horizontal="center" vertical="center"/>
    </xf>
    <xf numFmtId="1" fontId="2" fillId="12" borderId="123" xfId="0" applyNumberFormat="1" applyFont="1" applyFill="1" applyBorder="1" applyAlignment="1">
      <alignment horizontal="center" vertical="center"/>
    </xf>
    <xf numFmtId="0" fontId="2" fillId="0" borderId="116" xfId="0" quotePrefix="1" applyFont="1" applyFill="1" applyBorder="1" applyAlignment="1">
      <alignment horizontal="center" vertical="center" wrapText="1"/>
    </xf>
    <xf numFmtId="0" fontId="2" fillId="0" borderId="121" xfId="0" quotePrefix="1" applyFont="1" applyFill="1" applyBorder="1" applyAlignment="1">
      <alignment horizontal="center" vertical="center" wrapText="1"/>
    </xf>
    <xf numFmtId="0" fontId="2" fillId="0" borderId="112" xfId="0" quotePrefix="1" applyFont="1" applyFill="1" applyBorder="1" applyAlignment="1">
      <alignment horizontal="center" vertical="center" wrapText="1"/>
    </xf>
    <xf numFmtId="0" fontId="2" fillId="0" borderId="83" xfId="0" quotePrefix="1" applyFont="1" applyFill="1" applyBorder="1" applyAlignment="1">
      <alignment horizontal="center" vertical="center" wrapText="1"/>
    </xf>
    <xf numFmtId="1" fontId="2" fillId="0" borderId="40" xfId="0" applyNumberFormat="1"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79" xfId="0" applyFont="1" applyFill="1" applyBorder="1" applyAlignment="1">
      <alignment horizontal="center" vertical="center"/>
    </xf>
    <xf numFmtId="1" fontId="7" fillId="0" borderId="79" xfId="0" applyNumberFormat="1" applyFont="1" applyFill="1" applyBorder="1" applyAlignment="1">
      <alignment horizontal="center" vertical="center"/>
    </xf>
    <xf numFmtId="0" fontId="35" fillId="9" borderId="129" xfId="2" applyNumberFormat="1" applyFont="1" applyFill="1" applyBorder="1" applyAlignment="1">
      <alignment horizontal="center" vertical="center" shrinkToFit="1"/>
    </xf>
    <xf numFmtId="0" fontId="65" fillId="0" borderId="34" xfId="0" applyFont="1" applyBorder="1" applyAlignment="1">
      <alignment horizontal="centerContinuous" vertical="center"/>
    </xf>
    <xf numFmtId="0" fontId="66"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0" xfId="0" quotePrefix="1" applyFont="1" applyBorder="1" applyAlignment="1">
      <alignment horizontal="center" vertical="center"/>
    </xf>
    <xf numFmtId="9" fontId="2" fillId="0" borderId="140" xfId="0" applyNumberFormat="1" applyFont="1" applyBorder="1" applyAlignment="1">
      <alignment horizontal="center" vertical="center"/>
    </xf>
    <xf numFmtId="164" fontId="2" fillId="0" borderId="140" xfId="0" applyNumberFormat="1" applyFont="1" applyFill="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5" xfId="0" quotePrefix="1" applyFont="1" applyBorder="1" applyAlignment="1">
      <alignment horizontal="center" vertical="center"/>
    </xf>
    <xf numFmtId="9" fontId="2" fillId="0" borderId="145" xfId="0" applyNumberFormat="1" applyFont="1" applyBorder="1" applyAlignment="1">
      <alignment horizontal="center" vertical="center"/>
    </xf>
    <xf numFmtId="164" fontId="2" fillId="0" borderId="145" xfId="0" applyNumberFormat="1" applyFont="1" applyFill="1" applyBorder="1" applyAlignment="1">
      <alignment horizontal="center" vertical="center"/>
    </xf>
    <xf numFmtId="164" fontId="2" fillId="0" borderId="146" xfId="0" applyNumberFormat="1" applyFont="1" applyFill="1" applyBorder="1" applyAlignment="1">
      <alignment horizontal="centerContinuous" vertical="center"/>
    </xf>
    <xf numFmtId="164" fontId="5" fillId="0" borderId="127" xfId="0" applyNumberFormat="1" applyFont="1" applyFill="1" applyBorder="1" applyAlignment="1">
      <alignment horizontal="centerContinuous" vertical="center"/>
    </xf>
    <xf numFmtId="0" fontId="5" fillId="0" borderId="147" xfId="0" quotePrefix="1" applyFont="1" applyFill="1" applyBorder="1" applyAlignment="1">
      <alignment horizontal="centerContinuous" vertical="center"/>
    </xf>
    <xf numFmtId="0" fontId="67" fillId="0" borderId="34" xfId="0" applyFont="1" applyBorder="1" applyAlignment="1">
      <alignment horizontal="centerContinuous" vertical="center" wrapText="1"/>
    </xf>
    <xf numFmtId="0" fontId="7" fillId="8" borderId="27" xfId="0" quotePrefix="1" applyNumberFormat="1" applyFont="1" applyFill="1" applyBorder="1" applyAlignment="1">
      <alignment horizontal="center" vertical="center"/>
    </xf>
    <xf numFmtId="0" fontId="68" fillId="21" borderId="24" xfId="0" quotePrefix="1" applyFont="1" applyFill="1" applyBorder="1" applyAlignment="1">
      <alignment horizontal="center" vertical="center"/>
    </xf>
    <xf numFmtId="0" fontId="50" fillId="21" borderId="44" xfId="0" applyFont="1" applyFill="1" applyBorder="1" applyAlignment="1">
      <alignment horizontal="center" vertical="center" wrapText="1"/>
    </xf>
    <xf numFmtId="1" fontId="44" fillId="21" borderId="25" xfId="0" applyNumberFormat="1" applyFont="1" applyFill="1" applyBorder="1" applyAlignment="1">
      <alignment horizontal="center" vertical="center" wrapText="1"/>
    </xf>
    <xf numFmtId="1" fontId="44" fillId="21" borderId="54" xfId="0" applyNumberFormat="1" applyFont="1" applyFill="1" applyBorder="1" applyAlignment="1">
      <alignment horizontal="center" vertical="center" wrapText="1"/>
    </xf>
    <xf numFmtId="49" fontId="7" fillId="14" borderId="25" xfId="0" applyNumberFormat="1" applyFont="1" applyFill="1" applyBorder="1" applyAlignment="1">
      <alignment horizontal="center" vertical="center" wrapText="1"/>
    </xf>
    <xf numFmtId="0" fontId="14" fillId="22" borderId="1" xfId="0" applyFont="1" applyFill="1" applyBorder="1" applyAlignment="1">
      <alignment vertical="center"/>
    </xf>
    <xf numFmtId="0" fontId="7" fillId="22" borderId="25" xfId="0" applyNumberFormat="1" applyFont="1" applyFill="1" applyBorder="1" applyAlignment="1">
      <alignment horizontal="center" vertical="center"/>
    </xf>
    <xf numFmtId="49" fontId="23" fillId="22" borderId="25" xfId="0" applyNumberFormat="1" applyFont="1" applyFill="1" applyBorder="1" applyAlignment="1">
      <alignment horizontal="center" vertical="center"/>
    </xf>
    <xf numFmtId="0" fontId="23" fillId="22" borderId="26" xfId="0" applyNumberFormat="1" applyFont="1" applyFill="1" applyBorder="1" applyAlignment="1">
      <alignment horizontal="center" vertical="center"/>
    </xf>
    <xf numFmtId="0" fontId="14" fillId="22" borderId="26" xfId="0" applyNumberFormat="1" applyFont="1" applyFill="1" applyBorder="1" applyAlignment="1">
      <alignment horizontal="center" vertical="center"/>
    </xf>
    <xf numFmtId="49" fontId="7" fillId="22" borderId="26" xfId="0" applyNumberFormat="1" applyFont="1" applyFill="1" applyBorder="1" applyAlignment="1">
      <alignment horizontal="center" vertical="center"/>
    </xf>
    <xf numFmtId="0" fontId="7" fillId="22" borderId="27" xfId="0" quotePrefix="1" applyNumberFormat="1" applyFont="1" applyFill="1" applyBorder="1" applyAlignment="1">
      <alignment horizontal="center" vertical="center"/>
    </xf>
    <xf numFmtId="0" fontId="10"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NumberFormat="1"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 fillId="0" borderId="26" xfId="6" applyNumberFormat="1" applyFont="1" applyFill="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7" xfId="6" applyNumberFormat="1" applyFont="1" applyBorder="1" applyAlignment="1">
      <alignment horizontal="center" vertical="center" wrapText="1"/>
    </xf>
    <xf numFmtId="0" fontId="27" fillId="0" borderId="40" xfId="0" applyFont="1" applyBorder="1" applyAlignment="1">
      <alignment horizontal="centerContinuous"/>
    </xf>
    <xf numFmtId="164" fontId="2" fillId="0" borderId="141" xfId="0" applyNumberFormat="1" applyFont="1" applyFill="1" applyBorder="1" applyAlignment="1">
      <alignment horizontal="centerContinuous" vertical="center"/>
    </xf>
    <xf numFmtId="164" fontId="5" fillId="0" borderId="142" xfId="0" applyNumberFormat="1" applyFont="1" applyFill="1" applyBorder="1" applyAlignment="1">
      <alignment horizontal="centerContinuous" vertical="center"/>
    </xf>
    <xf numFmtId="0" fontId="5" fillId="0" borderId="143" xfId="0" quotePrefix="1" applyFont="1" applyFill="1" applyBorder="1" applyAlignment="1">
      <alignment horizontal="centerContinuous" vertical="center"/>
    </xf>
    <xf numFmtId="0" fontId="5" fillId="0" borderId="0" xfId="0" applyFont="1" applyFill="1" applyBorder="1" applyAlignment="1">
      <alignment vertical="center"/>
    </xf>
    <xf numFmtId="0" fontId="6" fillId="4" borderId="136" xfId="0" applyFont="1" applyFill="1" applyBorder="1" applyAlignment="1">
      <alignment horizontal="right" vertical="center"/>
    </xf>
    <xf numFmtId="3" fontId="7" fillId="0" borderId="29"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0" fontId="4" fillId="0" borderId="89" xfId="0" applyFont="1" applyBorder="1" applyAlignment="1">
      <alignment horizontal="center" vertical="center"/>
    </xf>
    <xf numFmtId="49" fontId="49" fillId="17" borderId="126" xfId="0" applyNumberFormat="1" applyFont="1" applyFill="1" applyBorder="1" applyAlignment="1">
      <alignment horizontal="center" vertical="center"/>
    </xf>
    <xf numFmtId="49" fontId="4" fillId="0" borderId="89" xfId="0" applyNumberFormat="1" applyFont="1" applyFill="1" applyBorder="1" applyAlignment="1">
      <alignment horizontal="center" vertical="center"/>
    </xf>
    <xf numFmtId="0" fontId="49" fillId="17" borderId="89"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0" fontId="7" fillId="0" borderId="75" xfId="0" applyNumberFormat="1" applyFont="1" applyBorder="1" applyAlignment="1">
      <alignment horizontal="center" vertical="center"/>
    </xf>
    <xf numFmtId="0" fontId="69" fillId="2" borderId="73" xfId="0" applyFont="1" applyFill="1" applyBorder="1" applyAlignment="1">
      <alignment horizontal="right" vertical="center"/>
    </xf>
    <xf numFmtId="0" fontId="69" fillId="2" borderId="71" xfId="0" applyFont="1" applyFill="1" applyBorder="1" applyAlignment="1">
      <alignment horizontal="left" vertical="center"/>
    </xf>
    <xf numFmtId="0" fontId="5" fillId="0" borderId="0" xfId="0" applyFont="1" applyBorder="1" applyAlignment="1">
      <alignment horizontal="center" vertical="center" wrapText="1"/>
    </xf>
    <xf numFmtId="0" fontId="7" fillId="0" borderId="126" xfId="0" applyFont="1" applyFill="1" applyBorder="1" applyAlignment="1">
      <alignment horizontal="center" vertical="center" shrinkToFit="1"/>
    </xf>
    <xf numFmtId="0" fontId="2" fillId="0" borderId="50" xfId="0" quotePrefix="1" applyFont="1" applyFill="1" applyBorder="1" applyAlignment="1">
      <alignment horizontal="left" vertical="center"/>
    </xf>
    <xf numFmtId="0" fontId="2" fillId="0" borderId="46" xfId="0" applyFont="1" applyFill="1" applyBorder="1" applyAlignment="1">
      <alignment horizontal="center" vertical="center" wrapText="1"/>
    </xf>
    <xf numFmtId="1" fontId="7" fillId="0" borderId="28" xfId="0" applyNumberFormat="1" applyFont="1" applyFill="1" applyBorder="1" applyAlignment="1">
      <alignment horizontal="center" vertical="center"/>
    </xf>
    <xf numFmtId="1" fontId="7" fillId="0" borderId="29"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2" fillId="0" borderId="68" xfId="0" applyFont="1" applyFill="1" applyBorder="1" applyAlignment="1">
      <alignment horizontal="center" vertical="center" shrinkToFit="1"/>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Border="1" applyAlignment="1">
      <alignment horizontal="center" vertical="center"/>
    </xf>
    <xf numFmtId="1" fontId="2" fillId="0" borderId="119" xfId="0" applyNumberFormat="1" applyFont="1" applyBorder="1" applyAlignment="1">
      <alignment horizontal="center" vertical="center" shrinkToFit="1"/>
    </xf>
    <xf numFmtId="0" fontId="70" fillId="21" borderId="3" xfId="0" quotePrefix="1" applyFont="1" applyFill="1" applyBorder="1" applyAlignment="1">
      <alignment horizontal="center" vertical="center"/>
    </xf>
    <xf numFmtId="0" fontId="47" fillId="0" borderId="59" xfId="0" quotePrefix="1" applyFont="1" applyFill="1" applyBorder="1" applyAlignment="1">
      <alignment horizontal="centerContinuous" vertical="center" shrinkToFit="1"/>
    </xf>
    <xf numFmtId="0" fontId="9" fillId="19" borderId="3" xfId="0" quotePrefix="1" applyFont="1" applyFill="1" applyBorder="1" applyAlignment="1">
      <alignment horizontal="center" vertical="center"/>
    </xf>
    <xf numFmtId="0" fontId="43" fillId="23" borderId="35" xfId="0" applyFont="1" applyFill="1" applyBorder="1" applyAlignment="1">
      <alignment vertical="center"/>
    </xf>
    <xf numFmtId="0" fontId="42" fillId="23" borderId="1" xfId="0" applyFont="1" applyFill="1" applyBorder="1" applyAlignment="1">
      <alignment vertical="center"/>
    </xf>
    <xf numFmtId="1" fontId="7" fillId="19" borderId="58" xfId="0" applyNumberFormat="1" applyFont="1" applyFill="1" applyBorder="1" applyAlignment="1">
      <alignment horizontal="centerContinuous" vertical="center"/>
    </xf>
    <xf numFmtId="0" fontId="64" fillId="19" borderId="110" xfId="0" applyNumberFormat="1" applyFont="1" applyFill="1" applyBorder="1" applyAlignment="1">
      <alignment horizontal="centerContinuous" vertical="center"/>
    </xf>
    <xf numFmtId="0" fontId="2" fillId="0" borderId="121" xfId="2" applyNumberFormat="1" applyFont="1" applyBorder="1" applyAlignment="1">
      <alignment horizontal="center" vertical="center"/>
    </xf>
    <xf numFmtId="0" fontId="2" fillId="0" borderId="112" xfId="2" applyNumberFormat="1" applyFont="1" applyBorder="1" applyAlignment="1">
      <alignment horizontal="center" vertical="center"/>
    </xf>
    <xf numFmtId="0" fontId="2" fillId="0" borderId="83" xfId="2" applyNumberFormat="1" applyFont="1" applyBorder="1" applyAlignment="1">
      <alignment horizontal="center" vertical="center"/>
    </xf>
    <xf numFmtId="0" fontId="2" fillId="0" borderId="50" xfId="0" applyNumberFormat="1" applyFont="1" applyFill="1" applyBorder="1" applyAlignment="1">
      <alignment horizontal="center" vertical="center"/>
    </xf>
    <xf numFmtId="0" fontId="2" fillId="19" borderId="116" xfId="2" applyNumberFormat="1" applyFont="1" applyFill="1" applyBorder="1" applyAlignment="1">
      <alignment horizontal="center" vertical="center"/>
    </xf>
    <xf numFmtId="0" fontId="2" fillId="19" borderId="121" xfId="2" applyNumberFormat="1" applyFont="1" applyFill="1" applyBorder="1" applyAlignment="1">
      <alignment horizontal="center" vertical="center"/>
    </xf>
    <xf numFmtId="0" fontId="2" fillId="19" borderId="112" xfId="2" applyNumberFormat="1" applyFont="1" applyFill="1" applyBorder="1" applyAlignment="1">
      <alignment horizontal="center" vertical="center"/>
    </xf>
    <xf numFmtId="0" fontId="2" fillId="0" borderId="126" xfId="0" applyFont="1" applyFill="1" applyBorder="1" applyAlignment="1">
      <alignment horizontal="centerContinuous" vertical="center" shrinkToFit="1"/>
    </xf>
    <xf numFmtId="0" fontId="21" fillId="0" borderId="127" xfId="0" applyFont="1" applyFill="1" applyBorder="1" applyAlignment="1">
      <alignment horizontal="centerContinuous" vertical="center"/>
    </xf>
    <xf numFmtId="0" fontId="21" fillId="0" borderId="148" xfId="0" applyFont="1" applyFill="1" applyBorder="1" applyAlignment="1">
      <alignment horizontal="centerContinuous" vertical="center"/>
    </xf>
    <xf numFmtId="0" fontId="2" fillId="0" borderId="149" xfId="0" applyFont="1" applyFill="1" applyBorder="1" applyAlignment="1">
      <alignment horizontal="center" vertical="center"/>
    </xf>
    <xf numFmtId="0" fontId="2" fillId="0" borderId="147" xfId="0" applyFont="1" applyFill="1" applyBorder="1" applyAlignment="1">
      <alignment horizontal="centerContinuous"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46">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CCFF"/>
      <color rgb="FF9933FF"/>
      <color rgb="FF9966FF"/>
      <color rgb="FFCC99FF"/>
      <color rgb="FF0000FF"/>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53340</xdr:colOff>
      <xdr:row>1</xdr:row>
      <xdr:rowOff>38100</xdr:rowOff>
    </xdr:from>
    <xdr:to>
      <xdr:col>6</xdr:col>
      <xdr:colOff>1196339</xdr:colOff>
      <xdr:row>12</xdr:row>
      <xdr:rowOff>187379</xdr:rowOff>
    </xdr:to>
    <xdr:pic>
      <xdr:nvPicPr>
        <xdr:cNvPr id="6" name="Picture 5" descr="https://s-media-cache-ak0.pinimg.com/originals/6a/21/31/6a2131638212fce66512122be1702a65.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2920" y="411480"/>
          <a:ext cx="2392679" cy="2534339"/>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30480</xdr:rowOff>
    </xdr:from>
    <xdr:to>
      <xdr:col>7</xdr:col>
      <xdr:colOff>0</xdr:colOff>
      <xdr:row>27</xdr:row>
      <xdr:rowOff>106680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Faith is a human woman with blond hair often tied back in a braid and intense blue eyes that seem to see more than you would like. She is well muscled, and usually armored in full plate.  She even sleeps in her armor and it does not seem to bother her.  A shield floats</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by her right arm, emblazoned with the red silhouette</a:t>
          </a:r>
          <a:r>
            <a:rPr lang="en-US" sz="1200" baseline="0">
              <a:latin typeface="Times New Roman" panose="02020603050405020304" pitchFamily="18" charset="0"/>
              <a:cs typeface="Times New Roman" panose="02020603050405020304" pitchFamily="18" charset="0"/>
            </a:rPr>
            <a:t> of a long-haired woman</a:t>
          </a:r>
          <a:r>
            <a:rPr lang="en-US" sz="1200">
              <a:latin typeface="Times New Roman" panose="02020603050405020304" pitchFamily="18" charset="0"/>
              <a:cs typeface="Times New Roman" panose="02020603050405020304" pitchFamily="18" charset="0"/>
            </a:rPr>
            <a:t> facing out.  She wears a silver holy symbol around her neck with a similar, redhaired crest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Faith does not hide the fact that she is a Templar of Sune.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a:t>
          </a: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Evil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15240</xdr:colOff>
      <xdr:row>5</xdr:row>
      <xdr:rowOff>15240</xdr:rowOff>
    </xdr:from>
    <xdr:to>
      <xdr:col>9</xdr:col>
      <xdr:colOff>2872988</xdr:colOff>
      <xdr:row>22</xdr:row>
      <xdr:rowOff>53658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78680" y="1386840"/>
          <a:ext cx="2857748" cy="3665538"/>
        </a:xfrm>
        <a:prstGeom prst="rect">
          <a:avLst/>
        </a:prstGeom>
      </xdr:spPr>
    </xdr:pic>
    <xdr:clientData/>
  </xdr:twoCellAnchor>
  <xdr:twoCellAnchor>
    <xdr:from>
      <xdr:col>10</xdr:col>
      <xdr:colOff>38100</xdr:colOff>
      <xdr:row>2</xdr:row>
      <xdr:rowOff>7620</xdr:rowOff>
    </xdr:from>
    <xdr:to>
      <xdr:col>11</xdr:col>
      <xdr:colOff>22860</xdr:colOff>
      <xdr:row>4</xdr:row>
      <xdr:rowOff>198120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581900" y="739140"/>
          <a:ext cx="97536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a:extLst>
            <a:ext uri="{FF2B5EF4-FFF2-40B4-BE49-F238E27FC236}">
              <a16:creationId xmlns:a16="http://schemas.microsoft.com/office/drawing/2014/main" id="{00000000-0008-0000-0300-000019480000}"/>
            </a:ext>
          </a:extLst>
        </xdr:cNvPr>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10</xdr:col>
      <xdr:colOff>411480</xdr:colOff>
      <xdr:row>0</xdr:row>
      <xdr:rowOff>289560</xdr:rowOff>
    </xdr:from>
    <xdr:to>
      <xdr:col>14</xdr:col>
      <xdr:colOff>330713</xdr:colOff>
      <xdr:row>17</xdr:row>
      <xdr:rowOff>130159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829300" y="289560"/>
          <a:ext cx="3881633" cy="37039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workbookViewId="0"/>
  </sheetViews>
  <sheetFormatPr defaultColWidth="13" defaultRowHeight="15.6"/>
  <cols>
    <col min="1" max="1" width="14.3984375" style="189" bestFit="1" customWidth="1"/>
    <col min="2" max="2" width="12" style="80" customWidth="1"/>
    <col min="3" max="3" width="6.69921875" style="80" customWidth="1"/>
    <col min="4" max="4" width="13.69921875" style="189" bestFit="1" customWidth="1"/>
    <col min="5" max="5" width="10.8984375" style="80" bestFit="1" customWidth="1"/>
    <col min="6" max="6" width="16.3984375" style="189" customWidth="1"/>
    <col min="7" max="7" width="16.3984375" style="80" customWidth="1"/>
    <col min="8" max="16384" width="13" style="19"/>
  </cols>
  <sheetData>
    <row r="1" spans="1:7" ht="29.4" thickTop="1" thickBot="1">
      <c r="A1" s="558" t="s">
        <v>159</v>
      </c>
      <c r="B1" s="559" t="s">
        <v>160</v>
      </c>
      <c r="C1" s="195"/>
      <c r="D1" s="196"/>
      <c r="E1" s="197"/>
      <c r="F1" s="196"/>
      <c r="G1" s="198" t="s">
        <v>384</v>
      </c>
    </row>
    <row r="2" spans="1:7" ht="17.399999999999999" thickTop="1">
      <c r="A2" s="199" t="s">
        <v>393</v>
      </c>
      <c r="B2" s="200" t="s">
        <v>82</v>
      </c>
      <c r="C2" s="200"/>
      <c r="D2" s="201" t="s">
        <v>394</v>
      </c>
      <c r="E2" s="202" t="s">
        <v>144</v>
      </c>
      <c r="F2" s="203"/>
      <c r="G2" s="204"/>
    </row>
    <row r="3" spans="1:7" ht="16.8">
      <c r="A3" s="199" t="s">
        <v>395</v>
      </c>
      <c r="B3" s="200" t="s">
        <v>354</v>
      </c>
      <c r="C3" s="200"/>
      <c r="D3" s="201" t="s">
        <v>4</v>
      </c>
      <c r="E3" s="202">
        <v>7</v>
      </c>
      <c r="F3" s="201"/>
      <c r="G3" s="204"/>
    </row>
    <row r="4" spans="1:7" ht="16.8">
      <c r="A4" s="199" t="s">
        <v>395</v>
      </c>
      <c r="B4" s="200" t="s">
        <v>161</v>
      </c>
      <c r="C4" s="200"/>
      <c r="D4" s="201" t="s">
        <v>4</v>
      </c>
      <c r="E4" s="202">
        <v>7</v>
      </c>
      <c r="F4" s="201"/>
      <c r="G4" s="204"/>
    </row>
    <row r="5" spans="1:7" ht="17.399999999999999" thickBot="1">
      <c r="A5" s="199" t="s">
        <v>396</v>
      </c>
      <c r="B5" s="200" t="s">
        <v>353</v>
      </c>
      <c r="C5" s="200"/>
      <c r="D5" s="201" t="s">
        <v>397</v>
      </c>
      <c r="E5" s="202" t="s">
        <v>352</v>
      </c>
      <c r="F5" s="201"/>
      <c r="G5" s="204"/>
    </row>
    <row r="6" spans="1:7" ht="17.399999999999999" thickTop="1">
      <c r="A6" s="205" t="s">
        <v>398</v>
      </c>
      <c r="B6" s="577">
        <f>E3+E4+2</f>
        <v>16</v>
      </c>
      <c r="C6" s="578"/>
      <c r="D6" s="242" t="s">
        <v>81</v>
      </c>
      <c r="E6" s="557" t="str">
        <f>Martial!F25</f>
        <v>20’</v>
      </c>
      <c r="F6" s="206"/>
      <c r="G6" s="204"/>
    </row>
    <row r="7" spans="1:7" ht="17.399999999999999" thickBot="1">
      <c r="A7" s="455" t="s">
        <v>399</v>
      </c>
      <c r="B7" s="456" t="str">
        <f>C9</f>
        <v>+1</v>
      </c>
      <c r="C7" s="457"/>
      <c r="D7" s="548" t="s">
        <v>400</v>
      </c>
      <c r="E7" s="549">
        <v>100000</v>
      </c>
      <c r="F7" s="206"/>
      <c r="G7" s="204"/>
    </row>
    <row r="8" spans="1:7" ht="17.399999999999999" thickTop="1">
      <c r="A8" s="207" t="s">
        <v>401</v>
      </c>
      <c r="B8" s="566">
        <f>16+4</f>
        <v>20</v>
      </c>
      <c r="C8" s="208" t="str">
        <f t="shared" ref="C8:C13" si="0">IF(B8&gt;9.9,CONCATENATE("+",ROUNDDOWN((B8-10)/2,0)),ROUNDUP((B8-10)/2,0))</f>
        <v>+5</v>
      </c>
      <c r="D8" s="209" t="s">
        <v>402</v>
      </c>
      <c r="E8" s="241" t="s">
        <v>162</v>
      </c>
      <c r="F8" s="206"/>
      <c r="G8" s="204"/>
    </row>
    <row r="9" spans="1:7" ht="16.8">
      <c r="A9" s="210" t="s">
        <v>403</v>
      </c>
      <c r="B9" s="572">
        <f>10+2</f>
        <v>12</v>
      </c>
      <c r="C9" s="211" t="str">
        <f t="shared" si="0"/>
        <v>+1</v>
      </c>
      <c r="D9" s="212" t="s">
        <v>404</v>
      </c>
      <c r="E9" s="213">
        <f>SUM(Martial!G3:G32,Equipment!C3:C16)</f>
        <v>93.7</v>
      </c>
      <c r="F9" s="206"/>
      <c r="G9" s="204"/>
    </row>
    <row r="10" spans="1:7" ht="16.8">
      <c r="A10" s="214" t="s">
        <v>405</v>
      </c>
      <c r="B10" s="574">
        <f>14+4</f>
        <v>18</v>
      </c>
      <c r="C10" s="216" t="str">
        <f t="shared" si="0"/>
        <v>+4</v>
      </c>
      <c r="D10" s="217" t="s">
        <v>406</v>
      </c>
      <c r="E10" s="240">
        <f>ROUNDUP(((E3*10)*0.75)+((E4*10)*0.75)+((E3+E4)*C10),0)+(E3+E4)</f>
        <v>175</v>
      </c>
      <c r="F10" s="206"/>
      <c r="G10" s="204"/>
    </row>
    <row r="11" spans="1:7" ht="16.8">
      <c r="A11" s="218" t="s">
        <v>407</v>
      </c>
      <c r="B11" s="215">
        <v>10</v>
      </c>
      <c r="C11" s="211" t="str">
        <f t="shared" si="0"/>
        <v>+0</v>
      </c>
      <c r="D11" s="220" t="s">
        <v>408</v>
      </c>
      <c r="E11" s="564">
        <f>10+C9</f>
        <v>11</v>
      </c>
      <c r="F11" s="199"/>
      <c r="G11" s="204"/>
    </row>
    <row r="12" spans="1:7" ht="16.8">
      <c r="A12" s="219" t="s">
        <v>409</v>
      </c>
      <c r="B12" s="572">
        <f>14+2</f>
        <v>16</v>
      </c>
      <c r="C12" s="211" t="str">
        <f t="shared" si="0"/>
        <v>+3</v>
      </c>
      <c r="D12" s="220" t="s">
        <v>410</v>
      </c>
      <c r="E12" s="564">
        <f>E13-C9</f>
        <v>24</v>
      </c>
      <c r="F12" s="206"/>
      <c r="G12" s="204"/>
    </row>
    <row r="13" spans="1:7" ht="17.399999999999999" thickBot="1">
      <c r="A13" s="221" t="s">
        <v>411</v>
      </c>
      <c r="B13" s="517">
        <f>14+2</f>
        <v>16</v>
      </c>
      <c r="C13" s="550" t="str">
        <f t="shared" si="0"/>
        <v>+3</v>
      </c>
      <c r="D13" s="222" t="s">
        <v>412</v>
      </c>
      <c r="E13" s="565">
        <f>E11+SUM(Martial!B25:B28)</f>
        <v>25</v>
      </c>
      <c r="F13" s="225"/>
      <c r="G13" s="226"/>
    </row>
    <row r="14" spans="1:7" ht="16.2" thickTop="1"/>
  </sheetData>
  <phoneticPr fontId="0" type="noConversion"/>
  <conditionalFormatting sqref="E9">
    <cfRule type="cellIs" dxfId="45" priority="4" stopIfTrue="1" operator="greaterThan">
      <formula>763</formula>
    </cfRule>
    <cfRule type="cellIs" dxfId="44"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89" t="s">
        <v>11</v>
      </c>
      <c r="B1" s="90"/>
      <c r="C1" s="90"/>
      <c r="D1" s="90"/>
      <c r="E1" s="90"/>
      <c r="F1" s="90"/>
      <c r="G1" s="91"/>
      <c r="H1" s="91"/>
      <c r="I1" s="91"/>
      <c r="J1" s="90"/>
    </row>
    <row r="2" spans="1:10" s="16" customFormat="1" ht="34.200000000000003" thickBot="1">
      <c r="A2" s="13" t="s">
        <v>235</v>
      </c>
      <c r="B2" s="14" t="s">
        <v>29</v>
      </c>
      <c r="C2" s="14" t="s">
        <v>36</v>
      </c>
      <c r="D2" s="14" t="s">
        <v>28</v>
      </c>
      <c r="E2" s="14" t="s">
        <v>62</v>
      </c>
      <c r="F2" s="14" t="s">
        <v>37</v>
      </c>
      <c r="G2" s="15" t="s">
        <v>64</v>
      </c>
      <c r="H2" s="10" t="s">
        <v>151</v>
      </c>
      <c r="I2" s="11" t="s">
        <v>79</v>
      </c>
      <c r="J2" s="12" t="s">
        <v>77</v>
      </c>
    </row>
    <row r="3" spans="1:10" s="4" customFormat="1" ht="16.8">
      <c r="A3" s="576" t="s">
        <v>66</v>
      </c>
      <c r="B3" s="92">
        <f>5+5</f>
        <v>10</v>
      </c>
      <c r="C3" s="92" t="s">
        <v>31</v>
      </c>
      <c r="D3" s="93" t="str">
        <f>IF(C3="Str",'Personal File'!$C$8,IF(C3="Dex",'Personal File'!$C$9,IF(C3="Con",'Personal File'!$C$10,IF(C3="Int",'Personal File'!$C$11,IF(C3="Wis",'Personal File'!$C$12,IF(C3="Cha",'Personal File'!$C$13))))))</f>
        <v>+4</v>
      </c>
      <c r="E3" s="93" t="str">
        <f t="shared" ref="E3" si="0">CONCATENATE(C3," (",D3,")")</f>
        <v>Con (+4)</v>
      </c>
      <c r="F3" s="519">
        <f>'Personal File'!C$13+2+1</f>
        <v>6</v>
      </c>
      <c r="G3" s="95">
        <f t="shared" ref="G3:G42" si="1">B3+D3+F3</f>
        <v>20</v>
      </c>
      <c r="H3" s="96">
        <f t="shared" ref="H3:H5" ca="1" si="2">RANDBETWEEN(1,20)</f>
        <v>7</v>
      </c>
      <c r="I3" s="94">
        <f t="shared" ref="I3" ca="1" si="3">SUM(G3:H3)</f>
        <v>27</v>
      </c>
      <c r="J3" s="324" t="s">
        <v>223</v>
      </c>
    </row>
    <row r="4" spans="1:10" s="4" customFormat="1" ht="16.8">
      <c r="A4" s="97" t="s">
        <v>67</v>
      </c>
      <c r="B4" s="92">
        <f>2+2</f>
        <v>4</v>
      </c>
      <c r="C4" s="92" t="s">
        <v>34</v>
      </c>
      <c r="D4" s="98" t="str">
        <f>IF(C4="Str",'Personal File'!$C$8,IF(C4="Dex",'Personal File'!$C$9,IF(C4="Con",'Personal File'!$C$10,IF(C4="Int",'Personal File'!$C$11,IF(C4="Wis",'Personal File'!$C$12,IF(C4="Cha",'Personal File'!$C$13))))))</f>
        <v>+1</v>
      </c>
      <c r="E4" s="99" t="str">
        <f t="shared" ref="E4:E5" si="4">CONCATENATE(C4," (",D4,")")</f>
        <v>Dex (+1)</v>
      </c>
      <c r="F4" s="519">
        <f>'Personal File'!C$13+2+1</f>
        <v>6</v>
      </c>
      <c r="G4" s="95">
        <f t="shared" si="1"/>
        <v>11</v>
      </c>
      <c r="H4" s="96">
        <f t="shared" ca="1" si="2"/>
        <v>2</v>
      </c>
      <c r="I4" s="100">
        <f t="shared" ref="I4:I42" ca="1" si="5">SUM(G4:H4)</f>
        <v>13</v>
      </c>
      <c r="J4" s="175" t="s">
        <v>376</v>
      </c>
    </row>
    <row r="5" spans="1:10" s="4" customFormat="1" ht="16.8">
      <c r="A5" s="575" t="s">
        <v>68</v>
      </c>
      <c r="B5" s="102">
        <f>2+5</f>
        <v>7</v>
      </c>
      <c r="C5" s="102" t="s">
        <v>33</v>
      </c>
      <c r="D5" s="103" t="str">
        <f>IF(C5="Str",'Personal File'!$C$8,IF(C5="Dex",'Personal File'!$C$9,IF(C5="Con",'Personal File'!$C$10,IF(C5="Int",'Personal File'!$C$11,IF(C5="Wis",'Personal File'!$C$12,IF(C5="Cha",'Personal File'!$C$13))))))</f>
        <v>+3</v>
      </c>
      <c r="E5" s="104" t="str">
        <f t="shared" si="4"/>
        <v>Wis (+3)</v>
      </c>
      <c r="F5" s="520">
        <f>'Personal File'!C$13+2+1</f>
        <v>6</v>
      </c>
      <c r="G5" s="106">
        <f t="shared" si="1"/>
        <v>16</v>
      </c>
      <c r="H5" s="107">
        <f t="shared" ca="1" si="2"/>
        <v>7</v>
      </c>
      <c r="I5" s="105">
        <f t="shared" ca="1" si="5"/>
        <v>23</v>
      </c>
      <c r="J5" s="360" t="s">
        <v>223</v>
      </c>
    </row>
    <row r="6" spans="1:10" s="4" customFormat="1" ht="16.8">
      <c r="A6" s="108" t="s">
        <v>38</v>
      </c>
      <c r="B6" s="109">
        <v>0</v>
      </c>
      <c r="C6" s="110" t="s">
        <v>32</v>
      </c>
      <c r="D6" s="111" t="str">
        <f>IF(C6="Str",'Personal File'!$C$8,IF(C6="Dex",'Personal File'!$C$9,IF(C6="Con",'Personal File'!$C$10,IF(C6="Int",'Personal File'!$C$11,IF(C6="Wis",'Personal File'!$C$12,IF(C6="Cha",'Personal File'!$C$13))))))</f>
        <v>+0</v>
      </c>
      <c r="E6" s="111" t="str">
        <f t="shared" ref="E6" si="6">CONCATENATE(C6," (",D6,")")</f>
        <v>Int (+0)</v>
      </c>
      <c r="F6" s="112" t="s">
        <v>63</v>
      </c>
      <c r="G6" s="113">
        <f t="shared" si="1"/>
        <v>0</v>
      </c>
      <c r="H6" s="96">
        <f ca="1">RANDBETWEEN(1,20)</f>
        <v>4</v>
      </c>
      <c r="I6" s="100">
        <f t="shared" ca="1" si="5"/>
        <v>4</v>
      </c>
      <c r="J6" s="175"/>
    </row>
    <row r="7" spans="1:10" s="8" customFormat="1" ht="16.8">
      <c r="A7" s="114" t="s">
        <v>39</v>
      </c>
      <c r="B7" s="109">
        <v>0</v>
      </c>
      <c r="C7" s="115" t="s">
        <v>34</v>
      </c>
      <c r="D7" s="98" t="str">
        <f>IF(C7="Str",'Personal File'!$C$8,IF(C7="Dex",'Personal File'!$C$9,IF(C7="Con",'Personal File'!$C$10,IF(C7="Int",'Personal File'!$C$11,IF(C7="Wis",'Personal File'!$C$12,IF(C7="Cha",'Personal File'!$C$13))))))</f>
        <v>+1</v>
      </c>
      <c r="E7" s="98" t="str">
        <f t="shared" ref="E7:E42" si="7">CONCATENATE(C7," (",D7,")")</f>
        <v>Dex (+1)</v>
      </c>
      <c r="F7" s="449">
        <f>SUM(Martial!$D$25:$D$28)</f>
        <v>-5</v>
      </c>
      <c r="G7" s="113">
        <f t="shared" si="1"/>
        <v>-4</v>
      </c>
      <c r="H7" s="96">
        <f ca="1">RANDBETWEEN(1,20)</f>
        <v>12</v>
      </c>
      <c r="I7" s="100">
        <f t="shared" ca="1" si="5"/>
        <v>8</v>
      </c>
      <c r="J7" s="175"/>
    </row>
    <row r="8" spans="1:10" s="6" customFormat="1" ht="16.8">
      <c r="A8" s="132" t="s">
        <v>40</v>
      </c>
      <c r="B8" s="123">
        <v>9</v>
      </c>
      <c r="C8" s="133" t="s">
        <v>30</v>
      </c>
      <c r="D8" s="134" t="str">
        <f>IF(C8="Str",'Personal File'!$C$8,IF(C8="Dex",'Personal File'!$C$9,IF(C8="Con",'Personal File'!$C$10,IF(C8="Int",'Personal File'!$C$11,IF(C8="Wis",'Personal File'!$C$12,IF(C8="Cha",'Personal File'!$C$13))))))</f>
        <v>+3</v>
      </c>
      <c r="E8" s="135" t="str">
        <f t="shared" si="7"/>
        <v>Cha (+3)</v>
      </c>
      <c r="F8" s="124" t="s">
        <v>63</v>
      </c>
      <c r="G8" s="124">
        <f t="shared" si="1"/>
        <v>12</v>
      </c>
      <c r="H8" s="96">
        <f t="shared" ref="H8:H42" ca="1" si="8">RANDBETWEEN(1,20)</f>
        <v>13</v>
      </c>
      <c r="I8" s="521">
        <f t="shared" ca="1" si="5"/>
        <v>25</v>
      </c>
      <c r="J8" s="429"/>
    </row>
    <row r="9" spans="1:10" s="5" customFormat="1" ht="16.8">
      <c r="A9" s="120" t="s">
        <v>41</v>
      </c>
      <c r="B9" s="109">
        <v>0</v>
      </c>
      <c r="C9" s="121" t="s">
        <v>35</v>
      </c>
      <c r="D9" s="122" t="str">
        <f>IF(C9="Str",'Personal File'!$C$8,IF(C9="Dex",'Personal File'!$C$9,IF(C9="Con",'Personal File'!$C$10,IF(C9="Int",'Personal File'!$C$11,IF(C9="Wis",'Personal File'!$C$12,IF(C9="Cha",'Personal File'!$C$13))))))</f>
        <v>+5</v>
      </c>
      <c r="E9" s="122" t="str">
        <f t="shared" si="7"/>
        <v>Str (+5)</v>
      </c>
      <c r="F9" s="449">
        <f>SUM(Martial!$D$25:$D$28)</f>
        <v>-5</v>
      </c>
      <c r="G9" s="113">
        <f t="shared" si="1"/>
        <v>0</v>
      </c>
      <c r="H9" s="96">
        <f t="shared" ca="1" si="8"/>
        <v>7</v>
      </c>
      <c r="I9" s="100">
        <f t="shared" ca="1" si="5"/>
        <v>7</v>
      </c>
      <c r="J9" s="175"/>
    </row>
    <row r="10" spans="1:10" s="5" customFormat="1" ht="16.8">
      <c r="A10" s="529" t="s">
        <v>17</v>
      </c>
      <c r="B10" s="123">
        <v>8</v>
      </c>
      <c r="C10" s="530" t="s">
        <v>31</v>
      </c>
      <c r="D10" s="531" t="str">
        <f>IF(C10="Str",'Personal File'!$C$8,IF(C10="Dex",'Personal File'!$C$9,IF(C10="Con",'Personal File'!$C$10,IF(C10="Int",'Personal File'!$C$11,IF(C10="Wis",'Personal File'!$C$12,IF(C10="Cha",'Personal File'!$C$13))))))</f>
        <v>+4</v>
      </c>
      <c r="E10" s="531" t="str">
        <f t="shared" si="7"/>
        <v>Con (+4)</v>
      </c>
      <c r="F10" s="124" t="s">
        <v>63</v>
      </c>
      <c r="G10" s="124">
        <f t="shared" si="1"/>
        <v>12</v>
      </c>
      <c r="H10" s="96">
        <f t="shared" ca="1" si="8"/>
        <v>6</v>
      </c>
      <c r="I10" s="521">
        <f t="shared" ca="1" si="5"/>
        <v>18</v>
      </c>
      <c r="J10" s="429"/>
    </row>
    <row r="11" spans="1:10" s="4" customFormat="1" ht="16.8">
      <c r="A11" s="108" t="s">
        <v>83</v>
      </c>
      <c r="B11" s="109">
        <v>0</v>
      </c>
      <c r="C11" s="110" t="s">
        <v>32</v>
      </c>
      <c r="D11" s="111" t="str">
        <f>IF(C11="Str",'Personal File'!$C$8,IF(C11="Dex",'Personal File'!$C$9,IF(C11="Con",'Personal File'!$C$10,IF(C11="Int",'Personal File'!$C$11,IF(C11="Wis",'Personal File'!$C$12,IF(C11="Cha",'Personal File'!$C$13))))))</f>
        <v>+0</v>
      </c>
      <c r="E11" s="111" t="str">
        <f t="shared" si="7"/>
        <v>Int (+0)</v>
      </c>
      <c r="F11" s="113" t="s">
        <v>63</v>
      </c>
      <c r="G11" s="113">
        <f t="shared" si="1"/>
        <v>0</v>
      </c>
      <c r="H11" s="96">
        <f t="shared" ca="1" si="8"/>
        <v>15</v>
      </c>
      <c r="I11" s="100">
        <f t="shared" ca="1" si="5"/>
        <v>15</v>
      </c>
      <c r="J11" s="175"/>
    </row>
    <row r="12" spans="1:10" s="7" customFormat="1" ht="16.8">
      <c r="A12" s="126" t="s">
        <v>42</v>
      </c>
      <c r="B12" s="127">
        <v>0</v>
      </c>
      <c r="C12" s="128" t="s">
        <v>32</v>
      </c>
      <c r="D12" s="129" t="str">
        <f>IF(C12="Str",'Personal File'!$C$8,IF(C12="Dex",'Personal File'!$C$9,IF(C12="Con",'Personal File'!$C$10,IF(C12="Int",'Personal File'!$C$11,IF(C12="Wis",'Personal File'!$C$12,IF(C12="Cha",'Personal File'!$C$13))))))</f>
        <v>+0</v>
      </c>
      <c r="E12" s="129" t="str">
        <f t="shared" si="7"/>
        <v>Int (+0)</v>
      </c>
      <c r="F12" s="130" t="s">
        <v>63</v>
      </c>
      <c r="G12" s="130">
        <f t="shared" si="1"/>
        <v>0</v>
      </c>
      <c r="H12" s="96">
        <f t="shared" ca="1" si="8"/>
        <v>10</v>
      </c>
      <c r="I12" s="130">
        <f t="shared" ca="1" si="5"/>
        <v>10</v>
      </c>
      <c r="J12" s="428"/>
    </row>
    <row r="13" spans="1:10" s="8" customFormat="1" ht="16.8">
      <c r="A13" s="522" t="s">
        <v>43</v>
      </c>
      <c r="B13" s="523">
        <v>0</v>
      </c>
      <c r="C13" s="524" t="s">
        <v>30</v>
      </c>
      <c r="D13" s="525" t="str">
        <f>IF(C13="Str",'Personal File'!$C$8,IF(C13="Dex",'Personal File'!$C$9,IF(C13="Con",'Personal File'!$C$10,IF(C13="Int",'Personal File'!$C$11,IF(C13="Wis",'Personal File'!$C$12,IF(C13="Cha",'Personal File'!$C$13))))))</f>
        <v>+3</v>
      </c>
      <c r="E13" s="526" t="str">
        <f t="shared" si="7"/>
        <v>Cha (+3)</v>
      </c>
      <c r="F13" s="527" t="s">
        <v>143</v>
      </c>
      <c r="G13" s="527">
        <f t="shared" si="1"/>
        <v>5</v>
      </c>
      <c r="H13" s="96">
        <f t="shared" ca="1" si="8"/>
        <v>6</v>
      </c>
      <c r="I13" s="527">
        <f t="shared" ca="1" si="5"/>
        <v>11</v>
      </c>
      <c r="J13" s="528"/>
    </row>
    <row r="14" spans="1:10" s="8" customFormat="1" ht="16.8">
      <c r="A14" s="126" t="s">
        <v>44</v>
      </c>
      <c r="B14" s="127">
        <v>0</v>
      </c>
      <c r="C14" s="128" t="s">
        <v>32</v>
      </c>
      <c r="D14" s="129" t="str">
        <f>IF(C14="Str",'Personal File'!$C$8,IF(C14="Dex",'Personal File'!$C$9,IF(C14="Con",'Personal File'!$C$10,IF(C14="Int",'Personal File'!$C$11,IF(C14="Wis",'Personal File'!$C$12,IF(C14="Cha",'Personal File'!$C$13))))))</f>
        <v>+0</v>
      </c>
      <c r="E14" s="129" t="str">
        <f t="shared" si="7"/>
        <v>Int (+0)</v>
      </c>
      <c r="F14" s="130" t="s">
        <v>63</v>
      </c>
      <c r="G14" s="130">
        <f t="shared" si="1"/>
        <v>0</v>
      </c>
      <c r="H14" s="96">
        <f t="shared" ca="1" si="8"/>
        <v>1</v>
      </c>
      <c r="I14" s="130">
        <f t="shared" ca="1" si="5"/>
        <v>1</v>
      </c>
      <c r="J14" s="428"/>
    </row>
    <row r="15" spans="1:10" s="8" customFormat="1" ht="16.8">
      <c r="A15" s="116" t="s">
        <v>45</v>
      </c>
      <c r="B15" s="109">
        <v>0</v>
      </c>
      <c r="C15" s="117" t="s">
        <v>30</v>
      </c>
      <c r="D15" s="118" t="str">
        <f>IF(C15="Str",'Personal File'!$C$8,IF(C15="Dex",'Personal File'!$C$9,IF(C15="Con",'Personal File'!$C$10,IF(C15="Int",'Personal File'!$C$11,IF(C15="Wis",'Personal File'!$C$12,IF(C15="Cha",'Personal File'!$C$13))))))</f>
        <v>+3</v>
      </c>
      <c r="E15" s="119" t="str">
        <f t="shared" si="7"/>
        <v>Cha (+3)</v>
      </c>
      <c r="F15" s="113" t="s">
        <v>63</v>
      </c>
      <c r="G15" s="113">
        <f t="shared" si="1"/>
        <v>3</v>
      </c>
      <c r="H15" s="96">
        <f t="shared" ca="1" si="8"/>
        <v>9</v>
      </c>
      <c r="I15" s="113">
        <f t="shared" ca="1" si="5"/>
        <v>12</v>
      </c>
      <c r="J15" s="259"/>
    </row>
    <row r="16" spans="1:10" s="8" customFormat="1" ht="16.8">
      <c r="A16" s="114" t="s">
        <v>46</v>
      </c>
      <c r="B16" s="109">
        <v>0</v>
      </c>
      <c r="C16" s="115" t="s">
        <v>34</v>
      </c>
      <c r="D16" s="98" t="str">
        <f>IF(C16="Str",'Personal File'!$C$8,IF(C16="Dex",'Personal File'!$C$9,IF(C16="Con",'Personal File'!$C$10,IF(C16="Int",'Personal File'!$C$11,IF(C16="Wis",'Personal File'!$C$12,IF(C16="Cha",'Personal File'!$C$13))))))</f>
        <v>+1</v>
      </c>
      <c r="E16" s="99" t="str">
        <f t="shared" si="7"/>
        <v>Dex (+1)</v>
      </c>
      <c r="F16" s="449">
        <f>SUM(Martial!$D$25:$D$28)</f>
        <v>-5</v>
      </c>
      <c r="G16" s="113">
        <f t="shared" si="1"/>
        <v>-4</v>
      </c>
      <c r="H16" s="96">
        <f t="shared" ca="1" si="8"/>
        <v>18</v>
      </c>
      <c r="I16" s="113">
        <f t="shared" ca="1" si="5"/>
        <v>14</v>
      </c>
      <c r="J16" s="175"/>
    </row>
    <row r="17" spans="1:10" s="8" customFormat="1" ht="16.8">
      <c r="A17" s="137" t="s">
        <v>47</v>
      </c>
      <c r="B17" s="138">
        <v>0</v>
      </c>
      <c r="C17" s="139" t="s">
        <v>32</v>
      </c>
      <c r="D17" s="140" t="str">
        <f>IF(C17="Str",'Personal File'!$C$8,IF(C17="Dex",'Personal File'!$C$9,IF(C17="Con",'Personal File'!$C$10,IF(C17="Int",'Personal File'!$C$11,IF(C17="Wis",'Personal File'!$C$12,IF(C17="Cha",'Personal File'!$C$13))))))</f>
        <v>+0</v>
      </c>
      <c r="E17" s="140" t="str">
        <f t="shared" si="7"/>
        <v>Int (+0)</v>
      </c>
      <c r="F17" s="141" t="s">
        <v>63</v>
      </c>
      <c r="G17" s="141">
        <f t="shared" si="1"/>
        <v>0</v>
      </c>
      <c r="H17" s="96">
        <f t="shared" ca="1" si="8"/>
        <v>2</v>
      </c>
      <c r="I17" s="141">
        <f t="shared" ca="1" si="5"/>
        <v>2</v>
      </c>
      <c r="J17" s="430"/>
    </row>
    <row r="18" spans="1:10" s="8" customFormat="1" ht="16.8">
      <c r="A18" s="116" t="s">
        <v>48</v>
      </c>
      <c r="B18" s="109">
        <v>0</v>
      </c>
      <c r="C18" s="117" t="s">
        <v>30</v>
      </c>
      <c r="D18" s="118" t="str">
        <f>IF(C18="Str",'Personal File'!$C$8,IF(C18="Dex",'Personal File'!$C$9,IF(C18="Con",'Personal File'!$C$10,IF(C18="Int",'Personal File'!$C$11,IF(C18="Wis",'Personal File'!$C$12,IF(C18="Cha",'Personal File'!$C$13))))))</f>
        <v>+3</v>
      </c>
      <c r="E18" s="119" t="str">
        <f t="shared" si="7"/>
        <v>Cha (+3)</v>
      </c>
      <c r="F18" s="113" t="s">
        <v>63</v>
      </c>
      <c r="G18" s="113">
        <f t="shared" si="1"/>
        <v>3</v>
      </c>
      <c r="H18" s="96">
        <f t="shared" ca="1" si="8"/>
        <v>6</v>
      </c>
      <c r="I18" s="113">
        <f t="shared" ca="1" si="5"/>
        <v>9</v>
      </c>
      <c r="J18" s="175"/>
    </row>
    <row r="19" spans="1:10" s="8" customFormat="1" ht="16.8">
      <c r="A19" s="116" t="s">
        <v>19</v>
      </c>
      <c r="B19" s="109">
        <v>0</v>
      </c>
      <c r="C19" s="117" t="s">
        <v>30</v>
      </c>
      <c r="D19" s="118" t="str">
        <f>IF(C19="Str",'Personal File'!$C$8,IF(C19="Dex",'Personal File'!$C$9,IF(C19="Con",'Personal File'!$C$10,IF(C19="Int",'Personal File'!$C$11,IF(C19="Wis",'Personal File'!$C$12,IF(C19="Cha",'Personal File'!$C$13))))))</f>
        <v>+3</v>
      </c>
      <c r="E19" s="118" t="str">
        <f t="shared" si="7"/>
        <v>Cha (+3)</v>
      </c>
      <c r="F19" s="113" t="s">
        <v>63</v>
      </c>
      <c r="G19" s="113">
        <f t="shared" si="1"/>
        <v>3</v>
      </c>
      <c r="H19" s="96">
        <f t="shared" ca="1" si="8"/>
        <v>4</v>
      </c>
      <c r="I19" s="113">
        <f t="shared" ca="1" si="5"/>
        <v>7</v>
      </c>
      <c r="J19" s="175"/>
    </row>
    <row r="20" spans="1:10" s="8" customFormat="1" ht="16.8">
      <c r="A20" s="458" t="s">
        <v>49</v>
      </c>
      <c r="B20" s="123">
        <v>9</v>
      </c>
      <c r="C20" s="459" t="s">
        <v>33</v>
      </c>
      <c r="D20" s="460" t="str">
        <f>IF(C20="Str",'Personal File'!$C$8,IF(C20="Dex",'Personal File'!$C$9,IF(C20="Con",'Personal File'!$C$10,IF(C20="Int",'Personal File'!$C$11,IF(C20="Wis",'Personal File'!$C$12,IF(C20="Cha",'Personal File'!$C$13))))))</f>
        <v>+3</v>
      </c>
      <c r="E20" s="460" t="str">
        <f t="shared" si="7"/>
        <v>Wis (+3)</v>
      </c>
      <c r="F20" s="124" t="s">
        <v>143</v>
      </c>
      <c r="G20" s="124">
        <f t="shared" si="1"/>
        <v>14</v>
      </c>
      <c r="H20" s="96">
        <f t="shared" ca="1" si="8"/>
        <v>17</v>
      </c>
      <c r="I20" s="124">
        <f t="shared" ca="1" si="5"/>
        <v>31</v>
      </c>
      <c r="J20" s="429"/>
    </row>
    <row r="21" spans="1:10" s="8" customFormat="1" ht="16.8">
      <c r="A21" s="114" t="s">
        <v>50</v>
      </c>
      <c r="B21" s="109">
        <v>0</v>
      </c>
      <c r="C21" s="115" t="s">
        <v>34</v>
      </c>
      <c r="D21" s="98" t="str">
        <f>IF(C21="Str",'Personal File'!$C$8,IF(C21="Dex",'Personal File'!$C$9,IF(C21="Con",'Personal File'!$C$10,IF(C21="Int",'Personal File'!$C$11,IF(C21="Wis",'Personal File'!$C$12,IF(C21="Cha",'Personal File'!$C$13))))))</f>
        <v>+1</v>
      </c>
      <c r="E21" s="98" t="str">
        <f t="shared" si="7"/>
        <v>Dex (+1)</v>
      </c>
      <c r="F21" s="449">
        <f>SUM(Martial!$D$25:$D$28)</f>
        <v>-5</v>
      </c>
      <c r="G21" s="113">
        <f t="shared" si="1"/>
        <v>-4</v>
      </c>
      <c r="H21" s="96">
        <f t="shared" ca="1" si="8"/>
        <v>6</v>
      </c>
      <c r="I21" s="113">
        <f t="shared" ca="1" si="5"/>
        <v>2</v>
      </c>
      <c r="J21" s="430"/>
    </row>
    <row r="22" spans="1:10" s="8" customFormat="1" ht="16.8">
      <c r="A22" s="145" t="s">
        <v>51</v>
      </c>
      <c r="B22" s="138">
        <v>0</v>
      </c>
      <c r="C22" s="146" t="s">
        <v>30</v>
      </c>
      <c r="D22" s="147" t="str">
        <f>IF(C22="Str",'Personal File'!$C$8,IF(C22="Dex",'Personal File'!$C$9,IF(C22="Con",'Personal File'!$C$10,IF(C22="Int",'Personal File'!$C$11,IF(C22="Wis",'Personal File'!$C$12,IF(C22="Cha",'Personal File'!$C$13))))))</f>
        <v>+3</v>
      </c>
      <c r="E22" s="148" t="str">
        <f t="shared" si="7"/>
        <v>Cha (+3)</v>
      </c>
      <c r="F22" s="141" t="s">
        <v>63</v>
      </c>
      <c r="G22" s="141">
        <f t="shared" si="1"/>
        <v>3</v>
      </c>
      <c r="H22" s="96">
        <f t="shared" ca="1" si="8"/>
        <v>10</v>
      </c>
      <c r="I22" s="141">
        <f t="shared" ca="1" si="5"/>
        <v>13</v>
      </c>
      <c r="J22" s="430"/>
    </row>
    <row r="23" spans="1:10" s="8" customFormat="1" ht="16.8">
      <c r="A23" s="120" t="s">
        <v>52</v>
      </c>
      <c r="B23" s="109">
        <v>0</v>
      </c>
      <c r="C23" s="121" t="s">
        <v>35</v>
      </c>
      <c r="D23" s="122" t="str">
        <f>IF(C23="Str",'Personal File'!$C$8,IF(C23="Dex",'Personal File'!$C$9,IF(C23="Con",'Personal File'!$C$10,IF(C23="Int",'Personal File'!$C$11,IF(C23="Wis",'Personal File'!$C$12,IF(C23="Cha",'Personal File'!$C$13))))))</f>
        <v>+5</v>
      </c>
      <c r="E23" s="122" t="str">
        <f t="shared" si="7"/>
        <v>Str (+5)</v>
      </c>
      <c r="F23" s="449">
        <f>SUM(Martial!$D$25:$D$28)</f>
        <v>-5</v>
      </c>
      <c r="G23" s="113">
        <f t="shared" si="1"/>
        <v>0</v>
      </c>
      <c r="H23" s="96">
        <f t="shared" ca="1" si="8"/>
        <v>17</v>
      </c>
      <c r="I23" s="113">
        <f t="shared" ca="1" si="5"/>
        <v>17</v>
      </c>
      <c r="J23" s="175"/>
    </row>
    <row r="24" spans="1:10" s="8" customFormat="1" ht="16.8">
      <c r="A24" s="149" t="s">
        <v>166</v>
      </c>
      <c r="B24" s="123">
        <v>1</v>
      </c>
      <c r="C24" s="150" t="s">
        <v>32</v>
      </c>
      <c r="D24" s="151" t="str">
        <f>IF(C24="Str",'Personal File'!$C$8,IF(C24="Dex",'Personal File'!$C$9,IF(C24="Con",'Personal File'!$C$10,IF(C24="Int",'Personal File'!$C$11,IF(C24="Wis",'Personal File'!$C$12,IF(C24="Cha",'Personal File'!$C$13))))))</f>
        <v>+0</v>
      </c>
      <c r="E24" s="151" t="str">
        <f>CONCATENATE(C24," (",D24,")")</f>
        <v>Int (+0)</v>
      </c>
      <c r="F24" s="124" t="s">
        <v>63</v>
      </c>
      <c r="G24" s="124">
        <f t="shared" ref="G24" si="9">B24+D24+F24</f>
        <v>1</v>
      </c>
      <c r="H24" s="96">
        <f t="shared" ca="1" si="8"/>
        <v>4</v>
      </c>
      <c r="I24" s="124">
        <f t="shared" ref="I24" ca="1" si="10">SUM(G24:H24)</f>
        <v>5</v>
      </c>
      <c r="J24" s="125"/>
    </row>
    <row r="25" spans="1:10" s="8" customFormat="1" ht="16.8">
      <c r="A25" s="149" t="s">
        <v>85</v>
      </c>
      <c r="B25" s="123">
        <v>9</v>
      </c>
      <c r="C25" s="150" t="s">
        <v>32</v>
      </c>
      <c r="D25" s="151" t="str">
        <f>IF(C25="Str",'Personal File'!$C$8,IF(C25="Dex",'Personal File'!$C$9,IF(C25="Con",'Personal File'!$C$10,IF(C25="Int",'Personal File'!$C$11,IF(C25="Wis",'Personal File'!$C$12,IF(C25="Cha",'Personal File'!$C$13))))))</f>
        <v>+0</v>
      </c>
      <c r="E25" s="151" t="str">
        <f>CONCATENATE(C25," (",D25,")")</f>
        <v>Int (+0)</v>
      </c>
      <c r="F25" s="124" t="s">
        <v>63</v>
      </c>
      <c r="G25" s="124">
        <f t="shared" ref="G25" si="11">B25+D25+F25</f>
        <v>9</v>
      </c>
      <c r="H25" s="96">
        <f t="shared" ca="1" si="8"/>
        <v>15</v>
      </c>
      <c r="I25" s="124">
        <f t="shared" ref="I25" ca="1" si="12">SUM(G25:H25)</f>
        <v>24</v>
      </c>
      <c r="J25" s="125"/>
    </row>
    <row r="26" spans="1:10" s="8" customFormat="1" ht="16.8">
      <c r="A26" s="142" t="s">
        <v>53</v>
      </c>
      <c r="B26" s="109">
        <v>0</v>
      </c>
      <c r="C26" s="143" t="s">
        <v>33</v>
      </c>
      <c r="D26" s="144" t="str">
        <f>IF(C26="Str",'Personal File'!$C$8,IF(C26="Dex",'Personal File'!$C$9,IF(C26="Con",'Personal File'!$C$10,IF(C26="Int",'Personal File'!$C$11,IF(C26="Wis",'Personal File'!$C$12,IF(C26="Cha",'Personal File'!$C$13))))))</f>
        <v>+3</v>
      </c>
      <c r="E26" s="152" t="str">
        <f t="shared" si="7"/>
        <v>Wis (+3)</v>
      </c>
      <c r="F26" s="113" t="s">
        <v>63</v>
      </c>
      <c r="G26" s="113">
        <f t="shared" si="1"/>
        <v>3</v>
      </c>
      <c r="H26" s="96">
        <f t="shared" ca="1" si="8"/>
        <v>13</v>
      </c>
      <c r="I26" s="113">
        <f t="shared" ca="1" si="5"/>
        <v>16</v>
      </c>
      <c r="J26" s="101"/>
    </row>
    <row r="27" spans="1:10" s="8" customFormat="1" ht="16.8">
      <c r="A27" s="114" t="s">
        <v>20</v>
      </c>
      <c r="B27" s="109">
        <v>0</v>
      </c>
      <c r="C27" s="115" t="s">
        <v>34</v>
      </c>
      <c r="D27" s="98" t="str">
        <f>IF(C27="Str",'Personal File'!$C$8,IF(C27="Dex",'Personal File'!$C$9,IF(C27="Con",'Personal File'!$C$10,IF(C27="Int",'Personal File'!$C$11,IF(C27="Wis",'Personal File'!$C$12,IF(C27="Cha",'Personal File'!$C$13))))))</f>
        <v>+1</v>
      </c>
      <c r="E27" s="98" t="str">
        <f t="shared" si="7"/>
        <v>Dex (+1)</v>
      </c>
      <c r="F27" s="449">
        <f>SUM(Martial!$D$25:$D$28)</f>
        <v>-5</v>
      </c>
      <c r="G27" s="113">
        <f t="shared" si="1"/>
        <v>-4</v>
      </c>
      <c r="H27" s="96">
        <f t="shared" ca="1" si="8"/>
        <v>9</v>
      </c>
      <c r="I27" s="113">
        <f t="shared" ca="1" si="5"/>
        <v>5</v>
      </c>
      <c r="J27" s="101"/>
    </row>
    <row r="28" spans="1:10" s="8" customFormat="1" ht="16.8">
      <c r="A28" s="153" t="s">
        <v>54</v>
      </c>
      <c r="B28" s="127">
        <v>0</v>
      </c>
      <c r="C28" s="154" t="s">
        <v>34</v>
      </c>
      <c r="D28" s="155" t="str">
        <f>IF(C28="Str",'Personal File'!$C$8,IF(C28="Dex",'Personal File'!$C$9,IF(C28="Con",'Personal File'!$C$10,IF(C28="Int",'Personal File'!$C$11,IF(C28="Wis",'Personal File'!$C$12,IF(C28="Cha",'Personal File'!$C$13))))))</f>
        <v>+1</v>
      </c>
      <c r="E28" s="155" t="str">
        <f t="shared" si="7"/>
        <v>Dex (+1)</v>
      </c>
      <c r="F28" s="130" t="s">
        <v>63</v>
      </c>
      <c r="G28" s="130">
        <f t="shared" si="1"/>
        <v>1</v>
      </c>
      <c r="H28" s="96">
        <f t="shared" ca="1" si="8"/>
        <v>10</v>
      </c>
      <c r="I28" s="130">
        <f t="shared" ca="1" si="5"/>
        <v>11</v>
      </c>
      <c r="J28" s="131"/>
    </row>
    <row r="29" spans="1:10" ht="16.8">
      <c r="A29" s="116" t="s">
        <v>86</v>
      </c>
      <c r="B29" s="109">
        <v>0</v>
      </c>
      <c r="C29" s="117" t="s">
        <v>30</v>
      </c>
      <c r="D29" s="118" t="str">
        <f>IF(C29="Str",'Personal File'!$C$8,IF(C29="Dex",'Personal File'!$C$9,IF(C29="Con",'Personal File'!$C$10,IF(C29="Int",'Personal File'!$C$11,IF(C29="Wis",'Personal File'!$C$12,IF(C29="Cha",'Personal File'!$C$13))))))</f>
        <v>+3</v>
      </c>
      <c r="E29" s="118" t="str">
        <f t="shared" si="7"/>
        <v>Cha (+3)</v>
      </c>
      <c r="F29" s="113" t="s">
        <v>63</v>
      </c>
      <c r="G29" s="113">
        <f t="shared" si="1"/>
        <v>3</v>
      </c>
      <c r="H29" s="96">
        <f t="shared" ca="1" si="8"/>
        <v>11</v>
      </c>
      <c r="I29" s="113">
        <f t="shared" ca="1" si="5"/>
        <v>14</v>
      </c>
      <c r="J29" s="101"/>
    </row>
    <row r="30" spans="1:10" ht="16.8">
      <c r="A30" s="156" t="s">
        <v>55</v>
      </c>
      <c r="B30" s="127">
        <v>0</v>
      </c>
      <c r="C30" s="157" t="s">
        <v>33</v>
      </c>
      <c r="D30" s="158" t="str">
        <f>IF(C30="Str",'Personal File'!$C$8,IF(C30="Dex",'Personal File'!$C$9,IF(C30="Con",'Personal File'!$C$10,IF(C30="Int",'Personal File'!$C$11,IF(C30="Wis",'Personal File'!$C$12,IF(C30="Cha",'Personal File'!$C$13))))))</f>
        <v>+3</v>
      </c>
      <c r="E30" s="158" t="str">
        <f t="shared" si="7"/>
        <v>Wis (+3)</v>
      </c>
      <c r="F30" s="130" t="s">
        <v>63</v>
      </c>
      <c r="G30" s="130">
        <f t="shared" si="1"/>
        <v>3</v>
      </c>
      <c r="H30" s="96">
        <f t="shared" ca="1" si="8"/>
        <v>17</v>
      </c>
      <c r="I30" s="130">
        <f t="shared" ca="1" si="5"/>
        <v>20</v>
      </c>
      <c r="J30" s="131"/>
    </row>
    <row r="31" spans="1:10" ht="16.8">
      <c r="A31" s="159" t="s">
        <v>21</v>
      </c>
      <c r="B31" s="160">
        <v>8</v>
      </c>
      <c r="C31" s="161" t="s">
        <v>34</v>
      </c>
      <c r="D31" s="162" t="str">
        <f>IF(C31="Str",'Personal File'!$C$8,IF(C31="Dex",'Personal File'!$C$9,IF(C31="Con",'Personal File'!$C$10,IF(C31="Int",'Personal File'!$C$11,IF(C31="Wis",'Personal File'!$C$12,IF(C31="Cha",'Personal File'!$C$13))))))</f>
        <v>+1</v>
      </c>
      <c r="E31" s="163" t="str">
        <f t="shared" si="7"/>
        <v>Dex (+1)</v>
      </c>
      <c r="F31" s="164" t="s">
        <v>63</v>
      </c>
      <c r="G31" s="164">
        <f t="shared" si="1"/>
        <v>9</v>
      </c>
      <c r="H31" s="96">
        <f t="shared" ca="1" si="8"/>
        <v>8</v>
      </c>
      <c r="I31" s="164">
        <f t="shared" ca="1" si="5"/>
        <v>17</v>
      </c>
      <c r="J31" s="516" t="s">
        <v>274</v>
      </c>
    </row>
    <row r="32" spans="1:10" ht="16.8">
      <c r="A32" s="108" t="s">
        <v>22</v>
      </c>
      <c r="B32" s="109">
        <v>0</v>
      </c>
      <c r="C32" s="110" t="s">
        <v>32</v>
      </c>
      <c r="D32" s="111" t="str">
        <f>IF(C32="Str",'Personal File'!$C$8,IF(C32="Dex",'Personal File'!$C$9,IF(C32="Con",'Personal File'!$C$10,IF(C32="Int",'Personal File'!$C$11,IF(C32="Wis",'Personal File'!$C$12,IF(C32="Cha",'Personal File'!$C$13))))))</f>
        <v>+0</v>
      </c>
      <c r="E32" s="111" t="str">
        <f t="shared" si="7"/>
        <v>Int (+0)</v>
      </c>
      <c r="F32" s="113" t="s">
        <v>63</v>
      </c>
      <c r="G32" s="113">
        <f t="shared" si="1"/>
        <v>0</v>
      </c>
      <c r="H32" s="96">
        <f t="shared" ca="1" si="8"/>
        <v>1</v>
      </c>
      <c r="I32" s="113">
        <f t="shared" ca="1" si="5"/>
        <v>1</v>
      </c>
      <c r="J32" s="101"/>
    </row>
    <row r="33" spans="1:10" ht="16.8">
      <c r="A33" s="166" t="s">
        <v>56</v>
      </c>
      <c r="B33" s="160">
        <v>6</v>
      </c>
      <c r="C33" s="167" t="s">
        <v>33</v>
      </c>
      <c r="D33" s="168" t="str">
        <f>IF(C33="Str",'Personal File'!$C$8,IF(C33="Dex",'Personal File'!$C$9,IF(C33="Con",'Personal File'!$C$10,IF(C33="Int",'Personal File'!$C$11,IF(C33="Wis",'Personal File'!$C$12,IF(C33="Cha",'Personal File'!$C$13))))))</f>
        <v>+3</v>
      </c>
      <c r="E33" s="168" t="str">
        <f t="shared" si="7"/>
        <v>Wis (+3)</v>
      </c>
      <c r="F33" s="164" t="s">
        <v>63</v>
      </c>
      <c r="G33" s="164">
        <f t="shared" si="1"/>
        <v>9</v>
      </c>
      <c r="H33" s="96">
        <f t="shared" ca="1" si="8"/>
        <v>3</v>
      </c>
      <c r="I33" s="164">
        <f t="shared" ca="1" si="5"/>
        <v>12</v>
      </c>
      <c r="J33" s="165"/>
    </row>
    <row r="34" spans="1:10" ht="16.8">
      <c r="A34" s="153" t="s">
        <v>87</v>
      </c>
      <c r="B34" s="127">
        <v>0</v>
      </c>
      <c r="C34" s="154" t="s">
        <v>34</v>
      </c>
      <c r="D34" s="155" t="str">
        <f>IF(C34="Str",'Personal File'!$C$8,IF(C34="Dex",'Personal File'!$C$9,IF(C34="Con",'Personal File'!$C$10,IF(C34="Int",'Personal File'!$C$11,IF(C34="Wis",'Personal File'!$C$12,IF(C34="Cha",'Personal File'!$C$13))))))</f>
        <v>+1</v>
      </c>
      <c r="E34" s="155" t="str">
        <f t="shared" si="7"/>
        <v>Dex (+1)</v>
      </c>
      <c r="F34" s="173">
        <f>SUM(Martial!$D$25:$D$28)</f>
        <v>-5</v>
      </c>
      <c r="G34" s="130">
        <f t="shared" si="1"/>
        <v>-4</v>
      </c>
      <c r="H34" s="96">
        <f t="shared" ca="1" si="8"/>
        <v>16</v>
      </c>
      <c r="I34" s="130">
        <f t="shared" ca="1" si="5"/>
        <v>12</v>
      </c>
      <c r="J34" s="131"/>
    </row>
    <row r="35" spans="1:10" ht="16.8">
      <c r="A35" s="169" t="s">
        <v>84</v>
      </c>
      <c r="B35" s="170">
        <v>0</v>
      </c>
      <c r="C35" s="171" t="s">
        <v>32</v>
      </c>
      <c r="D35" s="172" t="str">
        <f>IF(C35="Str",'Personal File'!$C$8,IF(C35="Dex",'Personal File'!$C$9,IF(C35="Con",'Personal File'!$C$10,IF(C35="Int",'Personal File'!$C$11,IF(C35="Wis",'Personal File'!$C$12,IF(C35="Cha",'Personal File'!$C$13))))))</f>
        <v>+0</v>
      </c>
      <c r="E35" s="172" t="str">
        <f t="shared" si="7"/>
        <v>Int (+0)</v>
      </c>
      <c r="F35" s="173" t="s">
        <v>63</v>
      </c>
      <c r="G35" s="173">
        <f t="shared" si="1"/>
        <v>0</v>
      </c>
      <c r="H35" s="96">
        <f t="shared" ca="1" si="8"/>
        <v>2</v>
      </c>
      <c r="I35" s="173">
        <f t="shared" ca="1" si="5"/>
        <v>2</v>
      </c>
      <c r="J35" s="174"/>
    </row>
    <row r="36" spans="1:10" ht="16.8">
      <c r="A36" s="169" t="s">
        <v>57</v>
      </c>
      <c r="B36" s="170">
        <v>0</v>
      </c>
      <c r="C36" s="171" t="s">
        <v>32</v>
      </c>
      <c r="D36" s="172" t="str">
        <f>IF(C36="Str",'Personal File'!$C$8,IF(C36="Dex",'Personal File'!$C$9,IF(C36="Con",'Personal File'!$C$10,IF(C36="Int",'Personal File'!$C$11,IF(C36="Wis",'Personal File'!$C$12,IF(C36="Cha",'Personal File'!$C$13))))))</f>
        <v>+0</v>
      </c>
      <c r="E36" s="172" t="str">
        <f t="shared" si="7"/>
        <v>Int (+0)</v>
      </c>
      <c r="F36" s="173" t="s">
        <v>63</v>
      </c>
      <c r="G36" s="173">
        <f t="shared" si="1"/>
        <v>0</v>
      </c>
      <c r="H36" s="96">
        <f t="shared" ca="1" si="8"/>
        <v>3</v>
      </c>
      <c r="I36" s="173">
        <f t="shared" ca="1" si="5"/>
        <v>3</v>
      </c>
      <c r="J36" s="174"/>
    </row>
    <row r="37" spans="1:10" ht="16.8">
      <c r="A37" s="142" t="s">
        <v>58</v>
      </c>
      <c r="B37" s="109">
        <v>0</v>
      </c>
      <c r="C37" s="143" t="s">
        <v>33</v>
      </c>
      <c r="D37" s="144" t="str">
        <f>IF(C37="Str",'Personal File'!$C$8,IF(C37="Dex",'Personal File'!$C$9,IF(C37="Con",'Personal File'!$C$10,IF(C37="Int",'Personal File'!$C$11,IF(C37="Wis",'Personal File'!$C$12,IF(C37="Cha",'Personal File'!$C$13))))))</f>
        <v>+3</v>
      </c>
      <c r="E37" s="144" t="str">
        <f t="shared" si="7"/>
        <v>Wis (+3)</v>
      </c>
      <c r="F37" s="113" t="s">
        <v>63</v>
      </c>
      <c r="G37" s="113">
        <f t="shared" si="1"/>
        <v>3</v>
      </c>
      <c r="H37" s="96">
        <f t="shared" ca="1" si="8"/>
        <v>11</v>
      </c>
      <c r="I37" s="113">
        <f t="shared" ca="1" si="5"/>
        <v>14</v>
      </c>
      <c r="J37" s="101"/>
    </row>
    <row r="38" spans="1:10" ht="16.8">
      <c r="A38" s="142" t="s">
        <v>88</v>
      </c>
      <c r="B38" s="109">
        <v>0</v>
      </c>
      <c r="C38" s="143" t="s">
        <v>33</v>
      </c>
      <c r="D38" s="144" t="str">
        <f>IF(C38="Str",'Personal File'!$C$8,IF(C38="Dex",'Personal File'!$C$9,IF(C38="Con",'Personal File'!$C$10,IF(C38="Int",'Personal File'!$C$11,IF(C38="Wis",'Personal File'!$C$12,IF(C38="Cha",'Personal File'!$C$13))))))</f>
        <v>+3</v>
      </c>
      <c r="E38" s="144" t="str">
        <f t="shared" si="7"/>
        <v>Wis (+3)</v>
      </c>
      <c r="F38" s="113" t="s">
        <v>63</v>
      </c>
      <c r="G38" s="113">
        <f t="shared" si="1"/>
        <v>3</v>
      </c>
      <c r="H38" s="96">
        <f t="shared" ca="1" si="8"/>
        <v>9</v>
      </c>
      <c r="I38" s="113">
        <f t="shared" ca="1" si="5"/>
        <v>12</v>
      </c>
      <c r="J38" s="175"/>
    </row>
    <row r="39" spans="1:10" ht="16.8">
      <c r="A39" s="252" t="s">
        <v>23</v>
      </c>
      <c r="B39" s="123">
        <v>1</v>
      </c>
      <c r="C39" s="253" t="s">
        <v>35</v>
      </c>
      <c r="D39" s="254" t="str">
        <f>IF(C39="Str",'Personal File'!$C$8,IF(C39="Dex",'Personal File'!$C$9,IF(C39="Con",'Personal File'!$C$10,IF(C39="Int",'Personal File'!$C$11,IF(C39="Wis",'Personal File'!$C$12,IF(C39="Cha",'Personal File'!$C$13))))))</f>
        <v>+5</v>
      </c>
      <c r="E39" s="254" t="str">
        <f t="shared" si="7"/>
        <v>Str (+5)</v>
      </c>
      <c r="F39" s="124" t="s">
        <v>63</v>
      </c>
      <c r="G39" s="124">
        <f t="shared" si="1"/>
        <v>6</v>
      </c>
      <c r="H39" s="96">
        <f t="shared" ca="1" si="8"/>
        <v>10</v>
      </c>
      <c r="I39" s="124">
        <f t="shared" ca="1" si="5"/>
        <v>16</v>
      </c>
      <c r="J39" s="125"/>
    </row>
    <row r="40" spans="1:10" ht="16.8">
      <c r="A40" s="176" t="s">
        <v>59</v>
      </c>
      <c r="B40" s="170">
        <v>0</v>
      </c>
      <c r="C40" s="177" t="s">
        <v>34</v>
      </c>
      <c r="D40" s="178" t="str">
        <f>IF(C40="Str",'Personal File'!$C$8,IF(C40="Dex",'Personal File'!$C$9,IF(C40="Con",'Personal File'!$C$10,IF(C40="Int",'Personal File'!$C$11,IF(C40="Wis",'Personal File'!$C$12,IF(C40="Cha",'Personal File'!$C$13))))))</f>
        <v>+1</v>
      </c>
      <c r="E40" s="178" t="str">
        <f t="shared" si="7"/>
        <v>Dex (+1)</v>
      </c>
      <c r="F40" s="173">
        <f>SUM(Martial!$D$25:$D$28)</f>
        <v>-5</v>
      </c>
      <c r="G40" s="173">
        <f t="shared" si="1"/>
        <v>-4</v>
      </c>
      <c r="H40" s="96">
        <f t="shared" ca="1" si="8"/>
        <v>14</v>
      </c>
      <c r="I40" s="173">
        <f t="shared" ca="1" si="5"/>
        <v>10</v>
      </c>
      <c r="J40" s="174"/>
    </row>
    <row r="41" spans="1:10" ht="16.8">
      <c r="A41" s="179" t="s">
        <v>60</v>
      </c>
      <c r="B41" s="127">
        <v>0</v>
      </c>
      <c r="C41" s="180" t="s">
        <v>30</v>
      </c>
      <c r="D41" s="181" t="str">
        <f>IF(C41="Str",'Personal File'!$C$8,IF(C41="Dex",'Personal File'!$C$9,IF(C41="Con",'Personal File'!$C$10,IF(C41="Int",'Personal File'!$C$11,IF(C41="Wis",'Personal File'!$C$12,IF(C41="Cha",'Personal File'!$C$13))))))</f>
        <v>+3</v>
      </c>
      <c r="E41" s="181" t="str">
        <f t="shared" si="7"/>
        <v>Cha (+3)</v>
      </c>
      <c r="F41" s="130" t="s">
        <v>63</v>
      </c>
      <c r="G41" s="130">
        <f t="shared" si="1"/>
        <v>3</v>
      </c>
      <c r="H41" s="96">
        <f t="shared" ca="1" si="8"/>
        <v>9</v>
      </c>
      <c r="I41" s="130">
        <f t="shared" ca="1" si="5"/>
        <v>12</v>
      </c>
      <c r="J41" s="131"/>
    </row>
    <row r="42" spans="1:10" ht="17.399999999999999" thickBot="1">
      <c r="A42" s="182" t="s">
        <v>61</v>
      </c>
      <c r="B42" s="183">
        <v>0</v>
      </c>
      <c r="C42" s="184" t="s">
        <v>34</v>
      </c>
      <c r="D42" s="185" t="str">
        <f>IF(C42="Str",'Personal File'!$C$8,IF(C42="Dex",'Personal File'!$C$9,IF(C42="Con",'Personal File'!$C$10,IF(C42="Int",'Personal File'!$C$11,IF(C42="Wis",'Personal File'!$C$12,IF(C42="Cha",'Personal File'!$C$13))))))</f>
        <v>+1</v>
      </c>
      <c r="E42" s="185" t="str">
        <f t="shared" si="7"/>
        <v>Dex (+1)</v>
      </c>
      <c r="F42" s="186" t="s">
        <v>63</v>
      </c>
      <c r="G42" s="186">
        <f t="shared" si="1"/>
        <v>1</v>
      </c>
      <c r="H42" s="187">
        <f t="shared" ca="1" si="8"/>
        <v>20</v>
      </c>
      <c r="I42" s="186">
        <f t="shared" ca="1" si="5"/>
        <v>21</v>
      </c>
      <c r="J42" s="188"/>
    </row>
    <row r="43" spans="1:10" ht="16.2" thickTop="1">
      <c r="A43" s="243"/>
      <c r="B43" s="244">
        <f>SUM(B6:B42)</f>
        <v>51</v>
      </c>
      <c r="C43" s="245"/>
      <c r="D43" s="245"/>
      <c r="E43" s="244">
        <f>SUM(E44:E58)</f>
        <v>51</v>
      </c>
      <c r="F43" s="247" t="s">
        <v>64</v>
      </c>
      <c r="G43" s="245"/>
      <c r="H43" s="245"/>
      <c r="I43" s="245"/>
      <c r="J43" s="243"/>
    </row>
    <row r="44" spans="1:10">
      <c r="A44" s="243"/>
      <c r="B44" s="244"/>
      <c r="C44" s="245"/>
      <c r="D44" s="245"/>
      <c r="E44" s="249">
        <f>4*(2+'Personal File'!$C$11)</f>
        <v>8</v>
      </c>
      <c r="F44" s="248" t="s">
        <v>366</v>
      </c>
      <c r="G44" s="245"/>
      <c r="H44" s="245"/>
      <c r="I44" s="245"/>
      <c r="J44" s="243"/>
    </row>
    <row r="45" spans="1:10">
      <c r="A45" s="243"/>
      <c r="B45" s="244"/>
      <c r="C45" s="245"/>
      <c r="D45" s="245"/>
      <c r="E45" s="249">
        <f>2+'Personal File'!$C$11</f>
        <v>2</v>
      </c>
      <c r="F45" s="248" t="s">
        <v>367</v>
      </c>
      <c r="G45" s="245"/>
      <c r="H45" s="245"/>
      <c r="I45" s="245"/>
      <c r="J45" s="243"/>
    </row>
    <row r="46" spans="1:10">
      <c r="A46" s="243"/>
      <c r="B46" s="244"/>
      <c r="C46" s="245"/>
      <c r="D46" s="245"/>
      <c r="E46" s="249">
        <f>2+'Personal File'!$C$11</f>
        <v>2</v>
      </c>
      <c r="F46" s="248" t="s">
        <v>368</v>
      </c>
      <c r="G46" s="245"/>
      <c r="H46" s="245"/>
      <c r="I46" s="245"/>
      <c r="J46" s="243"/>
    </row>
    <row r="47" spans="1:10">
      <c r="A47" s="243"/>
      <c r="B47" s="244"/>
      <c r="C47" s="245"/>
      <c r="D47" s="245"/>
      <c r="E47" s="249">
        <f>2+'Personal File'!$C$11</f>
        <v>2</v>
      </c>
      <c r="F47" s="248" t="s">
        <v>369</v>
      </c>
      <c r="G47" s="245"/>
      <c r="H47" s="245"/>
      <c r="I47" s="245"/>
      <c r="J47" s="243"/>
    </row>
    <row r="48" spans="1:10">
      <c r="A48" s="243"/>
      <c r="B48" s="244"/>
      <c r="C48" s="245"/>
      <c r="D48" s="245"/>
      <c r="E48" s="249">
        <f>2+'Personal File'!$C$11</f>
        <v>2</v>
      </c>
      <c r="F48" s="248" t="s">
        <v>370</v>
      </c>
      <c r="G48" s="245"/>
      <c r="H48" s="245"/>
      <c r="I48" s="245"/>
      <c r="J48" s="243"/>
    </row>
    <row r="49" spans="1:10">
      <c r="A49" s="243"/>
      <c r="B49" s="244"/>
      <c r="C49" s="245"/>
      <c r="D49" s="245"/>
      <c r="E49" s="249">
        <f>2+'Personal File'!$C$11</f>
        <v>2</v>
      </c>
      <c r="F49" s="248" t="s">
        <v>387</v>
      </c>
      <c r="G49" s="245"/>
      <c r="H49" s="245"/>
      <c r="I49" s="245"/>
      <c r="J49" s="243"/>
    </row>
    <row r="50" spans="1:10">
      <c r="A50" s="243"/>
      <c r="B50" s="244"/>
      <c r="C50" s="245"/>
      <c r="D50" s="245"/>
      <c r="E50" s="249">
        <f>2+'Personal File'!$C$11</f>
        <v>2</v>
      </c>
      <c r="F50" s="248" t="s">
        <v>388</v>
      </c>
      <c r="G50" s="245"/>
      <c r="H50" s="245"/>
      <c r="I50" s="245"/>
      <c r="J50" s="243"/>
    </row>
    <row r="51" spans="1:10">
      <c r="A51" s="243"/>
      <c r="B51" s="244"/>
      <c r="C51" s="245"/>
      <c r="D51" s="245"/>
      <c r="E51" s="249">
        <f>2+'Personal File'!$C$11</f>
        <v>2</v>
      </c>
      <c r="F51" s="248" t="s">
        <v>163</v>
      </c>
      <c r="G51" s="245"/>
      <c r="H51" s="245"/>
      <c r="I51" s="245"/>
      <c r="J51" s="243"/>
    </row>
    <row r="52" spans="1:10">
      <c r="A52" s="243"/>
      <c r="B52" s="244"/>
      <c r="C52" s="245"/>
      <c r="D52" s="245"/>
      <c r="E52" s="249">
        <f>2+'Personal File'!$C$11</f>
        <v>2</v>
      </c>
      <c r="F52" s="248" t="s">
        <v>164</v>
      </c>
      <c r="G52" s="245"/>
      <c r="H52" s="245"/>
      <c r="I52" s="245"/>
      <c r="J52" s="243"/>
    </row>
    <row r="53" spans="1:10">
      <c r="A53" s="243"/>
      <c r="B53" s="244"/>
      <c r="C53" s="245"/>
      <c r="D53" s="245"/>
      <c r="E53" s="249">
        <f>2+'Personal File'!$C$11</f>
        <v>2</v>
      </c>
      <c r="F53" s="248" t="s">
        <v>165</v>
      </c>
      <c r="G53" s="245"/>
      <c r="H53" s="245"/>
      <c r="I53" s="245"/>
      <c r="J53" s="243"/>
    </row>
    <row r="54" spans="1:10">
      <c r="A54" s="243"/>
      <c r="B54" s="244"/>
      <c r="C54" s="245"/>
      <c r="D54" s="245"/>
      <c r="E54" s="249">
        <f>2+'Personal File'!$C$11</f>
        <v>2</v>
      </c>
      <c r="F54" s="248" t="s">
        <v>238</v>
      </c>
      <c r="G54" s="245"/>
      <c r="H54" s="245"/>
      <c r="I54" s="245"/>
      <c r="J54" s="243"/>
    </row>
    <row r="55" spans="1:10">
      <c r="A55" s="243"/>
      <c r="B55" s="244"/>
      <c r="C55" s="245"/>
      <c r="D55" s="245"/>
      <c r="E55" s="249">
        <f>2+'Personal File'!$C$11</f>
        <v>2</v>
      </c>
      <c r="F55" s="248" t="s">
        <v>248</v>
      </c>
      <c r="G55" s="245"/>
      <c r="H55" s="245"/>
      <c r="I55" s="245"/>
      <c r="J55" s="243"/>
    </row>
    <row r="56" spans="1:10">
      <c r="A56" s="243"/>
      <c r="B56" s="244"/>
      <c r="C56" s="245"/>
      <c r="D56" s="245"/>
      <c r="E56" s="249">
        <f>2+'Personal File'!$C$11</f>
        <v>2</v>
      </c>
      <c r="F56" s="248" t="s">
        <v>283</v>
      </c>
      <c r="G56" s="245"/>
      <c r="H56" s="245"/>
      <c r="I56" s="245"/>
      <c r="J56" s="243"/>
    </row>
    <row r="57" spans="1:10">
      <c r="A57" s="243"/>
      <c r="B57" s="244"/>
      <c r="C57" s="245"/>
      <c r="D57" s="245"/>
      <c r="E57" s="249">
        <f>2+'Personal File'!$C$11</f>
        <v>2</v>
      </c>
      <c r="F57" s="248" t="s">
        <v>371</v>
      </c>
      <c r="G57" s="245"/>
      <c r="H57" s="245"/>
      <c r="I57" s="245"/>
      <c r="J57" s="243"/>
    </row>
    <row r="58" spans="1:10">
      <c r="A58" s="243"/>
      <c r="B58" s="243"/>
      <c r="C58" s="245"/>
      <c r="D58" s="245"/>
      <c r="E58" s="246">
        <f>3+'Personal File'!E3+'Personal File'!E4</f>
        <v>17</v>
      </c>
      <c r="F58" s="248" t="s">
        <v>82</v>
      </c>
      <c r="G58" s="245"/>
      <c r="H58" s="245"/>
      <c r="I58" s="245"/>
      <c r="J58" s="243"/>
    </row>
    <row r="59" spans="1:10">
      <c r="A59" s="250"/>
      <c r="B59" s="250"/>
      <c r="C59" s="251"/>
      <c r="D59" s="251"/>
      <c r="E59" s="251"/>
      <c r="F59" s="251"/>
      <c r="G59" s="251"/>
      <c r="H59" s="251"/>
      <c r="I59" s="251"/>
      <c r="J59" s="250"/>
    </row>
    <row r="60" spans="1:10">
      <c r="A60" s="250"/>
      <c r="B60" s="250"/>
      <c r="C60" s="251"/>
      <c r="D60" s="251"/>
      <c r="E60" s="251"/>
      <c r="F60" s="251"/>
      <c r="G60" s="251"/>
      <c r="H60" s="251"/>
      <c r="I60" s="251"/>
      <c r="J60" s="250"/>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87" bestFit="1" customWidth="1"/>
    <col min="2" max="2" width="6.19921875" style="87" bestFit="1" customWidth="1"/>
    <col min="3" max="3" width="13.59765625" style="86" bestFit="1" customWidth="1"/>
    <col min="4" max="4" width="12.5" style="86" bestFit="1" customWidth="1"/>
    <col min="5" max="5" width="7.296875" style="86" bestFit="1" customWidth="1"/>
    <col min="6" max="7" width="13.19921875" style="86" bestFit="1" customWidth="1"/>
    <col min="8" max="8" width="21.69921875" style="87" bestFit="1" customWidth="1"/>
    <col min="9" max="9" width="5.5" style="76" bestFit="1" customWidth="1"/>
    <col min="10" max="16384" width="13" style="76"/>
  </cols>
  <sheetData>
    <row r="1" spans="1:9" ht="23.4" thickBot="1">
      <c r="A1" s="269" t="s">
        <v>357</v>
      </c>
      <c r="B1" s="190"/>
      <c r="C1" s="190"/>
      <c r="D1" s="190"/>
      <c r="E1" s="190"/>
      <c r="F1" s="190"/>
      <c r="G1" s="190"/>
      <c r="H1" s="190"/>
    </row>
    <row r="2" spans="1:9" s="16" customFormat="1" ht="16.8">
      <c r="A2" s="191" t="s">
        <v>71</v>
      </c>
      <c r="B2" s="192" t="s">
        <v>4</v>
      </c>
      <c r="C2" s="192" t="s">
        <v>93</v>
      </c>
      <c r="D2" s="193" t="s">
        <v>94</v>
      </c>
      <c r="E2" s="193" t="s">
        <v>95</v>
      </c>
      <c r="F2" s="192" t="s">
        <v>96</v>
      </c>
      <c r="G2" s="192" t="s">
        <v>97</v>
      </c>
      <c r="H2" s="192" t="s">
        <v>260</v>
      </c>
      <c r="I2" s="194" t="s">
        <v>261</v>
      </c>
    </row>
    <row r="3" spans="1:9" ht="16.8">
      <c r="A3" s="468" t="s">
        <v>348</v>
      </c>
      <c r="B3" s="255">
        <v>1</v>
      </c>
      <c r="C3" s="256" t="s">
        <v>110</v>
      </c>
      <c r="D3" s="257" t="s">
        <v>100</v>
      </c>
      <c r="E3" s="379" t="s">
        <v>101</v>
      </c>
      <c r="F3" s="258" t="s">
        <v>329</v>
      </c>
      <c r="G3" s="258" t="s">
        <v>103</v>
      </c>
      <c r="H3" s="258" t="s">
        <v>349</v>
      </c>
      <c r="I3" s="136">
        <v>125</v>
      </c>
    </row>
    <row r="4" spans="1:9" ht="16.8">
      <c r="A4" s="468" t="s">
        <v>284</v>
      </c>
      <c r="B4" s="255">
        <v>1</v>
      </c>
      <c r="C4" s="256" t="s">
        <v>219</v>
      </c>
      <c r="D4" s="257" t="s">
        <v>119</v>
      </c>
      <c r="E4" s="379" t="s">
        <v>101</v>
      </c>
      <c r="F4" s="258" t="s">
        <v>120</v>
      </c>
      <c r="G4" s="258" t="s">
        <v>106</v>
      </c>
      <c r="H4" s="258" t="s">
        <v>262</v>
      </c>
      <c r="I4" s="259">
        <v>205</v>
      </c>
    </row>
    <row r="5" spans="1:9" ht="16.8">
      <c r="A5" s="468" t="s">
        <v>285</v>
      </c>
      <c r="B5" s="255">
        <v>1</v>
      </c>
      <c r="C5" s="256" t="s">
        <v>218</v>
      </c>
      <c r="D5" s="257" t="s">
        <v>121</v>
      </c>
      <c r="E5" s="379" t="s">
        <v>101</v>
      </c>
      <c r="F5" s="258" t="s">
        <v>105</v>
      </c>
      <c r="G5" s="258" t="s">
        <v>103</v>
      </c>
      <c r="H5" s="258" t="s">
        <v>262</v>
      </c>
      <c r="I5" s="136">
        <v>205</v>
      </c>
    </row>
    <row r="6" spans="1:9" ht="16.8">
      <c r="A6" s="468" t="s">
        <v>217</v>
      </c>
      <c r="B6" s="255">
        <v>1</v>
      </c>
      <c r="C6" s="256" t="s">
        <v>218</v>
      </c>
      <c r="D6" s="257" t="s">
        <v>100</v>
      </c>
      <c r="E6" s="257" t="s">
        <v>101</v>
      </c>
      <c r="F6" s="258" t="s">
        <v>105</v>
      </c>
      <c r="G6" s="258" t="s">
        <v>106</v>
      </c>
      <c r="H6" s="258" t="s">
        <v>262</v>
      </c>
      <c r="I6" s="259">
        <v>205</v>
      </c>
    </row>
    <row r="7" spans="1:9" ht="16.8">
      <c r="A7" s="468" t="s">
        <v>308</v>
      </c>
      <c r="B7" s="255">
        <v>1</v>
      </c>
      <c r="C7" s="256" t="s">
        <v>218</v>
      </c>
      <c r="D7" s="533" t="s">
        <v>100</v>
      </c>
      <c r="E7" s="379" t="s">
        <v>101</v>
      </c>
      <c r="F7" s="534" t="s">
        <v>114</v>
      </c>
      <c r="G7" s="258" t="s">
        <v>111</v>
      </c>
      <c r="H7" s="258" t="s">
        <v>324</v>
      </c>
      <c r="I7" s="101">
        <v>144</v>
      </c>
    </row>
    <row r="8" spans="1:9" ht="16.8">
      <c r="A8" s="468" t="s">
        <v>98</v>
      </c>
      <c r="B8" s="255">
        <v>1</v>
      </c>
      <c r="C8" s="256" t="s">
        <v>99</v>
      </c>
      <c r="D8" s="257" t="s">
        <v>100</v>
      </c>
      <c r="E8" s="379" t="s">
        <v>101</v>
      </c>
      <c r="F8" s="258" t="s">
        <v>102</v>
      </c>
      <c r="G8" s="258" t="s">
        <v>103</v>
      </c>
      <c r="H8" s="258" t="s">
        <v>262</v>
      </c>
      <c r="I8" s="136">
        <v>215</v>
      </c>
    </row>
    <row r="9" spans="1:9" ht="16.8">
      <c r="A9" s="468" t="s">
        <v>123</v>
      </c>
      <c r="B9" s="255">
        <v>1</v>
      </c>
      <c r="C9" s="256" t="s">
        <v>104</v>
      </c>
      <c r="D9" s="257" t="s">
        <v>100</v>
      </c>
      <c r="E9" s="379" t="s">
        <v>101</v>
      </c>
      <c r="F9" s="258" t="s">
        <v>105</v>
      </c>
      <c r="G9" s="258" t="s">
        <v>103</v>
      </c>
      <c r="H9" s="258" t="s">
        <v>262</v>
      </c>
      <c r="I9" s="136">
        <v>216</v>
      </c>
    </row>
    <row r="10" spans="1:9" ht="16.8">
      <c r="A10" s="468" t="s">
        <v>107</v>
      </c>
      <c r="B10" s="255">
        <v>1</v>
      </c>
      <c r="C10" s="256" t="s">
        <v>108</v>
      </c>
      <c r="D10" s="257" t="s">
        <v>100</v>
      </c>
      <c r="E10" s="379" t="s">
        <v>101</v>
      </c>
      <c r="F10" s="258" t="s">
        <v>102</v>
      </c>
      <c r="G10" s="258" t="s">
        <v>103</v>
      </c>
      <c r="H10" s="258" t="s">
        <v>262</v>
      </c>
      <c r="I10" s="136">
        <v>219</v>
      </c>
    </row>
    <row r="11" spans="1:9" ht="16.8">
      <c r="A11" s="468" t="s">
        <v>129</v>
      </c>
      <c r="B11" s="255">
        <v>1</v>
      </c>
      <c r="C11" s="256" t="s">
        <v>108</v>
      </c>
      <c r="D11" s="257" t="s">
        <v>117</v>
      </c>
      <c r="E11" s="469" t="s">
        <v>101</v>
      </c>
      <c r="F11" s="258" t="s">
        <v>224</v>
      </c>
      <c r="G11" s="258" t="s">
        <v>103</v>
      </c>
      <c r="H11" s="258" t="s">
        <v>262</v>
      </c>
      <c r="I11" s="136">
        <v>220</v>
      </c>
    </row>
    <row r="12" spans="1:9" ht="16.8">
      <c r="A12" s="468" t="s">
        <v>124</v>
      </c>
      <c r="B12" s="255">
        <v>1</v>
      </c>
      <c r="C12" s="256" t="s">
        <v>110</v>
      </c>
      <c r="D12" s="257" t="s">
        <v>119</v>
      </c>
      <c r="E12" s="379" t="s">
        <v>101</v>
      </c>
      <c r="F12" s="258" t="s">
        <v>114</v>
      </c>
      <c r="G12" s="258" t="s">
        <v>109</v>
      </c>
      <c r="H12" s="258" t="s">
        <v>262</v>
      </c>
      <c r="I12" s="259">
        <v>224</v>
      </c>
    </row>
    <row r="13" spans="1:9" ht="16.8">
      <c r="A13" s="468" t="s">
        <v>146</v>
      </c>
      <c r="B13" s="255">
        <v>1</v>
      </c>
      <c r="C13" s="256" t="s">
        <v>110</v>
      </c>
      <c r="D13" s="257" t="s">
        <v>100</v>
      </c>
      <c r="E13" s="257" t="s">
        <v>101</v>
      </c>
      <c r="F13" s="258" t="s">
        <v>114</v>
      </c>
      <c r="G13" s="258" t="s">
        <v>134</v>
      </c>
      <c r="H13" s="258" t="s">
        <v>263</v>
      </c>
      <c r="I13" s="259">
        <v>163</v>
      </c>
    </row>
    <row r="14" spans="1:9" ht="16.8">
      <c r="A14" s="468" t="s">
        <v>125</v>
      </c>
      <c r="B14" s="255">
        <v>1</v>
      </c>
      <c r="C14" s="256" t="s">
        <v>116</v>
      </c>
      <c r="D14" s="257" t="s">
        <v>100</v>
      </c>
      <c r="E14" s="379" t="s">
        <v>101</v>
      </c>
      <c r="F14" s="258" t="s">
        <v>105</v>
      </c>
      <c r="G14" s="258" t="s">
        <v>126</v>
      </c>
      <c r="H14" s="258" t="s">
        <v>262</v>
      </c>
      <c r="I14" s="136">
        <v>226</v>
      </c>
    </row>
    <row r="15" spans="1:9" ht="16.8">
      <c r="A15" s="468" t="s">
        <v>338</v>
      </c>
      <c r="B15" s="255">
        <v>1</v>
      </c>
      <c r="C15" s="256" t="s">
        <v>99</v>
      </c>
      <c r="D15" s="257" t="s">
        <v>325</v>
      </c>
      <c r="E15" s="379" t="s">
        <v>101</v>
      </c>
      <c r="F15" s="258" t="s">
        <v>105</v>
      </c>
      <c r="G15" s="258" t="s">
        <v>303</v>
      </c>
      <c r="H15" s="258" t="s">
        <v>263</v>
      </c>
      <c r="I15" s="136">
        <v>166</v>
      </c>
    </row>
    <row r="16" spans="1:9" ht="16.8">
      <c r="A16" s="468" t="s">
        <v>309</v>
      </c>
      <c r="B16" s="255">
        <v>1</v>
      </c>
      <c r="C16" s="256" t="s">
        <v>108</v>
      </c>
      <c r="D16" s="533" t="s">
        <v>325</v>
      </c>
      <c r="E16" s="379" t="s">
        <v>230</v>
      </c>
      <c r="F16" s="534" t="s">
        <v>114</v>
      </c>
      <c r="G16" s="258" t="s">
        <v>122</v>
      </c>
      <c r="H16" s="258" t="s">
        <v>324</v>
      </c>
      <c r="I16" s="101">
        <v>150</v>
      </c>
    </row>
    <row r="17" spans="1:9" ht="16.8">
      <c r="A17" s="468" t="s">
        <v>334</v>
      </c>
      <c r="B17" s="255">
        <v>1</v>
      </c>
      <c r="C17" s="256" t="s">
        <v>110</v>
      </c>
      <c r="D17" s="533" t="s">
        <v>336</v>
      </c>
      <c r="E17" s="379" t="s">
        <v>101</v>
      </c>
      <c r="F17" s="534" t="s">
        <v>102</v>
      </c>
      <c r="G17" s="258" t="s">
        <v>134</v>
      </c>
      <c r="H17" s="258" t="s">
        <v>327</v>
      </c>
      <c r="I17" s="101">
        <v>101</v>
      </c>
    </row>
    <row r="18" spans="1:9" ht="16.8">
      <c r="A18" s="468" t="s">
        <v>142</v>
      </c>
      <c r="B18" s="255">
        <v>1</v>
      </c>
      <c r="C18" s="256" t="s">
        <v>99</v>
      </c>
      <c r="D18" s="257" t="s">
        <v>100</v>
      </c>
      <c r="E18" s="257" t="s">
        <v>101</v>
      </c>
      <c r="F18" s="258" t="s">
        <v>105</v>
      </c>
      <c r="G18" s="258" t="s">
        <v>103</v>
      </c>
      <c r="H18" s="258" t="s">
        <v>262</v>
      </c>
      <c r="I18" s="136">
        <v>272</v>
      </c>
    </row>
    <row r="19" spans="1:9" ht="16.8">
      <c r="A19" s="468" t="s">
        <v>127</v>
      </c>
      <c r="B19" s="255">
        <v>1</v>
      </c>
      <c r="C19" s="256" t="s">
        <v>218</v>
      </c>
      <c r="D19" s="257" t="s">
        <v>128</v>
      </c>
      <c r="E19" s="379" t="s">
        <v>101</v>
      </c>
      <c r="F19" s="258" t="s">
        <v>105</v>
      </c>
      <c r="G19" s="258" t="s">
        <v>106</v>
      </c>
      <c r="H19" s="258" t="s">
        <v>262</v>
      </c>
      <c r="I19" s="536">
        <v>251</v>
      </c>
    </row>
    <row r="20" spans="1:9" ht="16.8">
      <c r="A20" s="468" t="s">
        <v>279</v>
      </c>
      <c r="B20" s="255">
        <v>1</v>
      </c>
      <c r="C20" s="256" t="s">
        <v>116</v>
      </c>
      <c r="D20" s="257" t="s">
        <v>117</v>
      </c>
      <c r="E20" s="257" t="s">
        <v>101</v>
      </c>
      <c r="F20" s="258" t="s">
        <v>105</v>
      </c>
      <c r="G20" s="258" t="s">
        <v>106</v>
      </c>
      <c r="H20" s="258" t="s">
        <v>262</v>
      </c>
      <c r="I20" s="136">
        <v>266</v>
      </c>
    </row>
    <row r="21" spans="1:9" ht="16.8">
      <c r="A21" s="468" t="s">
        <v>278</v>
      </c>
      <c r="B21" s="255">
        <v>1</v>
      </c>
      <c r="C21" s="256" t="s">
        <v>116</v>
      </c>
      <c r="D21" s="257" t="s">
        <v>117</v>
      </c>
      <c r="E21" s="257" t="s">
        <v>101</v>
      </c>
      <c r="F21" s="258" t="s">
        <v>105</v>
      </c>
      <c r="G21" s="258" t="s">
        <v>106</v>
      </c>
      <c r="H21" s="258" t="s">
        <v>262</v>
      </c>
      <c r="I21" s="136">
        <v>266</v>
      </c>
    </row>
    <row r="22" spans="1:9" ht="16.8">
      <c r="A22" s="468" t="s">
        <v>112</v>
      </c>
      <c r="B22" s="255">
        <v>1</v>
      </c>
      <c r="C22" s="256" t="s">
        <v>104</v>
      </c>
      <c r="D22" s="257" t="s">
        <v>113</v>
      </c>
      <c r="E22" s="257" t="s">
        <v>101</v>
      </c>
      <c r="F22" s="258" t="s">
        <v>114</v>
      </c>
      <c r="G22" s="258" t="s">
        <v>111</v>
      </c>
      <c r="H22" s="258" t="s">
        <v>262</v>
      </c>
      <c r="I22" s="136">
        <v>269</v>
      </c>
    </row>
    <row r="23" spans="1:9" ht="16.8">
      <c r="A23" s="468" t="s">
        <v>310</v>
      </c>
      <c r="B23" s="255">
        <v>1</v>
      </c>
      <c r="C23" s="532" t="s">
        <v>116</v>
      </c>
      <c r="D23" s="533" t="s">
        <v>119</v>
      </c>
      <c r="E23" s="379" t="s">
        <v>101</v>
      </c>
      <c r="F23" s="534" t="s">
        <v>105</v>
      </c>
      <c r="G23" s="534" t="s">
        <v>111</v>
      </c>
      <c r="H23" s="534" t="s">
        <v>326</v>
      </c>
      <c r="I23" s="136">
        <v>104</v>
      </c>
    </row>
    <row r="24" spans="1:9" ht="16.8">
      <c r="A24" s="468" t="s">
        <v>115</v>
      </c>
      <c r="B24" s="255">
        <v>1</v>
      </c>
      <c r="C24" s="256" t="s">
        <v>116</v>
      </c>
      <c r="D24" s="257" t="s">
        <v>117</v>
      </c>
      <c r="E24" s="257" t="s">
        <v>101</v>
      </c>
      <c r="F24" s="258" t="s">
        <v>105</v>
      </c>
      <c r="G24" s="258" t="s">
        <v>109</v>
      </c>
      <c r="H24" s="258" t="s">
        <v>262</v>
      </c>
      <c r="I24" s="136">
        <v>272</v>
      </c>
    </row>
    <row r="25" spans="1:9" ht="16.8">
      <c r="A25" s="468" t="s">
        <v>229</v>
      </c>
      <c r="B25" s="255">
        <v>1</v>
      </c>
      <c r="C25" s="256" t="s">
        <v>218</v>
      </c>
      <c r="D25" s="257" t="s">
        <v>100</v>
      </c>
      <c r="E25" s="469" t="s">
        <v>230</v>
      </c>
      <c r="F25" s="258" t="s">
        <v>114</v>
      </c>
      <c r="G25" s="258" t="s">
        <v>122</v>
      </c>
      <c r="H25" s="258" t="s">
        <v>265</v>
      </c>
      <c r="I25" s="136">
        <v>176</v>
      </c>
    </row>
    <row r="26" spans="1:9" ht="16.8">
      <c r="A26" s="468" t="s">
        <v>311</v>
      </c>
      <c r="B26" s="255">
        <v>1</v>
      </c>
      <c r="C26" s="256" t="s">
        <v>218</v>
      </c>
      <c r="D26" s="257" t="s">
        <v>100</v>
      </c>
      <c r="E26" s="258" t="s">
        <v>101</v>
      </c>
      <c r="F26" s="258" t="s">
        <v>105</v>
      </c>
      <c r="G26" s="258" t="s">
        <v>303</v>
      </c>
      <c r="H26" s="258" t="s">
        <v>327</v>
      </c>
      <c r="I26" s="136">
        <v>106</v>
      </c>
    </row>
    <row r="27" spans="1:9" ht="16.8">
      <c r="A27" s="468" t="s">
        <v>312</v>
      </c>
      <c r="B27" s="255">
        <v>1</v>
      </c>
      <c r="C27" s="256" t="s">
        <v>218</v>
      </c>
      <c r="D27" s="257" t="s">
        <v>100</v>
      </c>
      <c r="E27" s="258" t="s">
        <v>101</v>
      </c>
      <c r="F27" s="258" t="s">
        <v>105</v>
      </c>
      <c r="G27" s="258" t="s">
        <v>134</v>
      </c>
      <c r="H27" s="258" t="s">
        <v>327</v>
      </c>
      <c r="I27" s="136">
        <v>107</v>
      </c>
    </row>
    <row r="28" spans="1:9" ht="16.8">
      <c r="A28" s="468" t="s">
        <v>347</v>
      </c>
      <c r="B28" s="255">
        <v>1</v>
      </c>
      <c r="C28" s="256" t="s">
        <v>218</v>
      </c>
      <c r="D28" s="257" t="s">
        <v>100</v>
      </c>
      <c r="E28" s="379" t="s">
        <v>101</v>
      </c>
      <c r="F28" s="258" t="s">
        <v>114</v>
      </c>
      <c r="G28" s="258" t="s">
        <v>345</v>
      </c>
      <c r="H28" s="258" t="s">
        <v>346</v>
      </c>
      <c r="I28" s="136">
        <v>72</v>
      </c>
    </row>
    <row r="29" spans="1:9" ht="16.8">
      <c r="A29" s="468" t="s">
        <v>135</v>
      </c>
      <c r="B29" s="255">
        <v>1</v>
      </c>
      <c r="C29" s="256" t="s">
        <v>99</v>
      </c>
      <c r="D29" s="257" t="s">
        <v>100</v>
      </c>
      <c r="E29" s="469" t="s">
        <v>101</v>
      </c>
      <c r="F29" s="258" t="s">
        <v>225</v>
      </c>
      <c r="G29" s="258" t="s">
        <v>134</v>
      </c>
      <c r="H29" s="258" t="s">
        <v>264</v>
      </c>
      <c r="I29" s="136">
        <v>128</v>
      </c>
    </row>
    <row r="30" spans="1:9" ht="16.8">
      <c r="A30" s="468" t="s">
        <v>307</v>
      </c>
      <c r="B30" s="255">
        <v>1</v>
      </c>
      <c r="C30" s="256" t="s">
        <v>218</v>
      </c>
      <c r="D30" s="257" t="s">
        <v>100</v>
      </c>
      <c r="E30" s="379" t="s">
        <v>101</v>
      </c>
      <c r="F30" s="258" t="s">
        <v>105</v>
      </c>
      <c r="G30" s="258" t="s">
        <v>303</v>
      </c>
      <c r="H30" s="258" t="s">
        <v>263</v>
      </c>
      <c r="I30" s="136">
        <v>184</v>
      </c>
    </row>
    <row r="31" spans="1:9" ht="16.8">
      <c r="A31" s="265" t="s">
        <v>118</v>
      </c>
      <c r="B31" s="260">
        <v>1</v>
      </c>
      <c r="C31" s="261" t="s">
        <v>218</v>
      </c>
      <c r="D31" s="262" t="s">
        <v>119</v>
      </c>
      <c r="E31" s="262" t="s">
        <v>101</v>
      </c>
      <c r="F31" s="263" t="s">
        <v>105</v>
      </c>
      <c r="G31" s="263" t="s">
        <v>109</v>
      </c>
      <c r="H31" s="263" t="s">
        <v>262</v>
      </c>
      <c r="I31" s="264">
        <v>298</v>
      </c>
    </row>
    <row r="32" spans="1:9" ht="16.8">
      <c r="A32" s="468" t="s">
        <v>140</v>
      </c>
      <c r="B32" s="255">
        <v>2</v>
      </c>
      <c r="C32" s="256" t="s">
        <v>116</v>
      </c>
      <c r="D32" s="257" t="s">
        <v>119</v>
      </c>
      <c r="E32" s="469" t="s">
        <v>141</v>
      </c>
      <c r="F32" s="258" t="s">
        <v>105</v>
      </c>
      <c r="G32" s="258" t="s">
        <v>111</v>
      </c>
      <c r="H32" s="258" t="s">
        <v>264</v>
      </c>
      <c r="I32" s="136">
        <v>116</v>
      </c>
    </row>
    <row r="33" spans="1:9" ht="16.8">
      <c r="A33" s="468" t="s">
        <v>313</v>
      </c>
      <c r="B33" s="255">
        <v>2</v>
      </c>
      <c r="C33" s="256" t="s">
        <v>218</v>
      </c>
      <c r="D33" s="533" t="s">
        <v>121</v>
      </c>
      <c r="E33" s="538" t="s">
        <v>101</v>
      </c>
      <c r="F33" s="534" t="s">
        <v>105</v>
      </c>
      <c r="G33" s="534" t="s">
        <v>134</v>
      </c>
      <c r="H33" s="534" t="s">
        <v>328</v>
      </c>
      <c r="I33" s="101">
        <v>48</v>
      </c>
    </row>
    <row r="34" spans="1:9" ht="16.8">
      <c r="A34" s="468" t="s">
        <v>314</v>
      </c>
      <c r="B34" s="255">
        <v>2</v>
      </c>
      <c r="C34" s="256" t="s">
        <v>108</v>
      </c>
      <c r="D34" s="257" t="s">
        <v>100</v>
      </c>
      <c r="E34" s="379" t="s">
        <v>101</v>
      </c>
      <c r="F34" s="258" t="s">
        <v>329</v>
      </c>
      <c r="G34" s="258" t="s">
        <v>17</v>
      </c>
      <c r="H34" s="258" t="s">
        <v>330</v>
      </c>
      <c r="I34" s="136">
        <v>81</v>
      </c>
    </row>
    <row r="35" spans="1:9" ht="16.8">
      <c r="A35" s="468" t="s">
        <v>231</v>
      </c>
      <c r="B35" s="255">
        <v>2</v>
      </c>
      <c r="C35" s="256" t="s">
        <v>218</v>
      </c>
      <c r="D35" s="257" t="s">
        <v>117</v>
      </c>
      <c r="E35" s="379" t="s">
        <v>101</v>
      </c>
      <c r="F35" s="258" t="s">
        <v>105</v>
      </c>
      <c r="G35" s="258" t="s">
        <v>106</v>
      </c>
      <c r="H35" s="258" t="s">
        <v>262</v>
      </c>
      <c r="I35" s="136">
        <v>207</v>
      </c>
    </row>
    <row r="36" spans="1:9" ht="16.8">
      <c r="A36" s="468" t="s">
        <v>315</v>
      </c>
      <c r="B36" s="255">
        <v>2</v>
      </c>
      <c r="C36" s="256" t="s">
        <v>99</v>
      </c>
      <c r="D36" s="257" t="s">
        <v>100</v>
      </c>
      <c r="E36" s="258" t="s">
        <v>101</v>
      </c>
      <c r="F36" s="258" t="s">
        <v>105</v>
      </c>
      <c r="G36" s="258" t="s">
        <v>106</v>
      </c>
      <c r="H36" s="258" t="s">
        <v>327</v>
      </c>
      <c r="I36" s="136">
        <v>93</v>
      </c>
    </row>
    <row r="37" spans="1:9" ht="16.8">
      <c r="A37" s="468" t="s">
        <v>316</v>
      </c>
      <c r="B37" s="255">
        <v>2</v>
      </c>
      <c r="C37" s="539" t="s">
        <v>116</v>
      </c>
      <c r="D37" s="540" t="s">
        <v>100</v>
      </c>
      <c r="E37" s="541" t="s">
        <v>101</v>
      </c>
      <c r="F37" s="541" t="s">
        <v>329</v>
      </c>
      <c r="G37" s="541" t="s">
        <v>111</v>
      </c>
      <c r="H37" s="541" t="s">
        <v>265</v>
      </c>
      <c r="I37" s="542">
        <v>47</v>
      </c>
    </row>
    <row r="38" spans="1:9" ht="16.8">
      <c r="A38" s="468" t="s">
        <v>131</v>
      </c>
      <c r="B38" s="255">
        <v>2</v>
      </c>
      <c r="C38" s="256" t="s">
        <v>99</v>
      </c>
      <c r="D38" s="257" t="s">
        <v>100</v>
      </c>
      <c r="E38" s="469" t="s">
        <v>101</v>
      </c>
      <c r="F38" s="258" t="s">
        <v>114</v>
      </c>
      <c r="G38" s="258" t="s">
        <v>111</v>
      </c>
      <c r="H38" s="258" t="s">
        <v>264</v>
      </c>
      <c r="I38" s="136">
        <v>118</v>
      </c>
    </row>
    <row r="39" spans="1:9" ht="16.8">
      <c r="A39" s="468" t="s">
        <v>317</v>
      </c>
      <c r="B39" s="255">
        <v>2</v>
      </c>
      <c r="C39" s="256" t="s">
        <v>218</v>
      </c>
      <c r="D39" s="257" t="s">
        <v>100</v>
      </c>
      <c r="E39" s="379" t="s">
        <v>101</v>
      </c>
      <c r="F39" s="258" t="s">
        <v>105</v>
      </c>
      <c r="G39" s="541" t="s">
        <v>134</v>
      </c>
      <c r="H39" s="541" t="s">
        <v>330</v>
      </c>
      <c r="I39" s="136">
        <v>84</v>
      </c>
    </row>
    <row r="40" spans="1:9" ht="16.8">
      <c r="A40" s="468" t="s">
        <v>286</v>
      </c>
      <c r="B40" s="255">
        <v>2</v>
      </c>
      <c r="C40" s="256" t="s">
        <v>99</v>
      </c>
      <c r="D40" s="257" t="s">
        <v>119</v>
      </c>
      <c r="E40" s="379" t="s">
        <v>101</v>
      </c>
      <c r="F40" s="258" t="s">
        <v>105</v>
      </c>
      <c r="G40" s="258" t="s">
        <v>303</v>
      </c>
      <c r="H40" s="258" t="s">
        <v>262</v>
      </c>
      <c r="I40" s="136">
        <v>217</v>
      </c>
    </row>
    <row r="41" spans="1:9" ht="16.8">
      <c r="A41" s="468" t="s">
        <v>318</v>
      </c>
      <c r="B41" s="255">
        <v>2</v>
      </c>
      <c r="C41" s="256" t="s">
        <v>108</v>
      </c>
      <c r="D41" s="257" t="s">
        <v>119</v>
      </c>
      <c r="E41" s="379" t="s">
        <v>101</v>
      </c>
      <c r="F41" s="258" t="s">
        <v>114</v>
      </c>
      <c r="G41" s="258" t="s">
        <v>303</v>
      </c>
      <c r="H41" s="541" t="s">
        <v>324</v>
      </c>
      <c r="I41" s="136">
        <v>146</v>
      </c>
    </row>
    <row r="42" spans="1:9" ht="16.8">
      <c r="A42" s="468" t="s">
        <v>132</v>
      </c>
      <c r="B42" s="255">
        <v>2</v>
      </c>
      <c r="C42" s="256" t="s">
        <v>218</v>
      </c>
      <c r="D42" s="257" t="s">
        <v>100</v>
      </c>
      <c r="E42" s="469" t="s">
        <v>101</v>
      </c>
      <c r="F42" s="258" t="s">
        <v>114</v>
      </c>
      <c r="G42" s="258" t="s">
        <v>111</v>
      </c>
      <c r="H42" s="258" t="s">
        <v>264</v>
      </c>
      <c r="I42" s="136">
        <v>119</v>
      </c>
    </row>
    <row r="43" spans="1:9" ht="16.8">
      <c r="A43" s="468" t="s">
        <v>287</v>
      </c>
      <c r="B43" s="255">
        <v>2</v>
      </c>
      <c r="C43" s="256" t="s">
        <v>218</v>
      </c>
      <c r="D43" s="257" t="s">
        <v>117</v>
      </c>
      <c r="E43" s="379" t="s">
        <v>101</v>
      </c>
      <c r="F43" s="258" t="s">
        <v>105</v>
      </c>
      <c r="G43" s="258" t="s">
        <v>106</v>
      </c>
      <c r="H43" s="258" t="s">
        <v>262</v>
      </c>
      <c r="I43" s="136">
        <v>225</v>
      </c>
    </row>
    <row r="44" spans="1:9" ht="16.8">
      <c r="A44" s="468" t="s">
        <v>319</v>
      </c>
      <c r="B44" s="255">
        <v>2</v>
      </c>
      <c r="C44" s="256" t="s">
        <v>99</v>
      </c>
      <c r="D44" s="257" t="s">
        <v>113</v>
      </c>
      <c r="E44" s="258" t="s">
        <v>141</v>
      </c>
      <c r="F44" s="258" t="s">
        <v>225</v>
      </c>
      <c r="G44" s="258" t="s">
        <v>103</v>
      </c>
      <c r="H44" s="258" t="s">
        <v>327</v>
      </c>
      <c r="I44" s="136">
        <v>99</v>
      </c>
    </row>
    <row r="45" spans="1:9" ht="16.8">
      <c r="A45" s="468" t="s">
        <v>133</v>
      </c>
      <c r="B45" s="255">
        <v>2</v>
      </c>
      <c r="C45" s="256" t="s">
        <v>218</v>
      </c>
      <c r="D45" s="257" t="s">
        <v>100</v>
      </c>
      <c r="E45" s="469" t="s">
        <v>101</v>
      </c>
      <c r="F45" s="258" t="s">
        <v>114</v>
      </c>
      <c r="G45" s="258" t="s">
        <v>134</v>
      </c>
      <c r="H45" s="258" t="s">
        <v>264</v>
      </c>
      <c r="I45" s="136">
        <v>125</v>
      </c>
    </row>
    <row r="46" spans="1:9" ht="16.8">
      <c r="A46" s="468" t="s">
        <v>320</v>
      </c>
      <c r="B46" s="255">
        <v>2</v>
      </c>
      <c r="C46" s="256" t="s">
        <v>116</v>
      </c>
      <c r="D46" s="257" t="s">
        <v>100</v>
      </c>
      <c r="E46" s="258" t="s">
        <v>101</v>
      </c>
      <c r="F46" s="258" t="s">
        <v>105</v>
      </c>
      <c r="G46" s="258" t="s">
        <v>103</v>
      </c>
      <c r="H46" s="258" t="s">
        <v>327</v>
      </c>
      <c r="I46" s="136">
        <v>103</v>
      </c>
    </row>
    <row r="47" spans="1:9" ht="16.8">
      <c r="A47" s="468" t="s">
        <v>288</v>
      </c>
      <c r="B47" s="255">
        <v>2</v>
      </c>
      <c r="C47" s="256" t="s">
        <v>218</v>
      </c>
      <c r="D47" s="257" t="s">
        <v>117</v>
      </c>
      <c r="E47" s="379" t="s">
        <v>101</v>
      </c>
      <c r="F47" s="258" t="s">
        <v>105</v>
      </c>
      <c r="G47" s="258" t="s">
        <v>106</v>
      </c>
      <c r="H47" s="258" t="s">
        <v>262</v>
      </c>
      <c r="I47" s="136">
        <v>259</v>
      </c>
    </row>
    <row r="48" spans="1:9" ht="16.8">
      <c r="A48" s="468" t="s">
        <v>289</v>
      </c>
      <c r="B48" s="255">
        <v>2</v>
      </c>
      <c r="C48" s="256" t="s">
        <v>99</v>
      </c>
      <c r="D48" s="257" t="s">
        <v>100</v>
      </c>
      <c r="E48" s="379" t="s">
        <v>101</v>
      </c>
      <c r="F48" s="258" t="s">
        <v>102</v>
      </c>
      <c r="G48" s="258" t="s">
        <v>103</v>
      </c>
      <c r="H48" s="258" t="s">
        <v>262</v>
      </c>
      <c r="I48" s="136">
        <v>271</v>
      </c>
    </row>
    <row r="49" spans="1:9" ht="16.8">
      <c r="A49" s="468" t="s">
        <v>290</v>
      </c>
      <c r="B49" s="255">
        <v>2</v>
      </c>
      <c r="C49" s="256" t="s">
        <v>116</v>
      </c>
      <c r="D49" s="257" t="s">
        <v>119</v>
      </c>
      <c r="E49" s="379" t="s">
        <v>101</v>
      </c>
      <c r="F49" s="258" t="s">
        <v>105</v>
      </c>
      <c r="G49" s="258" t="s">
        <v>111</v>
      </c>
      <c r="H49" s="258" t="s">
        <v>262</v>
      </c>
      <c r="I49" s="136">
        <v>272</v>
      </c>
    </row>
    <row r="50" spans="1:9" ht="16.8">
      <c r="A50" s="468" t="s">
        <v>339</v>
      </c>
      <c r="B50" s="255">
        <v>2</v>
      </c>
      <c r="C50" s="256" t="s">
        <v>116</v>
      </c>
      <c r="D50" s="257" t="s">
        <v>340</v>
      </c>
      <c r="E50" s="379" t="s">
        <v>101</v>
      </c>
      <c r="F50" s="258" t="s">
        <v>105</v>
      </c>
      <c r="G50" s="258" t="s">
        <v>106</v>
      </c>
      <c r="H50" s="258" t="s">
        <v>341</v>
      </c>
      <c r="I50" s="136">
        <v>115</v>
      </c>
    </row>
    <row r="51" spans="1:9" ht="16.8">
      <c r="A51" s="468" t="s">
        <v>291</v>
      </c>
      <c r="B51" s="255">
        <v>2</v>
      </c>
      <c r="C51" s="256" t="s">
        <v>116</v>
      </c>
      <c r="D51" s="257" t="s">
        <v>113</v>
      </c>
      <c r="E51" s="379" t="s">
        <v>101</v>
      </c>
      <c r="F51" s="258" t="s">
        <v>102</v>
      </c>
      <c r="G51" s="258" t="s">
        <v>303</v>
      </c>
      <c r="H51" s="258" t="s">
        <v>262</v>
      </c>
      <c r="I51" s="136">
        <v>278</v>
      </c>
    </row>
    <row r="52" spans="1:9" ht="16.8">
      <c r="A52" s="468" t="s">
        <v>344</v>
      </c>
      <c r="B52" s="255">
        <v>2</v>
      </c>
      <c r="C52" s="256" t="s">
        <v>218</v>
      </c>
      <c r="D52" s="257" t="s">
        <v>100</v>
      </c>
      <c r="E52" s="379" t="s">
        <v>101</v>
      </c>
      <c r="F52" s="258" t="s">
        <v>114</v>
      </c>
      <c r="G52" s="258" t="s">
        <v>345</v>
      </c>
      <c r="H52" s="258" t="s">
        <v>346</v>
      </c>
      <c r="I52" s="136">
        <v>73</v>
      </c>
    </row>
    <row r="53" spans="1:9" ht="16.8">
      <c r="A53" s="468" t="s">
        <v>136</v>
      </c>
      <c r="B53" s="255">
        <v>2</v>
      </c>
      <c r="C53" s="256" t="s">
        <v>99</v>
      </c>
      <c r="D53" s="257" t="s">
        <v>100</v>
      </c>
      <c r="E53" s="469" t="s">
        <v>101</v>
      </c>
      <c r="F53" s="258" t="s">
        <v>114</v>
      </c>
      <c r="G53" s="258" t="s">
        <v>109</v>
      </c>
      <c r="H53" s="258" t="s">
        <v>264</v>
      </c>
      <c r="I53" s="136">
        <v>129</v>
      </c>
    </row>
    <row r="54" spans="1:9" ht="16.8">
      <c r="A54" s="468" t="s">
        <v>137</v>
      </c>
      <c r="B54" s="255">
        <v>2</v>
      </c>
      <c r="C54" s="256" t="s">
        <v>219</v>
      </c>
      <c r="D54" s="257" t="s">
        <v>119</v>
      </c>
      <c r="E54" s="469" t="s">
        <v>101</v>
      </c>
      <c r="F54" s="258" t="s">
        <v>114</v>
      </c>
      <c r="G54" s="258" t="s">
        <v>138</v>
      </c>
      <c r="H54" s="258" t="s">
        <v>264</v>
      </c>
      <c r="I54" s="136">
        <v>129</v>
      </c>
    </row>
    <row r="55" spans="1:9" ht="16.8">
      <c r="A55" s="468" t="s">
        <v>292</v>
      </c>
      <c r="B55" s="255">
        <v>2</v>
      </c>
      <c r="C55" s="256" t="s">
        <v>116</v>
      </c>
      <c r="D55" s="257" t="s">
        <v>100</v>
      </c>
      <c r="E55" s="379" t="s">
        <v>101</v>
      </c>
      <c r="F55" s="258" t="s">
        <v>102</v>
      </c>
      <c r="G55" s="258" t="s">
        <v>126</v>
      </c>
      <c r="H55" s="258" t="s">
        <v>262</v>
      </c>
      <c r="I55" s="136">
        <v>297</v>
      </c>
    </row>
    <row r="56" spans="1:9" ht="16.8">
      <c r="A56" s="468" t="s">
        <v>333</v>
      </c>
      <c r="B56" s="255">
        <v>2</v>
      </c>
      <c r="C56" s="256" t="s">
        <v>116</v>
      </c>
      <c r="D56" s="257" t="s">
        <v>100</v>
      </c>
      <c r="E56" s="379" t="s">
        <v>101</v>
      </c>
      <c r="F56" s="258" t="s">
        <v>114</v>
      </c>
      <c r="G56" s="258" t="s">
        <v>134</v>
      </c>
      <c r="H56" s="258" t="s">
        <v>330</v>
      </c>
      <c r="I56" s="136">
        <v>92</v>
      </c>
    </row>
    <row r="57" spans="1:9" ht="16.8">
      <c r="A57" s="265" t="s">
        <v>293</v>
      </c>
      <c r="B57" s="260">
        <v>2</v>
      </c>
      <c r="C57" s="261" t="s">
        <v>219</v>
      </c>
      <c r="D57" s="262" t="s">
        <v>119</v>
      </c>
      <c r="E57" s="263" t="s">
        <v>101</v>
      </c>
      <c r="F57" s="263" t="s">
        <v>102</v>
      </c>
      <c r="G57" s="263" t="s">
        <v>106</v>
      </c>
      <c r="H57" s="263" t="s">
        <v>262</v>
      </c>
      <c r="I57" s="537">
        <v>303</v>
      </c>
    </row>
    <row r="58" spans="1:9" ht="16.8">
      <c r="A58" s="468" t="s">
        <v>321</v>
      </c>
      <c r="B58" s="255">
        <v>3</v>
      </c>
      <c r="C58" s="256" t="s">
        <v>108</v>
      </c>
      <c r="D58" s="257" t="s">
        <v>100</v>
      </c>
      <c r="E58" s="379" t="s">
        <v>101</v>
      </c>
      <c r="F58" s="258" t="s">
        <v>114</v>
      </c>
      <c r="G58" s="258" t="s">
        <v>106</v>
      </c>
      <c r="H58" s="258" t="s">
        <v>327</v>
      </c>
      <c r="I58" s="136">
        <v>92</v>
      </c>
    </row>
    <row r="59" spans="1:9" ht="16.8">
      <c r="A59" s="468" t="s">
        <v>295</v>
      </c>
      <c r="B59" s="255">
        <v>3</v>
      </c>
      <c r="C59" s="256" t="s">
        <v>104</v>
      </c>
      <c r="D59" s="257" t="s">
        <v>100</v>
      </c>
      <c r="E59" s="379" t="s">
        <v>101</v>
      </c>
      <c r="F59" s="258" t="s">
        <v>105</v>
      </c>
      <c r="G59" s="258" t="s">
        <v>103</v>
      </c>
      <c r="H59" s="258" t="s">
        <v>262</v>
      </c>
      <c r="I59" s="136">
        <v>216</v>
      </c>
    </row>
    <row r="60" spans="1:9" ht="16.8">
      <c r="A60" s="468" t="s">
        <v>296</v>
      </c>
      <c r="B60" s="255">
        <v>3</v>
      </c>
      <c r="C60" s="256" t="s">
        <v>110</v>
      </c>
      <c r="D60" s="257" t="s">
        <v>100</v>
      </c>
      <c r="E60" s="379" t="s">
        <v>101</v>
      </c>
      <c r="F60" s="258" t="s">
        <v>105</v>
      </c>
      <c r="G60" s="258" t="s">
        <v>111</v>
      </c>
      <c r="H60" s="258" t="s">
        <v>262</v>
      </c>
      <c r="I60" s="136">
        <v>216</v>
      </c>
    </row>
    <row r="61" spans="1:9" ht="16.8">
      <c r="A61" s="468" t="s">
        <v>322</v>
      </c>
      <c r="B61" s="255">
        <v>3</v>
      </c>
      <c r="C61" s="256" t="s">
        <v>218</v>
      </c>
      <c r="D61" s="257" t="s">
        <v>119</v>
      </c>
      <c r="E61" s="379" t="s">
        <v>101</v>
      </c>
      <c r="F61" s="258" t="s">
        <v>105</v>
      </c>
      <c r="G61" s="258" t="s">
        <v>134</v>
      </c>
      <c r="H61" s="258" t="s">
        <v>264</v>
      </c>
      <c r="I61" s="136">
        <v>119</v>
      </c>
    </row>
    <row r="62" spans="1:9" ht="16.8">
      <c r="A62" s="468" t="s">
        <v>297</v>
      </c>
      <c r="B62" s="255">
        <v>3</v>
      </c>
      <c r="C62" s="256" t="s">
        <v>108</v>
      </c>
      <c r="D62" s="257" t="s">
        <v>119</v>
      </c>
      <c r="E62" s="379" t="s">
        <v>101</v>
      </c>
      <c r="F62" s="258" t="s">
        <v>102</v>
      </c>
      <c r="G62" s="258" t="s">
        <v>134</v>
      </c>
      <c r="H62" s="258" t="s">
        <v>262</v>
      </c>
      <c r="I62" s="136">
        <v>221</v>
      </c>
    </row>
    <row r="63" spans="1:9" ht="16.8">
      <c r="A63" s="468" t="s">
        <v>298</v>
      </c>
      <c r="B63" s="255">
        <v>3</v>
      </c>
      <c r="C63" s="256" t="s">
        <v>116</v>
      </c>
      <c r="D63" s="257" t="s">
        <v>100</v>
      </c>
      <c r="E63" s="379" t="s">
        <v>101</v>
      </c>
      <c r="F63" s="258" t="s">
        <v>304</v>
      </c>
      <c r="G63" s="258" t="s">
        <v>103</v>
      </c>
      <c r="H63" s="258" t="s">
        <v>262</v>
      </c>
      <c r="I63" s="136">
        <v>223</v>
      </c>
    </row>
    <row r="64" spans="1:9" ht="16.8">
      <c r="A64" s="468" t="s">
        <v>342</v>
      </c>
      <c r="B64" s="255">
        <v>3</v>
      </c>
      <c r="C64" s="256" t="s">
        <v>218</v>
      </c>
      <c r="D64" s="533" t="s">
        <v>121</v>
      </c>
      <c r="E64" s="379" t="s">
        <v>101</v>
      </c>
      <c r="F64" s="258" t="s">
        <v>105</v>
      </c>
      <c r="G64" s="258" t="s">
        <v>134</v>
      </c>
      <c r="H64" s="258" t="s">
        <v>341</v>
      </c>
      <c r="I64" s="136">
        <v>113</v>
      </c>
    </row>
    <row r="65" spans="1:9" ht="16.8">
      <c r="A65" s="468" t="s">
        <v>343</v>
      </c>
      <c r="B65" s="255">
        <v>3</v>
      </c>
      <c r="C65" s="256" t="s">
        <v>108</v>
      </c>
      <c r="D65" s="257" t="s">
        <v>340</v>
      </c>
      <c r="E65" s="379" t="s">
        <v>101</v>
      </c>
      <c r="F65" s="258" t="s">
        <v>114</v>
      </c>
      <c r="G65" s="258" t="s">
        <v>134</v>
      </c>
      <c r="H65" s="258" t="s">
        <v>341</v>
      </c>
      <c r="I65" s="136">
        <v>113</v>
      </c>
    </row>
    <row r="66" spans="1:9" ht="16.8">
      <c r="A66" s="468" t="s">
        <v>299</v>
      </c>
      <c r="B66" s="255">
        <v>3</v>
      </c>
      <c r="C66" s="256" t="s">
        <v>99</v>
      </c>
      <c r="D66" s="257" t="s">
        <v>100</v>
      </c>
      <c r="E66" s="379" t="s">
        <v>101</v>
      </c>
      <c r="F66" s="258" t="s">
        <v>105</v>
      </c>
      <c r="G66" s="258" t="s">
        <v>103</v>
      </c>
      <c r="H66" s="258" t="s">
        <v>262</v>
      </c>
      <c r="I66" s="136">
        <v>239</v>
      </c>
    </row>
    <row r="67" spans="1:9" ht="16.8">
      <c r="A67" s="468" t="s">
        <v>323</v>
      </c>
      <c r="B67" s="255">
        <v>3</v>
      </c>
      <c r="C67" s="256" t="s">
        <v>110</v>
      </c>
      <c r="D67" s="257" t="s">
        <v>331</v>
      </c>
      <c r="E67" s="379" t="s">
        <v>101</v>
      </c>
      <c r="F67" s="258" t="s">
        <v>196</v>
      </c>
      <c r="G67" s="258" t="s">
        <v>103</v>
      </c>
      <c r="H67" s="258" t="s">
        <v>332</v>
      </c>
      <c r="I67" s="136">
        <v>212</v>
      </c>
    </row>
    <row r="68" spans="1:9" ht="16.8">
      <c r="A68" s="468" t="s">
        <v>294</v>
      </c>
      <c r="B68" s="255">
        <v>3</v>
      </c>
      <c r="C68" s="256" t="s">
        <v>116</v>
      </c>
      <c r="D68" s="257" t="s">
        <v>305</v>
      </c>
      <c r="E68" s="379" t="s">
        <v>101</v>
      </c>
      <c r="F68" s="258" t="s">
        <v>306</v>
      </c>
      <c r="G68" s="258" t="s">
        <v>111</v>
      </c>
      <c r="H68" s="258" t="s">
        <v>262</v>
      </c>
      <c r="I68" s="136">
        <v>250</v>
      </c>
    </row>
    <row r="69" spans="1:9" ht="16.8">
      <c r="A69" s="468" t="s">
        <v>280</v>
      </c>
      <c r="B69" s="255">
        <v>3</v>
      </c>
      <c r="C69" s="256" t="s">
        <v>116</v>
      </c>
      <c r="D69" s="257" t="s">
        <v>305</v>
      </c>
      <c r="E69" s="379" t="s">
        <v>101</v>
      </c>
      <c r="F69" s="258" t="s">
        <v>306</v>
      </c>
      <c r="G69" s="258" t="s">
        <v>111</v>
      </c>
      <c r="H69" s="258" t="s">
        <v>262</v>
      </c>
      <c r="I69" s="136">
        <v>250</v>
      </c>
    </row>
    <row r="70" spans="1:9" ht="16.8">
      <c r="A70" s="468" t="s">
        <v>300</v>
      </c>
      <c r="B70" s="255">
        <v>3</v>
      </c>
      <c r="C70" s="532" t="s">
        <v>218</v>
      </c>
      <c r="D70" s="533" t="s">
        <v>128</v>
      </c>
      <c r="E70" s="534" t="s">
        <v>101</v>
      </c>
      <c r="F70" s="534" t="s">
        <v>102</v>
      </c>
      <c r="G70" s="534" t="s">
        <v>303</v>
      </c>
      <c r="H70" s="258" t="s">
        <v>262</v>
      </c>
      <c r="I70" s="535">
        <v>251</v>
      </c>
    </row>
    <row r="71" spans="1:9" ht="16.8">
      <c r="A71" s="468" t="s">
        <v>335</v>
      </c>
      <c r="B71" s="255">
        <v>3</v>
      </c>
      <c r="C71" s="532" t="s">
        <v>108</v>
      </c>
      <c r="D71" s="533" t="s">
        <v>119</v>
      </c>
      <c r="E71" s="534" t="s">
        <v>101</v>
      </c>
      <c r="F71" s="534" t="s">
        <v>102</v>
      </c>
      <c r="G71" s="534" t="s">
        <v>134</v>
      </c>
      <c r="H71" s="258" t="s">
        <v>327</v>
      </c>
      <c r="I71" s="535">
        <v>102</v>
      </c>
    </row>
    <row r="72" spans="1:9" ht="16.8">
      <c r="A72" s="468" t="s">
        <v>301</v>
      </c>
      <c r="B72" s="255">
        <v>3</v>
      </c>
      <c r="C72" s="256" t="s">
        <v>99</v>
      </c>
      <c r="D72" s="257" t="s">
        <v>119</v>
      </c>
      <c r="E72" s="379" t="s">
        <v>101</v>
      </c>
      <c r="F72" s="258" t="s">
        <v>196</v>
      </c>
      <c r="G72" s="258" t="s">
        <v>134</v>
      </c>
      <c r="H72" s="258" t="s">
        <v>262</v>
      </c>
      <c r="I72" s="259">
        <v>263</v>
      </c>
    </row>
    <row r="73" spans="1:9" ht="16.8">
      <c r="A73" s="468" t="s">
        <v>302</v>
      </c>
      <c r="B73" s="255">
        <v>3</v>
      </c>
      <c r="C73" s="256" t="s">
        <v>99</v>
      </c>
      <c r="D73" s="257" t="s">
        <v>100</v>
      </c>
      <c r="E73" s="379" t="s">
        <v>101</v>
      </c>
      <c r="F73" s="258" t="s">
        <v>105</v>
      </c>
      <c r="G73" s="258" t="s">
        <v>103</v>
      </c>
      <c r="H73" s="258" t="s">
        <v>262</v>
      </c>
      <c r="I73" s="136">
        <v>270</v>
      </c>
    </row>
    <row r="74" spans="1:9" ht="16.8">
      <c r="A74" s="468" t="s">
        <v>281</v>
      </c>
      <c r="B74" s="255">
        <v>3</v>
      </c>
      <c r="C74" s="256" t="s">
        <v>116</v>
      </c>
      <c r="D74" s="257" t="s">
        <v>100</v>
      </c>
      <c r="E74" s="379" t="s">
        <v>101</v>
      </c>
      <c r="F74" s="258" t="s">
        <v>105</v>
      </c>
      <c r="G74" s="258" t="s">
        <v>103</v>
      </c>
      <c r="H74" s="258" t="s">
        <v>262</v>
      </c>
      <c r="I74" s="136">
        <v>270</v>
      </c>
    </row>
    <row r="75" spans="1:9" ht="16.8">
      <c r="A75" s="468" t="s">
        <v>350</v>
      </c>
      <c r="B75" s="255">
        <v>3</v>
      </c>
      <c r="C75" s="256" t="s">
        <v>116</v>
      </c>
      <c r="D75" s="257" t="s">
        <v>119</v>
      </c>
      <c r="E75" s="379" t="s">
        <v>101</v>
      </c>
      <c r="F75" s="534" t="s">
        <v>105</v>
      </c>
      <c r="G75" s="258" t="s">
        <v>111</v>
      </c>
      <c r="H75" s="258" t="s">
        <v>351</v>
      </c>
      <c r="I75" s="136">
        <v>132</v>
      </c>
    </row>
    <row r="76" spans="1:9" ht="16.8">
      <c r="A76" s="468" t="s">
        <v>259</v>
      </c>
      <c r="B76" s="255">
        <v>3</v>
      </c>
      <c r="C76" s="256" t="s">
        <v>218</v>
      </c>
      <c r="D76" s="257" t="s">
        <v>119</v>
      </c>
      <c r="E76" s="469" t="s">
        <v>101</v>
      </c>
      <c r="F76" s="258" t="s">
        <v>114</v>
      </c>
      <c r="G76" s="258" t="s">
        <v>106</v>
      </c>
      <c r="H76" s="258" t="s">
        <v>265</v>
      </c>
      <c r="I76" s="136">
        <v>177</v>
      </c>
    </row>
    <row r="77" spans="1:9" ht="16.8">
      <c r="A77" s="468" t="s">
        <v>386</v>
      </c>
      <c r="B77" s="255">
        <v>3</v>
      </c>
      <c r="C77" s="256" t="s">
        <v>99</v>
      </c>
      <c r="D77" s="257" t="s">
        <v>100</v>
      </c>
      <c r="E77" s="258" t="s">
        <v>101</v>
      </c>
      <c r="F77" s="258" t="s">
        <v>114</v>
      </c>
      <c r="G77" s="258" t="s">
        <v>111</v>
      </c>
      <c r="H77" s="258" t="s">
        <v>327</v>
      </c>
      <c r="I77" s="136">
        <v>107</v>
      </c>
    </row>
    <row r="78" spans="1:9" ht="17.399999999999999" thickBot="1">
      <c r="A78" s="470" t="s">
        <v>139</v>
      </c>
      <c r="B78" s="463">
        <v>3</v>
      </c>
      <c r="C78" s="464" t="s">
        <v>218</v>
      </c>
      <c r="D78" s="465" t="s">
        <v>100</v>
      </c>
      <c r="E78" s="471" t="s">
        <v>101</v>
      </c>
      <c r="F78" s="466" t="s">
        <v>105</v>
      </c>
      <c r="G78" s="466" t="s">
        <v>106</v>
      </c>
      <c r="H78" s="466" t="s">
        <v>264</v>
      </c>
      <c r="I78" s="467">
        <v>129</v>
      </c>
    </row>
    <row r="79" spans="1:9" ht="16.2" thickTop="1"/>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workbookViewId="0"/>
  </sheetViews>
  <sheetFormatPr defaultColWidth="13" defaultRowHeight="15.6"/>
  <cols>
    <col min="1" max="1" width="19.5" style="87" bestFit="1" customWidth="1"/>
    <col min="2" max="2" width="6.19921875" style="87" bestFit="1" customWidth="1"/>
    <col min="3" max="3" width="4.09765625" style="87" bestFit="1" customWidth="1"/>
    <col min="4" max="4" width="6.296875" style="86" bestFit="1" customWidth="1"/>
    <col min="5" max="5" width="1.8984375" style="86" customWidth="1"/>
    <col min="6" max="6" width="18.59765625" style="86" bestFit="1" customWidth="1"/>
    <col min="7" max="7" width="3.5" style="86" bestFit="1" customWidth="1"/>
    <col min="8" max="8" width="3.8984375" style="86" bestFit="1" customWidth="1"/>
    <col min="9" max="9" width="3.59765625" style="86" bestFit="1" customWidth="1"/>
    <col min="10" max="10" width="3.5" style="86" bestFit="1" customWidth="1"/>
    <col min="11" max="16384" width="13" style="76"/>
  </cols>
  <sheetData>
    <row r="1" spans="1:10" ht="24" thickTop="1" thickBot="1">
      <c r="A1" s="73" t="s">
        <v>89</v>
      </c>
      <c r="B1" s="74"/>
      <c r="C1" s="74"/>
      <c r="D1" s="75"/>
      <c r="E1" s="76"/>
      <c r="F1" s="82"/>
      <c r="G1" s="350" t="s">
        <v>212</v>
      </c>
      <c r="H1" s="351"/>
      <c r="I1" s="351"/>
      <c r="J1" s="352"/>
    </row>
    <row r="2" spans="1:10" ht="18" thickTop="1" thickBot="1">
      <c r="A2" s="77" t="s">
        <v>71</v>
      </c>
      <c r="B2" s="78" t="s">
        <v>4</v>
      </c>
      <c r="C2" s="78" t="s">
        <v>92</v>
      </c>
      <c r="D2" s="79" t="s">
        <v>72</v>
      </c>
      <c r="E2" s="80"/>
      <c r="F2" s="82"/>
      <c r="G2" s="353" t="s">
        <v>207</v>
      </c>
      <c r="H2" s="354" t="s">
        <v>208</v>
      </c>
      <c r="I2" s="354" t="s">
        <v>209</v>
      </c>
      <c r="J2" s="355" t="s">
        <v>210</v>
      </c>
    </row>
    <row r="3" spans="1:10" ht="17.399999999999999" thickTop="1">
      <c r="A3" s="357" t="s">
        <v>123</v>
      </c>
      <c r="B3" s="358">
        <v>1</v>
      </c>
      <c r="C3" s="373">
        <f>SUM(10+B3+'Personal File'!$C$13)</f>
        <v>14</v>
      </c>
      <c r="D3" s="359" t="s">
        <v>363</v>
      </c>
      <c r="E3" s="80"/>
      <c r="F3" s="345" t="s">
        <v>213</v>
      </c>
      <c r="G3" s="346">
        <v>1</v>
      </c>
      <c r="H3" s="363">
        <v>0</v>
      </c>
      <c r="I3" s="363">
        <v>0</v>
      </c>
      <c r="J3" s="365">
        <v>0</v>
      </c>
    </row>
    <row r="4" spans="1:10" ht="16.8">
      <c r="A4" s="561" t="s">
        <v>124</v>
      </c>
      <c r="B4" s="369">
        <v>1</v>
      </c>
      <c r="C4" s="374">
        <f>SUM(10+B4+'Personal File'!$C$13)</f>
        <v>14</v>
      </c>
      <c r="D4" s="370" t="s">
        <v>363</v>
      </c>
      <c r="E4" s="80"/>
      <c r="F4" s="347" t="s">
        <v>215</v>
      </c>
      <c r="G4" s="348">
        <v>1</v>
      </c>
      <c r="H4" s="364">
        <v>0</v>
      </c>
      <c r="I4" s="364">
        <v>0</v>
      </c>
      <c r="J4" s="366">
        <v>0</v>
      </c>
    </row>
    <row r="5" spans="1:10" ht="16.8">
      <c r="A5" s="561" t="s">
        <v>115</v>
      </c>
      <c r="B5" s="369">
        <v>1</v>
      </c>
      <c r="C5" s="374">
        <f>SUM(10+B5+'Personal File'!$C$13)</f>
        <v>14</v>
      </c>
      <c r="D5" s="370" t="s">
        <v>363</v>
      </c>
      <c r="E5" s="80"/>
      <c r="F5" s="347" t="s">
        <v>214</v>
      </c>
      <c r="G5" s="348">
        <v>2</v>
      </c>
      <c r="H5" s="361">
        <v>1</v>
      </c>
      <c r="I5" s="361">
        <v>1</v>
      </c>
      <c r="J5" s="563">
        <v>0</v>
      </c>
    </row>
    <row r="6" spans="1:10" ht="16.8">
      <c r="A6" s="368" t="s">
        <v>229</v>
      </c>
      <c r="B6" s="369">
        <v>1</v>
      </c>
      <c r="C6" s="374">
        <f>SUM(10+B6+'Personal File'!$C$13)</f>
        <v>14</v>
      </c>
      <c r="D6" s="370" t="s">
        <v>389</v>
      </c>
      <c r="E6" s="80"/>
      <c r="F6" s="347" t="s">
        <v>216</v>
      </c>
      <c r="G6" s="348">
        <v>1</v>
      </c>
      <c r="H6" s="518">
        <v>1</v>
      </c>
      <c r="I6" s="361">
        <v>0</v>
      </c>
      <c r="J6" s="563">
        <v>0</v>
      </c>
    </row>
    <row r="7" spans="1:10" ht="17.399999999999999" thickBot="1">
      <c r="A7" s="265" t="s">
        <v>229</v>
      </c>
      <c r="B7" s="102">
        <v>1</v>
      </c>
      <c r="C7" s="375">
        <f>SUM(10+B7+'Personal File'!$C$13)</f>
        <v>14</v>
      </c>
      <c r="D7" s="370" t="s">
        <v>363</v>
      </c>
      <c r="E7" s="80"/>
      <c r="F7" s="349" t="s">
        <v>211</v>
      </c>
      <c r="G7" s="356">
        <f t="shared" ref="G7" si="0">SUM(G3:G6)</f>
        <v>5</v>
      </c>
      <c r="H7" s="362">
        <f t="shared" ref="H7" si="1">SUM(H3:H6)</f>
        <v>2</v>
      </c>
      <c r="I7" s="362">
        <f t="shared" ref="I7:J7" si="2">SUM(I3:I6)</f>
        <v>1</v>
      </c>
      <c r="J7" s="367">
        <f t="shared" si="2"/>
        <v>0</v>
      </c>
    </row>
    <row r="8" spans="1:10" ht="17.399999999999999" thickTop="1">
      <c r="A8" s="357" t="s">
        <v>383</v>
      </c>
      <c r="B8" s="358">
        <v>2</v>
      </c>
      <c r="C8" s="373">
        <f>SUM(10+B8+'Personal File'!$C$13)</f>
        <v>15</v>
      </c>
      <c r="D8" s="359" t="s">
        <v>389</v>
      </c>
      <c r="E8" s="80"/>
      <c r="F8" s="80"/>
      <c r="G8" s="80"/>
      <c r="H8" s="80"/>
      <c r="I8" s="80"/>
      <c r="J8" s="80"/>
    </row>
    <row r="9" spans="1:10" ht="16.8">
      <c r="A9" s="265" t="s">
        <v>231</v>
      </c>
      <c r="B9" s="102">
        <v>2</v>
      </c>
      <c r="C9" s="375">
        <f>SUM(10+B9+'Personal File'!$C$13)</f>
        <v>15</v>
      </c>
      <c r="D9" s="83" t="s">
        <v>389</v>
      </c>
      <c r="E9" s="80"/>
      <c r="F9" s="87" t="s">
        <v>364</v>
      </c>
      <c r="G9" s="560">
        <f>0.5*SUM('Personal File'!E3:E4)</f>
        <v>7</v>
      </c>
      <c r="I9" s="80"/>
      <c r="J9" s="80"/>
    </row>
    <row r="10" spans="1:10" ht="17.399999999999999" thickBot="1">
      <c r="A10" s="487" t="s">
        <v>259</v>
      </c>
      <c r="B10" s="488">
        <v>3</v>
      </c>
      <c r="C10" s="489">
        <f>SUM(10+B10+'Personal File'!$C$13)</f>
        <v>16</v>
      </c>
      <c r="D10" s="490" t="s">
        <v>389</v>
      </c>
      <c r="E10" s="80"/>
      <c r="I10" s="80"/>
      <c r="J10" s="80"/>
    </row>
    <row r="11" spans="1:10" ht="16.8" thickTop="1" thickBot="1">
      <c r="E11" s="80"/>
      <c r="I11" s="80"/>
      <c r="J11" s="80"/>
    </row>
    <row r="12" spans="1:10" ht="24" thickTop="1" thickBot="1">
      <c r="A12" s="73" t="s">
        <v>258</v>
      </c>
      <c r="B12" s="74"/>
      <c r="C12" s="74"/>
      <c r="D12" s="75"/>
      <c r="E12" s="80"/>
      <c r="F12" s="421" t="s">
        <v>241</v>
      </c>
      <c r="G12" s="422"/>
      <c r="I12" s="80"/>
      <c r="J12" s="80"/>
    </row>
    <row r="13" spans="1:10" ht="17.399999999999999" thickTop="1">
      <c r="A13" s="77" t="s">
        <v>71</v>
      </c>
      <c r="B13" s="78" t="s">
        <v>4</v>
      </c>
      <c r="C13" s="78" t="s">
        <v>92</v>
      </c>
      <c r="D13" s="79" t="s">
        <v>72</v>
      </c>
      <c r="E13" s="80"/>
      <c r="F13" s="551" t="s">
        <v>242</v>
      </c>
      <c r="G13" s="424">
        <f>'Personal File'!E3+'Personal File'!E4-3</f>
        <v>11</v>
      </c>
      <c r="I13" s="80"/>
      <c r="J13" s="80"/>
    </row>
    <row r="14" spans="1:10" ht="16.8">
      <c r="A14" s="357" t="s">
        <v>123</v>
      </c>
      <c r="B14" s="358">
        <v>1</v>
      </c>
      <c r="C14" s="373">
        <f>SUM(10+B14+'Personal File'!$C$13)</f>
        <v>14</v>
      </c>
      <c r="D14" s="359" t="s">
        <v>363</v>
      </c>
      <c r="E14" s="80"/>
      <c r="F14" s="551" t="s">
        <v>243</v>
      </c>
      <c r="G14" s="423">
        <f>3+'Personal File'!$C$13</f>
        <v>6</v>
      </c>
      <c r="I14" s="80"/>
      <c r="J14" s="80"/>
    </row>
    <row r="15" spans="1:10" ht="16.8">
      <c r="A15" s="561" t="s">
        <v>123</v>
      </c>
      <c r="B15" s="369">
        <v>1</v>
      </c>
      <c r="C15" s="374">
        <f>SUM(10+B15+'Personal File'!$C$13)</f>
        <v>14</v>
      </c>
      <c r="D15" s="370" t="s">
        <v>363</v>
      </c>
      <c r="E15" s="80"/>
      <c r="F15" s="552" t="s">
        <v>244</v>
      </c>
      <c r="G15" s="425">
        <f ca="1">RANDBETWEEN(1,20)</f>
        <v>20</v>
      </c>
      <c r="I15" s="80"/>
      <c r="J15" s="80"/>
    </row>
    <row r="16" spans="1:10" ht="16.8">
      <c r="A16" s="561" t="s">
        <v>250</v>
      </c>
      <c r="B16" s="369">
        <v>1</v>
      </c>
      <c r="C16" s="374">
        <f>SUM(10+B16+'Personal File'!$C$13)</f>
        <v>14</v>
      </c>
      <c r="D16" s="370" t="s">
        <v>363</v>
      </c>
      <c r="E16" s="80"/>
      <c r="F16" s="553" t="s">
        <v>245</v>
      </c>
      <c r="G16" s="423">
        <f ca="1">G15+'Personal File'!$C$13+2</f>
        <v>25</v>
      </c>
      <c r="I16" s="80"/>
      <c r="J16" s="80"/>
    </row>
    <row r="17" spans="1:10" ht="16.8">
      <c r="A17" s="368" t="s">
        <v>229</v>
      </c>
      <c r="B17" s="369">
        <v>1</v>
      </c>
      <c r="C17" s="374">
        <f>SUM(10+B17+'Personal File'!$C$13)</f>
        <v>14</v>
      </c>
      <c r="D17" s="370" t="s">
        <v>363</v>
      </c>
      <c r="E17" s="80"/>
      <c r="F17" s="554" t="s">
        <v>246</v>
      </c>
      <c r="G17" s="426">
        <f ca="1">RANDBETWEEN(1,6)+RANDBETWEEN(1,6)</f>
        <v>8</v>
      </c>
      <c r="I17" s="80"/>
      <c r="J17" s="80"/>
    </row>
    <row r="18" spans="1:10" ht="16.8">
      <c r="A18" s="265" t="s">
        <v>229</v>
      </c>
      <c r="B18" s="102">
        <v>1</v>
      </c>
      <c r="C18" s="375">
        <f>SUM(10+B18+'Personal File'!$C$13)</f>
        <v>14</v>
      </c>
      <c r="D18" s="370" t="s">
        <v>363</v>
      </c>
      <c r="E18" s="80"/>
      <c r="F18" s="555" t="s">
        <v>373</v>
      </c>
      <c r="G18" s="423">
        <f ca="1">G13+G17+'Personal File'!C13</f>
        <v>22</v>
      </c>
      <c r="I18" s="80"/>
      <c r="J18" s="80"/>
    </row>
    <row r="19" spans="1:10" ht="17.399999999999999" thickBot="1">
      <c r="A19" s="357" t="s">
        <v>383</v>
      </c>
      <c r="B19" s="358">
        <v>2</v>
      </c>
      <c r="C19" s="373">
        <f>SUM(10+B19+'Personal File'!$C$13)</f>
        <v>15</v>
      </c>
      <c r="D19" s="359" t="s">
        <v>363</v>
      </c>
      <c r="F19" s="556" t="s">
        <v>247</v>
      </c>
      <c r="G19" s="427">
        <v>0</v>
      </c>
    </row>
    <row r="20" spans="1:10" ht="17.399999999999999" thickTop="1">
      <c r="A20" s="265" t="s">
        <v>231</v>
      </c>
      <c r="B20" s="102">
        <v>2</v>
      </c>
      <c r="C20" s="375">
        <f>SUM(10+B20+'Personal File'!$C$13)</f>
        <v>15</v>
      </c>
      <c r="D20" s="83" t="s">
        <v>363</v>
      </c>
    </row>
    <row r="21" spans="1:10" ht="17.399999999999999" thickBot="1">
      <c r="A21" s="487" t="s">
        <v>386</v>
      </c>
      <c r="B21" s="488">
        <v>3</v>
      </c>
      <c r="C21" s="489">
        <f>SUM(10+B21+'Personal File'!$C$13)</f>
        <v>16</v>
      </c>
      <c r="D21" s="490" t="s">
        <v>363</v>
      </c>
    </row>
    <row r="22" spans="1:10" ht="16.2" thickTop="1">
      <c r="A22" s="76"/>
      <c r="B22" s="76"/>
      <c r="C22" s="76"/>
      <c r="D22" s="76"/>
    </row>
  </sheetData>
  <sortState xmlns:xlrd2="http://schemas.microsoft.com/office/spreadsheetml/2017/richdata2" ref="A14:D21">
    <sortCondition ref="B14:B21"/>
    <sortCondition ref="A14:A21"/>
  </sortState>
  <phoneticPr fontId="0" type="noConversion"/>
  <conditionalFormatting sqref="D3 D6:D7">
    <cfRule type="cellIs" dxfId="43" priority="20" stopIfTrue="1" operator="equal">
      <formula>"þ"</formula>
    </cfRule>
  </conditionalFormatting>
  <conditionalFormatting sqref="D9">
    <cfRule type="cellIs" dxfId="42" priority="15" stopIfTrue="1" operator="equal">
      <formula>"þ"</formula>
    </cfRule>
  </conditionalFormatting>
  <conditionalFormatting sqref="D8">
    <cfRule type="cellIs" dxfId="41" priority="14" stopIfTrue="1" operator="equal">
      <formula>"þ"</formula>
    </cfRule>
  </conditionalFormatting>
  <conditionalFormatting sqref="D10">
    <cfRule type="cellIs" dxfId="40" priority="13" stopIfTrue="1" operator="equal">
      <formula>"þ"</formula>
    </cfRule>
  </conditionalFormatting>
  <conditionalFormatting sqref="D4">
    <cfRule type="cellIs" dxfId="39" priority="9" stopIfTrue="1" operator="equal">
      <formula>"þ"</formula>
    </cfRule>
  </conditionalFormatting>
  <conditionalFormatting sqref="D5">
    <cfRule type="cellIs" dxfId="38" priority="8" stopIfTrue="1" operator="equal">
      <formula>"þ"</formula>
    </cfRule>
  </conditionalFormatting>
  <conditionalFormatting sqref="D14 D17:D18">
    <cfRule type="cellIs" dxfId="37" priority="6" stopIfTrue="1" operator="equal">
      <formula>"þ"</formula>
    </cfRule>
  </conditionalFormatting>
  <conditionalFormatting sqref="D20">
    <cfRule type="cellIs" dxfId="36" priority="5" stopIfTrue="1" operator="equal">
      <formula>"þ"</formula>
    </cfRule>
  </conditionalFormatting>
  <conditionalFormatting sqref="D19">
    <cfRule type="cellIs" dxfId="35" priority="4" stopIfTrue="1" operator="equal">
      <formula>"þ"</formula>
    </cfRule>
  </conditionalFormatting>
  <conditionalFormatting sqref="D21">
    <cfRule type="cellIs" dxfId="34" priority="3" stopIfTrue="1" operator="equal">
      <formula>"þ"</formula>
    </cfRule>
  </conditionalFormatting>
  <conditionalFormatting sqref="D15">
    <cfRule type="cellIs" dxfId="33" priority="2" stopIfTrue="1" operator="equal">
      <formula>"þ"</formula>
    </cfRule>
  </conditionalFormatting>
  <conditionalFormatting sqref="D16">
    <cfRule type="cellIs" dxfId="3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showGridLines="0" workbookViewId="0"/>
  </sheetViews>
  <sheetFormatPr defaultColWidth="13" defaultRowHeight="15.6"/>
  <cols>
    <col min="1" max="1" width="33.796875" style="86" bestFit="1" customWidth="1"/>
    <col min="2" max="2" width="3" style="76" customWidth="1"/>
    <col min="3" max="3" width="32.59765625" style="76" bestFit="1" customWidth="1"/>
    <col min="4" max="16384" width="13" style="76"/>
  </cols>
  <sheetData>
    <row r="1" spans="1:3" ht="22.2" thickTop="1" thickBot="1">
      <c r="A1" s="492" t="s">
        <v>91</v>
      </c>
      <c r="C1" s="492" t="s">
        <v>220</v>
      </c>
    </row>
    <row r="2" spans="1:3" ht="16.8">
      <c r="A2" s="81" t="s">
        <v>200</v>
      </c>
      <c r="B2" s="82"/>
      <c r="C2" s="85" t="s">
        <v>167</v>
      </c>
    </row>
    <row r="3" spans="1:3" ht="16.8">
      <c r="A3" s="84" t="s">
        <v>226</v>
      </c>
      <c r="C3" s="85" t="str">
        <f>CONCATENATE("Lay on Hands ",('Personal File'!$E$3*'Personal File'!$C$13)," hps")</f>
        <v>Lay on Hands 21 hps</v>
      </c>
    </row>
    <row r="4" spans="1:3" ht="16.8">
      <c r="A4" s="84" t="s">
        <v>227</v>
      </c>
      <c r="C4" s="543" t="s">
        <v>355</v>
      </c>
    </row>
    <row r="5" spans="1:3" ht="16.8">
      <c r="A5" s="84" t="s">
        <v>232</v>
      </c>
      <c r="C5" s="85" t="s">
        <v>361</v>
      </c>
    </row>
    <row r="6" spans="1:3" ht="16.8">
      <c r="A6" s="84" t="s">
        <v>236</v>
      </c>
      <c r="C6" s="371" t="str">
        <f>CONCATENATE("Smite Evil ",ROUNDUP(('Personal File'!E3+1+1)/5,0),"/day, ",'Personal File'!C13," Att, +",SUM('Personal File'!E3:E4)," Dmg")</f>
        <v>Smite Evil 2/day, +3 Att, +14 Dmg</v>
      </c>
    </row>
    <row r="7" spans="1:3" ht="17.399999999999999" thickBot="1">
      <c r="A7" s="573" t="s">
        <v>382</v>
      </c>
      <c r="C7" s="266" t="s">
        <v>155</v>
      </c>
    </row>
    <row r="8" spans="1:3" ht="18" thickTop="1" thickBot="1">
      <c r="C8" s="266" t="s">
        <v>90</v>
      </c>
    </row>
    <row r="9" spans="1:3" ht="22.2" thickTop="1" thickBot="1">
      <c r="A9" s="492" t="s">
        <v>221</v>
      </c>
      <c r="C9" s="268" t="s">
        <v>277</v>
      </c>
    </row>
    <row r="10" spans="1:3" ht="16.8">
      <c r="A10" s="371" t="s">
        <v>222</v>
      </c>
      <c r="C10" s="267" t="s">
        <v>385</v>
      </c>
    </row>
    <row r="11" spans="1:3" ht="16.8">
      <c r="A11" s="371" t="s">
        <v>282</v>
      </c>
      <c r="B11" s="82"/>
      <c r="C11" s="266" t="s">
        <v>145</v>
      </c>
    </row>
    <row r="12" spans="1:3" ht="17.399999999999999" thickBot="1">
      <c r="A12" s="372" t="s">
        <v>233</v>
      </c>
      <c r="C12" s="378" t="s">
        <v>168</v>
      </c>
    </row>
    <row r="13" spans="1:3" ht="18" thickTop="1" thickBot="1">
      <c r="A13" s="372" t="s">
        <v>365</v>
      </c>
    </row>
    <row r="14" spans="1:3" ht="22.2" thickTop="1" thickBot="1">
      <c r="A14" s="418" t="s">
        <v>237</v>
      </c>
      <c r="C14" s="515" t="s">
        <v>273</v>
      </c>
    </row>
    <row r="15" spans="1:3" ht="18" thickTop="1" thickBot="1">
      <c r="C15" s="461" t="s">
        <v>152</v>
      </c>
    </row>
    <row r="16" spans="1:3" ht="22.2" thickTop="1" thickBot="1">
      <c r="A16" s="491" t="s">
        <v>73</v>
      </c>
      <c r="C16" s="462" t="s">
        <v>153</v>
      </c>
    </row>
    <row r="17" spans="1:3" ht="17.399999999999999" thickBot="1">
      <c r="A17" s="88" t="s">
        <v>199</v>
      </c>
      <c r="C17" s="87"/>
    </row>
    <row r="18" spans="1:3" ht="16.2" thickTop="1"/>
    <row r="20" spans="1:3">
      <c r="A20" s="76"/>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showGridLines="0" zoomScaleNormal="100" workbookViewId="0"/>
  </sheetViews>
  <sheetFormatPr defaultColWidth="13" defaultRowHeight="15.6"/>
  <cols>
    <col min="1" max="1" width="37.796875" style="32" bestFit="1" customWidth="1"/>
    <col min="2" max="2" width="11.296875" style="32" bestFit="1" customWidth="1"/>
    <col min="3" max="3" width="7.09765625" style="32" customWidth="1"/>
    <col min="4" max="4" width="8.19921875" style="32" customWidth="1"/>
    <col min="5" max="5" width="8.3984375" style="32" customWidth="1"/>
    <col min="6" max="6" width="8.3984375" style="32" bestFit="1" customWidth="1"/>
    <col min="7" max="7" width="7.8984375" style="32" bestFit="1" customWidth="1"/>
    <col min="8" max="10" width="5.59765625" style="32" customWidth="1"/>
    <col min="11" max="11" width="22.69921875" style="32" bestFit="1" customWidth="1"/>
    <col min="12" max="12" width="2" style="19" customWidth="1"/>
    <col min="13" max="13" width="5.8984375" style="19" bestFit="1" customWidth="1"/>
    <col min="14" max="16384" width="13" style="19"/>
  </cols>
  <sheetData>
    <row r="1" spans="1:13" ht="23.4" thickBot="1">
      <c r="A1" s="18" t="s">
        <v>257</v>
      </c>
      <c r="B1" s="18"/>
      <c r="C1" s="18"/>
      <c r="D1" s="18"/>
      <c r="E1" s="18"/>
      <c r="F1" s="18"/>
      <c r="G1" s="18"/>
      <c r="H1" s="18"/>
      <c r="I1" s="18"/>
      <c r="J1" s="18"/>
      <c r="K1" s="18"/>
    </row>
    <row r="2" spans="1:13" ht="16.8" thickTop="1" thickBot="1">
      <c r="A2" s="20" t="s">
        <v>6</v>
      </c>
      <c r="B2" s="21" t="s">
        <v>391</v>
      </c>
      <c r="C2" s="21" t="s">
        <v>25</v>
      </c>
      <c r="D2" s="21" t="s">
        <v>26</v>
      </c>
      <c r="E2" s="22" t="s">
        <v>65</v>
      </c>
      <c r="F2" s="21" t="s">
        <v>24</v>
      </c>
      <c r="G2" s="21" t="s">
        <v>27</v>
      </c>
      <c r="H2" s="23" t="s">
        <v>130</v>
      </c>
      <c r="I2" s="24" t="s">
        <v>151</v>
      </c>
      <c r="J2" s="23" t="s">
        <v>79</v>
      </c>
      <c r="K2" s="25" t="s">
        <v>5</v>
      </c>
      <c r="M2" s="275" t="s">
        <v>176</v>
      </c>
    </row>
    <row r="3" spans="1:13">
      <c r="A3" s="396" t="s">
        <v>360</v>
      </c>
      <c r="B3" s="397" t="s">
        <v>390</v>
      </c>
      <c r="C3" s="482" t="str">
        <f>CONCATENATE("+",'Personal File'!$C$8*2," + 1")</f>
        <v>+10 + 1</v>
      </c>
      <c r="D3" s="583">
        <f>1+2</f>
        <v>3</v>
      </c>
      <c r="E3" s="419" t="s">
        <v>240</v>
      </c>
      <c r="F3" s="398" t="s">
        <v>201</v>
      </c>
      <c r="G3" s="415">
        <v>8</v>
      </c>
      <c r="H3" s="416" t="str">
        <f>CONCATENATE("+",'Personal File'!$B$6+'Personal File'!$C$8+D3+1)</f>
        <v>+25</v>
      </c>
      <c r="I3" s="399">
        <f t="shared" ref="I3:I15" ca="1" si="0">RANDBETWEEN(1,20)</f>
        <v>12</v>
      </c>
      <c r="J3" s="400">
        <f t="shared" ref="J3:J15" ca="1" si="1">I3+RIGHT(H3,2)</f>
        <v>37</v>
      </c>
      <c r="K3" s="450" t="s">
        <v>374</v>
      </c>
      <c r="M3" s="401">
        <v>21550</v>
      </c>
    </row>
    <row r="4" spans="1:13">
      <c r="A4" s="407" t="s">
        <v>381</v>
      </c>
      <c r="B4" s="408" t="s">
        <v>390</v>
      </c>
      <c r="C4" s="483" t="str">
        <f>CONCATENATE("+",'Personal File'!$C$8*2," + 1")</f>
        <v>+10 + 1</v>
      </c>
      <c r="D4" s="584">
        <f t="shared" ref="D4:D6" si="2">1+2</f>
        <v>3</v>
      </c>
      <c r="E4" s="476" t="s">
        <v>240</v>
      </c>
      <c r="F4" s="410" t="s">
        <v>201</v>
      </c>
      <c r="G4" s="479"/>
      <c r="H4" s="413" t="str">
        <f t="shared" ref="H4:H5" si="3">CONCATENATE("+",H3-5)</f>
        <v>+20</v>
      </c>
      <c r="I4" s="412">
        <f t="shared" ca="1" si="0"/>
        <v>16</v>
      </c>
      <c r="J4" s="413">
        <f t="shared" ref="J4" ca="1" si="4">I4+RIGHT(H4,2)</f>
        <v>36</v>
      </c>
      <c r="K4" s="478" t="s">
        <v>375</v>
      </c>
      <c r="M4" s="402"/>
    </row>
    <row r="5" spans="1:13">
      <c r="A5" s="407" t="s">
        <v>269</v>
      </c>
      <c r="B5" s="408" t="s">
        <v>390</v>
      </c>
      <c r="C5" s="483" t="str">
        <f>CONCATENATE("+",'Personal File'!$C$8*2," + 1")</f>
        <v>+10 + 1</v>
      </c>
      <c r="D5" s="584">
        <f t="shared" si="2"/>
        <v>3</v>
      </c>
      <c r="E5" s="476" t="s">
        <v>240</v>
      </c>
      <c r="F5" s="410" t="s">
        <v>201</v>
      </c>
      <c r="G5" s="479"/>
      <c r="H5" s="477" t="str">
        <f t="shared" si="3"/>
        <v>+15</v>
      </c>
      <c r="I5" s="412">
        <f t="shared" ca="1" si="0"/>
        <v>14</v>
      </c>
      <c r="J5" s="413">
        <f t="shared" ca="1" si="1"/>
        <v>29</v>
      </c>
      <c r="K5" s="414"/>
      <c r="M5" s="402"/>
    </row>
    <row r="6" spans="1:13">
      <c r="A6" s="380" t="s">
        <v>270</v>
      </c>
      <c r="B6" s="381" t="s">
        <v>390</v>
      </c>
      <c r="C6" s="484" t="str">
        <f>CONCATENATE("+",'Personal File'!$C$8*2," + 1")</f>
        <v>+10 + 1</v>
      </c>
      <c r="D6" s="585">
        <f t="shared" si="2"/>
        <v>3</v>
      </c>
      <c r="E6" s="420" t="s">
        <v>240</v>
      </c>
      <c r="F6" s="383" t="s">
        <v>201</v>
      </c>
      <c r="G6" s="406"/>
      <c r="H6" s="405" t="str">
        <f>CONCATENATE("+",'Personal File'!$B$6+'Personal File'!$C$8+D6+1)</f>
        <v>+25</v>
      </c>
      <c r="I6" s="384">
        <f t="shared" ca="1" si="0"/>
        <v>3</v>
      </c>
      <c r="J6" s="385">
        <f t="shared" ref="J6" ca="1" si="5">I6+RIGHT(H6,2)</f>
        <v>28</v>
      </c>
      <c r="K6" s="386"/>
      <c r="M6" s="402"/>
    </row>
    <row r="7" spans="1:13">
      <c r="A7" s="387" t="s">
        <v>194</v>
      </c>
      <c r="B7" s="388" t="s">
        <v>379</v>
      </c>
      <c r="C7" s="485" t="str">
        <f>CONCATENATE("+",'Personal File'!$C$8*2," - 1")</f>
        <v>+10 - 1</v>
      </c>
      <c r="D7" s="581" t="s">
        <v>177</v>
      </c>
      <c r="E7" s="389" t="s">
        <v>157</v>
      </c>
      <c r="F7" s="390" t="s">
        <v>158</v>
      </c>
      <c r="G7" s="391">
        <v>10</v>
      </c>
      <c r="H7" s="392" t="str">
        <f>CONCATENATE("+",'Personal File'!$B$6+'Personal File'!$C$8+D7)</f>
        <v>+22</v>
      </c>
      <c r="I7" s="393">
        <f t="shared" ca="1" si="0"/>
        <v>15</v>
      </c>
      <c r="J7" s="394">
        <f t="shared" ca="1" si="1"/>
        <v>37</v>
      </c>
      <c r="K7" s="395" t="s">
        <v>203</v>
      </c>
      <c r="M7" s="417">
        <v>405</v>
      </c>
    </row>
    <row r="8" spans="1:13">
      <c r="A8" s="407" t="s">
        <v>381</v>
      </c>
      <c r="B8" s="408" t="s">
        <v>379</v>
      </c>
      <c r="C8" s="483" t="str">
        <f>CONCATENATE("+",'Personal File'!$C$8*2," - 1")</f>
        <v>+10 - 1</v>
      </c>
      <c r="D8" s="579" t="s">
        <v>177</v>
      </c>
      <c r="E8" s="409" t="s">
        <v>157</v>
      </c>
      <c r="F8" s="410" t="s">
        <v>158</v>
      </c>
      <c r="G8" s="480"/>
      <c r="H8" s="413" t="str">
        <f t="shared" ref="H8:H13" si="6">CONCATENATE("+",H7-5)</f>
        <v>+17</v>
      </c>
      <c r="I8" s="412">
        <f t="shared" ca="1" si="0"/>
        <v>17</v>
      </c>
      <c r="J8" s="413">
        <f t="shared" ca="1" si="1"/>
        <v>34</v>
      </c>
      <c r="K8" s="414"/>
      <c r="M8" s="402"/>
    </row>
    <row r="9" spans="1:13">
      <c r="A9" s="407" t="s">
        <v>269</v>
      </c>
      <c r="B9" s="408" t="s">
        <v>379</v>
      </c>
      <c r="C9" s="483" t="str">
        <f>CONCATENATE("+",'Personal File'!$C$8*2," - 1")</f>
        <v>+10 - 1</v>
      </c>
      <c r="D9" s="579" t="s">
        <v>177</v>
      </c>
      <c r="E9" s="409" t="s">
        <v>157</v>
      </c>
      <c r="F9" s="410" t="s">
        <v>158</v>
      </c>
      <c r="G9" s="480"/>
      <c r="H9" s="477" t="str">
        <f t="shared" si="6"/>
        <v>+12</v>
      </c>
      <c r="I9" s="412">
        <f t="shared" ca="1" si="0"/>
        <v>6</v>
      </c>
      <c r="J9" s="413">
        <f t="shared" ref="J9:J10" ca="1" si="7">I9+RIGHT(H9,2)</f>
        <v>18</v>
      </c>
      <c r="K9" s="414"/>
      <c r="M9" s="481"/>
    </row>
    <row r="10" spans="1:13">
      <c r="A10" s="380" t="s">
        <v>270</v>
      </c>
      <c r="B10" s="381" t="s">
        <v>379</v>
      </c>
      <c r="C10" s="484" t="str">
        <f>CONCATENATE("+",'Personal File'!$C$8*2," - 1")</f>
        <v>+10 - 1</v>
      </c>
      <c r="D10" s="580" t="s">
        <v>177</v>
      </c>
      <c r="E10" s="382" t="s">
        <v>157</v>
      </c>
      <c r="F10" s="383" t="s">
        <v>158</v>
      </c>
      <c r="G10" s="404"/>
      <c r="H10" s="405" t="str">
        <f>CONCATENATE("+",'Personal File'!$B$6+'Personal File'!$C$8+D10)</f>
        <v>+22</v>
      </c>
      <c r="I10" s="384">
        <f t="shared" ca="1" si="0"/>
        <v>5</v>
      </c>
      <c r="J10" s="385">
        <f t="shared" ca="1" si="7"/>
        <v>27</v>
      </c>
      <c r="K10" s="386"/>
      <c r="M10" s="481"/>
    </row>
    <row r="11" spans="1:13">
      <c r="A11" s="387" t="s">
        <v>170</v>
      </c>
      <c r="B11" s="388" t="s">
        <v>378</v>
      </c>
      <c r="C11" s="485" t="str">
        <f>CONCATENATE("+",'Personal File'!$C$8*2)</f>
        <v>+10</v>
      </c>
      <c r="D11" s="581">
        <v>0</v>
      </c>
      <c r="E11" s="389" t="s">
        <v>197</v>
      </c>
      <c r="F11" s="390" t="s">
        <v>198</v>
      </c>
      <c r="G11" s="391" t="s">
        <v>180</v>
      </c>
      <c r="H11" s="392" t="str">
        <f>CONCATENATE("+",'Personal File'!$B$6+'Personal File'!$C$8+D11)</f>
        <v>+21</v>
      </c>
      <c r="I11" s="393">
        <f t="shared" ca="1" si="0"/>
        <v>11</v>
      </c>
      <c r="J11" s="394">
        <f t="shared" ca="1" si="1"/>
        <v>32</v>
      </c>
      <c r="K11" s="395"/>
      <c r="M11" s="288">
        <v>10</v>
      </c>
    </row>
    <row r="12" spans="1:13">
      <c r="A12" s="407" t="s">
        <v>381</v>
      </c>
      <c r="B12" s="408" t="s">
        <v>378</v>
      </c>
      <c r="C12" s="483" t="str">
        <f>CONCATENATE("+",'Personal File'!$C$8*2)</f>
        <v>+10</v>
      </c>
      <c r="D12" s="579" t="s">
        <v>63</v>
      </c>
      <c r="E12" s="409" t="s">
        <v>197</v>
      </c>
      <c r="F12" s="410" t="s">
        <v>198</v>
      </c>
      <c r="G12" s="480"/>
      <c r="H12" s="413" t="str">
        <f t="shared" si="6"/>
        <v>+16</v>
      </c>
      <c r="I12" s="412">
        <f t="shared" ca="1" si="0"/>
        <v>3</v>
      </c>
      <c r="J12" s="413">
        <f t="shared" ca="1" si="1"/>
        <v>19</v>
      </c>
      <c r="K12" s="414"/>
      <c r="M12" s="402"/>
    </row>
    <row r="13" spans="1:13">
      <c r="A13" s="407" t="s">
        <v>269</v>
      </c>
      <c r="B13" s="408" t="s">
        <v>378</v>
      </c>
      <c r="C13" s="483" t="str">
        <f>CONCATENATE("+",'Personal File'!$C$8*2)</f>
        <v>+10</v>
      </c>
      <c r="D13" s="579" t="s">
        <v>63</v>
      </c>
      <c r="E13" s="409" t="s">
        <v>197</v>
      </c>
      <c r="F13" s="410" t="s">
        <v>198</v>
      </c>
      <c r="G13" s="480"/>
      <c r="H13" s="477" t="str">
        <f t="shared" si="6"/>
        <v>+11</v>
      </c>
      <c r="I13" s="412">
        <f t="shared" ca="1" si="0"/>
        <v>15</v>
      </c>
      <c r="J13" s="413">
        <f t="shared" ref="J13:J14" ca="1" si="8">I13+RIGHT(H13,2)</f>
        <v>26</v>
      </c>
      <c r="K13" s="414"/>
      <c r="M13" s="481"/>
    </row>
    <row r="14" spans="1:13">
      <c r="A14" s="380" t="s">
        <v>270</v>
      </c>
      <c r="B14" s="381" t="s">
        <v>378</v>
      </c>
      <c r="C14" s="484" t="str">
        <f>CONCATENATE("+",'Personal File'!$C$8*2)</f>
        <v>+10</v>
      </c>
      <c r="D14" s="580" t="s">
        <v>63</v>
      </c>
      <c r="E14" s="382" t="s">
        <v>197</v>
      </c>
      <c r="F14" s="383" t="s">
        <v>198</v>
      </c>
      <c r="G14" s="404"/>
      <c r="H14" s="405" t="str">
        <f>CONCATENATE("+",'Personal File'!$B$6+'Personal File'!$C$8+D14)</f>
        <v>+21</v>
      </c>
      <c r="I14" s="384">
        <f t="shared" ca="1" si="0"/>
        <v>18</v>
      </c>
      <c r="J14" s="385">
        <f t="shared" ca="1" si="8"/>
        <v>39</v>
      </c>
      <c r="K14" s="386"/>
      <c r="M14" s="481"/>
    </row>
    <row r="15" spans="1:13" ht="16.2" thickBot="1">
      <c r="A15" s="271" t="s">
        <v>234</v>
      </c>
      <c r="B15" s="26" t="s">
        <v>206</v>
      </c>
      <c r="C15" s="27" t="s">
        <v>206</v>
      </c>
      <c r="D15" s="582">
        <v>0</v>
      </c>
      <c r="E15" s="28" t="s">
        <v>206</v>
      </c>
      <c r="F15" s="26" t="s">
        <v>206</v>
      </c>
      <c r="G15" s="29">
        <v>0</v>
      </c>
      <c r="H15" s="30" t="str">
        <f>CONCATENATE("+",'Personal File'!$B$6+'Personal File'!$C$8+D15)</f>
        <v>+21</v>
      </c>
      <c r="I15" s="376">
        <f t="shared" ca="1" si="0"/>
        <v>17</v>
      </c>
      <c r="J15" s="377">
        <f t="shared" ca="1" si="1"/>
        <v>38</v>
      </c>
      <c r="K15" s="31"/>
      <c r="M15" s="403"/>
    </row>
    <row r="16" spans="1:13" ht="16.8" thickTop="1" thickBot="1"/>
    <row r="17" spans="1:13" ht="16.8" thickTop="1" thickBot="1">
      <c r="A17" s="431" t="s">
        <v>8</v>
      </c>
      <c r="B17" s="432" t="s">
        <v>9</v>
      </c>
      <c r="C17" s="432" t="s">
        <v>25</v>
      </c>
      <c r="D17" s="432" t="s">
        <v>26</v>
      </c>
      <c r="E17" s="433" t="s">
        <v>65</v>
      </c>
      <c r="F17" s="432" t="s">
        <v>10</v>
      </c>
      <c r="G17" s="432" t="s">
        <v>27</v>
      </c>
      <c r="H17" s="434" t="s">
        <v>130</v>
      </c>
      <c r="I17" s="435" t="s">
        <v>151</v>
      </c>
      <c r="J17" s="434" t="s">
        <v>79</v>
      </c>
      <c r="K17" s="436" t="s">
        <v>5</v>
      </c>
      <c r="M17" s="275" t="s">
        <v>176</v>
      </c>
    </row>
    <row r="18" spans="1:13">
      <c r="A18" s="407" t="s">
        <v>268</v>
      </c>
      <c r="B18" s="408" t="s">
        <v>378</v>
      </c>
      <c r="C18" s="451" t="s">
        <v>271</v>
      </c>
      <c r="D18" s="451" t="s">
        <v>177</v>
      </c>
      <c r="E18" s="408" t="s">
        <v>197</v>
      </c>
      <c r="F18" s="452" t="s">
        <v>255</v>
      </c>
      <c r="G18" s="411">
        <v>3</v>
      </c>
      <c r="H18" s="392" t="str">
        <f>CONCATENATE("+",'Personal File'!$B$6+'Personal File'!$C$9+D18)</f>
        <v>+18</v>
      </c>
      <c r="I18" s="393">
        <f ca="1">RANDBETWEEN(1,20)</f>
        <v>6</v>
      </c>
      <c r="J18" s="394">
        <f t="shared" ref="J18" ca="1" si="9">I18+RIGHT(H18,2)</f>
        <v>24</v>
      </c>
      <c r="K18" s="453"/>
      <c r="M18" s="417">
        <v>700</v>
      </c>
    </row>
    <row r="19" spans="1:13">
      <c r="A19" s="407" t="s">
        <v>381</v>
      </c>
      <c r="B19" s="408" t="s">
        <v>378</v>
      </c>
      <c r="C19" s="451" t="s">
        <v>271</v>
      </c>
      <c r="D19" s="451" t="s">
        <v>177</v>
      </c>
      <c r="E19" s="408" t="s">
        <v>197</v>
      </c>
      <c r="F19" s="452" t="s">
        <v>255</v>
      </c>
      <c r="G19" s="480"/>
      <c r="H19" s="413" t="str">
        <f t="shared" ref="H19:H21" si="10">CONCATENATE("+",H18-5)</f>
        <v>+13</v>
      </c>
      <c r="I19" s="412">
        <f t="shared" ref="I19:I21" ca="1" si="11">RANDBETWEEN(1,20)</f>
        <v>6</v>
      </c>
      <c r="J19" s="413">
        <f t="shared" ref="J19:J21" ca="1" si="12">I19+RIGHT(H19,2)</f>
        <v>19</v>
      </c>
      <c r="K19" s="453"/>
      <c r="M19" s="481"/>
    </row>
    <row r="20" spans="1:13">
      <c r="A20" s="407" t="s">
        <v>269</v>
      </c>
      <c r="B20" s="408" t="s">
        <v>378</v>
      </c>
      <c r="C20" s="451" t="s">
        <v>271</v>
      </c>
      <c r="D20" s="451" t="s">
        <v>177</v>
      </c>
      <c r="E20" s="408" t="s">
        <v>197</v>
      </c>
      <c r="F20" s="452" t="s">
        <v>255</v>
      </c>
      <c r="G20" s="480"/>
      <c r="H20" s="477" t="str">
        <f t="shared" si="10"/>
        <v>+8</v>
      </c>
      <c r="I20" s="412">
        <f t="shared" ca="1" si="11"/>
        <v>19</v>
      </c>
      <c r="J20" s="413">
        <f t="shared" ca="1" si="12"/>
        <v>27</v>
      </c>
      <c r="K20" s="453"/>
      <c r="M20" s="481"/>
    </row>
    <row r="21" spans="1:13">
      <c r="A21" s="407" t="s">
        <v>270</v>
      </c>
      <c r="B21" s="408" t="s">
        <v>378</v>
      </c>
      <c r="C21" s="451" t="s">
        <v>271</v>
      </c>
      <c r="D21" s="451" t="s">
        <v>177</v>
      </c>
      <c r="E21" s="408" t="s">
        <v>197</v>
      </c>
      <c r="F21" s="452" t="s">
        <v>255</v>
      </c>
      <c r="G21" s="404"/>
      <c r="H21" s="405" t="str">
        <f t="shared" si="10"/>
        <v>+3</v>
      </c>
      <c r="I21" s="384">
        <f t="shared" ca="1" si="11"/>
        <v>7</v>
      </c>
      <c r="J21" s="385">
        <f t="shared" ca="1" si="12"/>
        <v>10</v>
      </c>
      <c r="K21" s="453"/>
      <c r="M21" s="481"/>
    </row>
    <row r="22" spans="1:13" ht="16.2" thickBot="1">
      <c r="A22" s="437" t="s">
        <v>239</v>
      </c>
      <c r="B22" s="28" t="s">
        <v>380</v>
      </c>
      <c r="C22" s="438" t="s">
        <v>271</v>
      </c>
      <c r="D22" s="439" t="s">
        <v>63</v>
      </c>
      <c r="E22" s="440" t="s">
        <v>195</v>
      </c>
      <c r="F22" s="441" t="s">
        <v>196</v>
      </c>
      <c r="G22" s="442">
        <v>6</v>
      </c>
      <c r="H22" s="442" t="str">
        <f>CONCATENATE("+",'Personal File'!$B$6+'Personal File'!$C$9+D22)</f>
        <v>+17</v>
      </c>
      <c r="I22" s="376">
        <f ca="1">RANDBETWEEN(1,20)</f>
        <v>19</v>
      </c>
      <c r="J22" s="377">
        <f t="shared" ref="J22" ca="1" si="13">I22+RIGHT(H22,2)</f>
        <v>36</v>
      </c>
      <c r="K22" s="443"/>
      <c r="M22" s="295">
        <v>3</v>
      </c>
    </row>
    <row r="23" spans="1:13" ht="16.8" thickTop="1" thickBot="1">
      <c r="D23" s="35"/>
      <c r="E23" s="35"/>
      <c r="G23" s="36"/>
      <c r="H23" s="36"/>
      <c r="I23" s="36"/>
      <c r="J23" s="36"/>
    </row>
    <row r="24" spans="1:13" ht="16.8" thickTop="1" thickBot="1">
      <c r="A24" s="20" t="s">
        <v>69</v>
      </c>
      <c r="B24" s="21" t="s">
        <v>18</v>
      </c>
      <c r="C24" s="21" t="s">
        <v>34</v>
      </c>
      <c r="D24" s="21" t="s">
        <v>79</v>
      </c>
      <c r="E24" s="21" t="s">
        <v>80</v>
      </c>
      <c r="F24" s="21" t="s">
        <v>81</v>
      </c>
      <c r="G24" s="21" t="s">
        <v>27</v>
      </c>
      <c r="H24" s="37" t="s">
        <v>5</v>
      </c>
      <c r="I24" s="38"/>
      <c r="J24" s="38"/>
      <c r="K24" s="39"/>
      <c r="M24" s="275" t="s">
        <v>176</v>
      </c>
    </row>
    <row r="25" spans="1:13">
      <c r="A25" s="502" t="s">
        <v>358</v>
      </c>
      <c r="B25" s="503">
        <f>8+3</f>
        <v>11</v>
      </c>
      <c r="C25" s="504">
        <v>8</v>
      </c>
      <c r="D25" s="503">
        <v>-5</v>
      </c>
      <c r="E25" s="505">
        <v>0.35</v>
      </c>
      <c r="F25" s="503" t="s">
        <v>204</v>
      </c>
      <c r="G25" s="506">
        <v>50</v>
      </c>
      <c r="H25" s="544" t="s">
        <v>362</v>
      </c>
      <c r="I25" s="545"/>
      <c r="J25" s="545"/>
      <c r="K25" s="546"/>
      <c r="L25" s="547"/>
      <c r="M25" s="282">
        <v>10650</v>
      </c>
    </row>
    <row r="26" spans="1:13">
      <c r="A26" s="507" t="s">
        <v>173</v>
      </c>
      <c r="B26" s="508" t="s">
        <v>206</v>
      </c>
      <c r="C26" s="509" t="s">
        <v>206</v>
      </c>
      <c r="D26" s="508" t="s">
        <v>206</v>
      </c>
      <c r="E26" s="510" t="s">
        <v>206</v>
      </c>
      <c r="F26" s="508" t="s">
        <v>206</v>
      </c>
      <c r="G26" s="511">
        <v>0</v>
      </c>
      <c r="H26" s="512" t="s">
        <v>359</v>
      </c>
      <c r="I26" s="513"/>
      <c r="J26" s="513"/>
      <c r="K26" s="514"/>
      <c r="M26" s="486">
        <v>500</v>
      </c>
    </row>
    <row r="27" spans="1:13">
      <c r="A27" s="493" t="s">
        <v>205</v>
      </c>
      <c r="B27" s="494">
        <v>3</v>
      </c>
      <c r="C27" s="495">
        <v>0</v>
      </c>
      <c r="D27" s="494">
        <v>0</v>
      </c>
      <c r="E27" s="496">
        <v>0.15</v>
      </c>
      <c r="F27" s="494" t="s">
        <v>206</v>
      </c>
      <c r="G27" s="497">
        <v>5</v>
      </c>
      <c r="H27" s="498"/>
      <c r="I27" s="499"/>
      <c r="J27" s="499"/>
      <c r="K27" s="500"/>
      <c r="M27" s="417">
        <v>9257</v>
      </c>
    </row>
    <row r="28" spans="1:13" ht="16.2" thickBot="1">
      <c r="A28" s="270" t="s">
        <v>252</v>
      </c>
      <c r="B28" s="33" t="s">
        <v>206</v>
      </c>
      <c r="C28" s="33" t="s">
        <v>206</v>
      </c>
      <c r="D28" s="33" t="s">
        <v>206</v>
      </c>
      <c r="E28" s="41" t="s">
        <v>206</v>
      </c>
      <c r="F28" s="344" t="s">
        <v>206</v>
      </c>
      <c r="G28" s="34">
        <v>0</v>
      </c>
      <c r="H28" s="501" t="s">
        <v>359</v>
      </c>
      <c r="I28" s="42"/>
      <c r="J28" s="42"/>
      <c r="K28" s="43"/>
      <c r="M28" s="295">
        <v>500</v>
      </c>
    </row>
    <row r="29" spans="1:13" ht="16.8" thickTop="1" thickBot="1"/>
    <row r="30" spans="1:13" ht="16.8" thickTop="1" thickBot="1">
      <c r="A30" s="44"/>
      <c r="B30" s="36"/>
      <c r="D30" s="45" t="s">
        <v>70</v>
      </c>
      <c r="E30" s="46"/>
      <c r="F30" s="37" t="s">
        <v>7</v>
      </c>
      <c r="G30" s="21" t="s">
        <v>27</v>
      </c>
      <c r="H30" s="23" t="s">
        <v>130</v>
      </c>
      <c r="I30" s="23"/>
      <c r="J30" s="38"/>
      <c r="K30" s="47" t="s">
        <v>5</v>
      </c>
      <c r="M30" s="275" t="s">
        <v>176</v>
      </c>
    </row>
    <row r="31" spans="1:13">
      <c r="A31" s="44"/>
      <c r="B31" s="36"/>
      <c r="D31" s="454" t="s">
        <v>256</v>
      </c>
      <c r="E31" s="48"/>
      <c r="F31" s="49">
        <v>50</v>
      </c>
      <c r="G31" s="50">
        <f>F31/20</f>
        <v>2.5</v>
      </c>
      <c r="H31" s="51" t="s">
        <v>63</v>
      </c>
      <c r="I31" s="51"/>
      <c r="J31" s="40"/>
      <c r="K31" s="52"/>
      <c r="M31" s="282">
        <v>0</v>
      </c>
    </row>
    <row r="32" spans="1:13" ht="16.2" thickBot="1">
      <c r="D32" s="53"/>
      <c r="E32" s="54"/>
      <c r="F32" s="55"/>
      <c r="G32" s="56"/>
      <c r="H32" s="57"/>
      <c r="I32" s="57"/>
      <c r="J32" s="58"/>
      <c r="K32" s="59"/>
      <c r="M32" s="295"/>
    </row>
    <row r="33" spans="4:13" ht="16.8" thickTop="1" thickBot="1"/>
    <row r="34" spans="4:13" ht="16.8" thickTop="1" thickBot="1">
      <c r="D34" s="45" t="s">
        <v>174</v>
      </c>
      <c r="E34" s="38"/>
      <c r="F34" s="38"/>
      <c r="G34" s="38"/>
      <c r="H34" s="273" t="s">
        <v>7</v>
      </c>
      <c r="I34" s="273" t="s">
        <v>4</v>
      </c>
      <c r="J34" s="273" t="s">
        <v>175</v>
      </c>
      <c r="K34" s="39" t="s">
        <v>77</v>
      </c>
      <c r="L34" s="274"/>
      <c r="M34" s="275" t="s">
        <v>176</v>
      </c>
    </row>
    <row r="35" spans="4:13">
      <c r="D35" s="276" t="s">
        <v>251</v>
      </c>
      <c r="E35" s="277"/>
      <c r="F35" s="277"/>
      <c r="G35" s="278"/>
      <c r="H35" s="279">
        <v>1</v>
      </c>
      <c r="I35" s="280">
        <v>2</v>
      </c>
      <c r="J35" s="280">
        <v>4</v>
      </c>
      <c r="K35" s="281"/>
      <c r="L35" s="274"/>
      <c r="M35" s="282">
        <f>250*H35</f>
        <v>250</v>
      </c>
    </row>
    <row r="36" spans="4:13">
      <c r="D36" s="586" t="s">
        <v>392</v>
      </c>
      <c r="E36" s="587"/>
      <c r="F36" s="587"/>
      <c r="G36" s="588"/>
      <c r="H36" s="589">
        <v>0</v>
      </c>
      <c r="I36" s="381">
        <v>2</v>
      </c>
      <c r="J36" s="381">
        <v>4</v>
      </c>
      <c r="K36" s="590"/>
      <c r="L36" s="274"/>
      <c r="M36" s="417">
        <f>250*H36</f>
        <v>0</v>
      </c>
    </row>
    <row r="37" spans="4:13">
      <c r="D37" s="283" t="s">
        <v>253</v>
      </c>
      <c r="E37" s="284"/>
      <c r="F37" s="284"/>
      <c r="G37" s="285"/>
      <c r="H37" s="286">
        <v>1</v>
      </c>
      <c r="I37" s="17">
        <v>1</v>
      </c>
      <c r="J37" s="17">
        <v>1</v>
      </c>
      <c r="K37" s="287" t="s">
        <v>254</v>
      </c>
      <c r="L37" s="274"/>
      <c r="M37" s="288">
        <v>750</v>
      </c>
    </row>
    <row r="38" spans="4:13" ht="16.2" thickBot="1">
      <c r="D38" s="289" t="s">
        <v>272</v>
      </c>
      <c r="E38" s="290"/>
      <c r="F38" s="290"/>
      <c r="G38" s="291"/>
      <c r="H38" s="292" t="s">
        <v>177</v>
      </c>
      <c r="I38" s="293">
        <v>2</v>
      </c>
      <c r="J38" s="293">
        <v>4</v>
      </c>
      <c r="K38" s="294"/>
      <c r="L38" s="274"/>
      <c r="M38" s="295">
        <f>H38*300</f>
        <v>300</v>
      </c>
    </row>
    <row r="39" spans="4:13" ht="16.2" thickTop="1"/>
  </sheetData>
  <phoneticPr fontId="0" type="noConversion"/>
  <conditionalFormatting sqref="I22">
    <cfRule type="cellIs" dxfId="31" priority="35" operator="equal">
      <formula>20</formula>
    </cfRule>
    <cfRule type="cellIs" dxfId="30" priority="36" operator="equal">
      <formula>1</formula>
    </cfRule>
  </conditionalFormatting>
  <conditionalFormatting sqref="I11:I12">
    <cfRule type="cellIs" dxfId="29" priority="33" operator="equal">
      <formula>20</formula>
    </cfRule>
    <cfRule type="cellIs" dxfId="28" priority="34" operator="equal">
      <formula>1</formula>
    </cfRule>
  </conditionalFormatting>
  <conditionalFormatting sqref="I15">
    <cfRule type="cellIs" dxfId="27" priority="31" operator="equal">
      <formula>20</formula>
    </cfRule>
    <cfRule type="cellIs" dxfId="26" priority="32" operator="equal">
      <formula>1</formula>
    </cfRule>
  </conditionalFormatting>
  <conditionalFormatting sqref="I11:I12">
    <cfRule type="cellIs" dxfId="25" priority="29" operator="equal">
      <formula>20</formula>
    </cfRule>
    <cfRule type="cellIs" dxfId="24" priority="30" operator="equal">
      <formula>1</formula>
    </cfRule>
  </conditionalFormatting>
  <conditionalFormatting sqref="I7:I8">
    <cfRule type="cellIs" dxfId="23" priority="27" operator="equal">
      <formula>20</formula>
    </cfRule>
    <cfRule type="cellIs" dxfId="22" priority="28" operator="equal">
      <formula>1</formula>
    </cfRule>
  </conditionalFormatting>
  <conditionalFormatting sqref="I3 I5">
    <cfRule type="cellIs" dxfId="21" priority="25" operator="equal">
      <formula>20</formula>
    </cfRule>
    <cfRule type="cellIs" dxfId="20" priority="26" operator="equal">
      <formula>1</formula>
    </cfRule>
  </conditionalFormatting>
  <conditionalFormatting sqref="I18">
    <cfRule type="cellIs" dxfId="19" priority="17" operator="equal">
      <formula>20</formula>
    </cfRule>
    <cfRule type="cellIs" dxfId="18" priority="18" operator="equal">
      <formula>1</formula>
    </cfRule>
  </conditionalFormatting>
  <conditionalFormatting sqref="I6">
    <cfRule type="cellIs" dxfId="17" priority="15" operator="equal">
      <formula>20</formula>
    </cfRule>
    <cfRule type="cellIs" dxfId="16" priority="16" operator="equal">
      <formula>1</formula>
    </cfRule>
  </conditionalFormatting>
  <conditionalFormatting sqref="I4">
    <cfRule type="cellIs" dxfId="15" priority="13" operator="equal">
      <formula>20</formula>
    </cfRule>
    <cfRule type="cellIs" dxfId="14" priority="14" operator="equal">
      <formula>1</formula>
    </cfRule>
  </conditionalFormatting>
  <conditionalFormatting sqref="I9">
    <cfRule type="cellIs" dxfId="13" priority="11" operator="equal">
      <formula>20</formula>
    </cfRule>
    <cfRule type="cellIs" dxfId="12" priority="12" operator="equal">
      <formula>1</formula>
    </cfRule>
  </conditionalFormatting>
  <conditionalFormatting sqref="I13">
    <cfRule type="cellIs" dxfId="11" priority="9" operator="equal">
      <formula>20</formula>
    </cfRule>
    <cfRule type="cellIs" dxfId="10" priority="10" operator="equal">
      <formula>1</formula>
    </cfRule>
  </conditionalFormatting>
  <conditionalFormatting sqref="I13">
    <cfRule type="cellIs" dxfId="9" priority="7" operator="equal">
      <formula>20</formula>
    </cfRule>
    <cfRule type="cellIs" dxfId="8" priority="8" operator="equal">
      <formula>1</formula>
    </cfRule>
  </conditionalFormatting>
  <conditionalFormatting sqref="I10">
    <cfRule type="cellIs" dxfId="7" priority="5" operator="equal">
      <formula>20</formula>
    </cfRule>
    <cfRule type="cellIs" dxfId="6" priority="6" operator="equal">
      <formula>1</formula>
    </cfRule>
  </conditionalFormatting>
  <conditionalFormatting sqref="I14">
    <cfRule type="cellIs" dxfId="5" priority="3" operator="equal">
      <formula>20</formula>
    </cfRule>
    <cfRule type="cellIs" dxfId="4" priority="4" operator="equal">
      <formula>1</formula>
    </cfRule>
  </conditionalFormatting>
  <conditionalFormatting sqref="I19:I21">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13" defaultRowHeight="15.6"/>
  <cols>
    <col min="1" max="1" width="27.5" style="32" bestFit="1" customWidth="1"/>
    <col min="2" max="2" width="4.69921875" style="32" bestFit="1" customWidth="1"/>
    <col min="3" max="3" width="4.3984375" style="36" bestFit="1" customWidth="1"/>
    <col min="4" max="4" width="14.5" style="19" bestFit="1" customWidth="1"/>
    <col min="5" max="5" width="15.19921875" style="19" bestFit="1" customWidth="1"/>
    <col min="6" max="6" width="2.69921875" style="19" customWidth="1"/>
    <col min="7" max="7" width="8.296875" style="19" bestFit="1" customWidth="1"/>
    <col min="8" max="16384" width="13" style="19"/>
  </cols>
  <sheetData>
    <row r="1" spans="1:7" ht="23.4" thickBot="1">
      <c r="A1" s="18" t="s">
        <v>74</v>
      </c>
      <c r="B1" s="18"/>
      <c r="C1" s="60"/>
      <c r="D1" s="18"/>
      <c r="E1" s="18"/>
    </row>
    <row r="2" spans="1:7" s="32" customFormat="1" ht="16.8" thickTop="1" thickBot="1">
      <c r="A2" s="61" t="s">
        <v>75</v>
      </c>
      <c r="B2" s="61" t="s">
        <v>7</v>
      </c>
      <c r="C2" s="62" t="s">
        <v>27</v>
      </c>
      <c r="D2" s="63" t="s">
        <v>76</v>
      </c>
      <c r="E2" s="64" t="s">
        <v>77</v>
      </c>
      <c r="G2" s="296" t="s">
        <v>176</v>
      </c>
    </row>
    <row r="3" spans="1:7">
      <c r="A3" s="236" t="s">
        <v>169</v>
      </c>
      <c r="B3" s="447">
        <v>1</v>
      </c>
      <c r="C3" s="66">
        <v>0</v>
      </c>
      <c r="D3" s="67"/>
      <c r="E3" s="68"/>
      <c r="G3" s="297">
        <v>25</v>
      </c>
    </row>
    <row r="4" spans="1:7">
      <c r="A4" s="65" t="s">
        <v>337</v>
      </c>
      <c r="B4" s="445">
        <v>1</v>
      </c>
      <c r="C4" s="70" t="s">
        <v>154</v>
      </c>
      <c r="D4" s="67"/>
      <c r="E4" s="68"/>
      <c r="G4" s="341" t="s">
        <v>206</v>
      </c>
    </row>
    <row r="5" spans="1:7">
      <c r="A5" s="65" t="s">
        <v>149</v>
      </c>
      <c r="B5" s="444">
        <v>1</v>
      </c>
      <c r="C5" s="66">
        <v>0.5</v>
      </c>
      <c r="D5" s="71"/>
      <c r="E5" s="72"/>
      <c r="G5" s="343">
        <v>0.5</v>
      </c>
    </row>
    <row r="6" spans="1:7">
      <c r="A6" s="65" t="s">
        <v>356</v>
      </c>
      <c r="B6" s="444">
        <v>4</v>
      </c>
      <c r="C6" s="272">
        <v>0</v>
      </c>
      <c r="D6" s="71"/>
      <c r="E6" s="72"/>
      <c r="G6" s="297">
        <f>1000*B6</f>
        <v>4000</v>
      </c>
    </row>
    <row r="7" spans="1:7">
      <c r="A7" s="567" t="s">
        <v>377</v>
      </c>
      <c r="B7" s="568">
        <v>1</v>
      </c>
      <c r="C7" s="568">
        <v>0.5</v>
      </c>
      <c r="D7" s="70"/>
      <c r="E7" s="569"/>
      <c r="F7" s="570"/>
      <c r="G7" s="571">
        <v>750</v>
      </c>
    </row>
    <row r="8" spans="1:7">
      <c r="A8" s="65" t="s">
        <v>266</v>
      </c>
      <c r="B8" s="444">
        <v>1</v>
      </c>
      <c r="C8" s="272">
        <v>0</v>
      </c>
      <c r="D8" s="71"/>
      <c r="E8" s="72"/>
      <c r="G8" s="297">
        <v>4000</v>
      </c>
    </row>
    <row r="9" spans="1:7">
      <c r="A9" s="65" t="s">
        <v>249</v>
      </c>
      <c r="B9" s="444">
        <v>1</v>
      </c>
      <c r="C9" s="272">
        <v>1</v>
      </c>
      <c r="D9" s="71"/>
      <c r="E9" s="72"/>
      <c r="G9" s="297">
        <v>4000</v>
      </c>
    </row>
    <row r="10" spans="1:7">
      <c r="A10" s="65" t="s">
        <v>171</v>
      </c>
      <c r="B10" s="444">
        <v>1</v>
      </c>
      <c r="C10" s="272">
        <v>2</v>
      </c>
      <c r="D10" s="71"/>
      <c r="E10" s="72"/>
      <c r="G10" s="297">
        <v>4000</v>
      </c>
    </row>
    <row r="11" spans="1:7" ht="16.2" thickBot="1">
      <c r="A11" s="340" t="s">
        <v>172</v>
      </c>
      <c r="B11" s="446">
        <v>1</v>
      </c>
      <c r="C11" s="227">
        <v>0</v>
      </c>
      <c r="D11" s="228"/>
      <c r="E11" s="229"/>
      <c r="G11" s="298">
        <v>4000</v>
      </c>
    </row>
    <row r="12" spans="1:7" ht="24" thickTop="1" thickBot="1">
      <c r="A12" s="18" t="s">
        <v>78</v>
      </c>
      <c r="B12" s="18"/>
      <c r="C12" s="230"/>
      <c r="D12" s="18"/>
      <c r="E12" s="231"/>
    </row>
    <row r="13" spans="1:7" ht="16.8" thickTop="1" thickBot="1">
      <c r="A13" s="61" t="s">
        <v>75</v>
      </c>
      <c r="B13" s="61" t="s">
        <v>7</v>
      </c>
      <c r="C13" s="62" t="s">
        <v>27</v>
      </c>
      <c r="D13" s="63" t="s">
        <v>76</v>
      </c>
      <c r="E13" s="64" t="s">
        <v>77</v>
      </c>
      <c r="G13" s="296" t="s">
        <v>176</v>
      </c>
    </row>
    <row r="14" spans="1:7">
      <c r="A14" s="69" t="s">
        <v>150</v>
      </c>
      <c r="B14" s="445">
        <v>1</v>
      </c>
      <c r="C14" s="66">
        <v>0</v>
      </c>
      <c r="D14" s="232"/>
      <c r="E14" s="68"/>
      <c r="G14" s="297">
        <v>0</v>
      </c>
    </row>
    <row r="15" spans="1:7">
      <c r="A15" s="475" t="s">
        <v>267</v>
      </c>
      <c r="B15" s="472">
        <v>1</v>
      </c>
      <c r="C15" s="272">
        <v>5</v>
      </c>
      <c r="D15" s="473"/>
      <c r="E15" s="72"/>
      <c r="G15" s="474">
        <v>3000</v>
      </c>
    </row>
    <row r="16" spans="1:7" ht="16.2" thickBot="1">
      <c r="A16" s="340" t="s">
        <v>275</v>
      </c>
      <c r="B16" s="446">
        <v>1</v>
      </c>
      <c r="C16" s="227">
        <v>0.2</v>
      </c>
      <c r="D16" s="562" t="s">
        <v>372</v>
      </c>
      <c r="E16" s="229"/>
      <c r="G16" s="298" t="s">
        <v>276</v>
      </c>
    </row>
    <row r="17" spans="1:7" ht="24" thickTop="1" thickBot="1">
      <c r="A17" s="189"/>
      <c r="B17" s="189"/>
      <c r="D17" s="235" t="s">
        <v>178</v>
      </c>
      <c r="E17" s="231"/>
    </row>
    <row r="18" spans="1:7" ht="16.8" thickTop="1" thickBot="1">
      <c r="A18" s="61" t="s">
        <v>75</v>
      </c>
      <c r="B18" s="61" t="s">
        <v>7</v>
      </c>
      <c r="C18" s="62" t="s">
        <v>27</v>
      </c>
      <c r="D18" s="63" t="s">
        <v>76</v>
      </c>
      <c r="E18" s="64" t="s">
        <v>77</v>
      </c>
      <c r="G18" s="296" t="s">
        <v>176</v>
      </c>
    </row>
    <row r="19" spans="1:7">
      <c r="A19" s="236" t="s">
        <v>147</v>
      </c>
      <c r="B19" s="447">
        <v>1</v>
      </c>
      <c r="C19" s="237">
        <v>8</v>
      </c>
      <c r="D19" s="232"/>
      <c r="E19" s="68"/>
      <c r="G19" s="297">
        <v>0</v>
      </c>
    </row>
    <row r="20" spans="1:7">
      <c r="A20" s="69" t="s">
        <v>148</v>
      </c>
      <c r="B20" s="445">
        <v>1</v>
      </c>
      <c r="C20" s="66">
        <v>30</v>
      </c>
      <c r="D20" s="232"/>
      <c r="E20" s="68"/>
      <c r="G20" s="297">
        <v>0</v>
      </c>
    </row>
    <row r="21" spans="1:7">
      <c r="A21" s="65" t="s">
        <v>179</v>
      </c>
      <c r="B21" s="444">
        <v>1</v>
      </c>
      <c r="C21" s="66">
        <v>10</v>
      </c>
      <c r="D21" s="238"/>
      <c r="E21" s="68"/>
      <c r="G21" s="341"/>
    </row>
    <row r="22" spans="1:7" ht="16.2" thickBot="1">
      <c r="A22" s="233"/>
      <c r="B22" s="448"/>
      <c r="C22" s="227"/>
      <c r="D22" s="234"/>
      <c r="E22" s="229"/>
      <c r="G22" s="298"/>
    </row>
    <row r="23" spans="1:7" ht="23.4" thickTop="1">
      <c r="A23" s="189" t="s">
        <v>156</v>
      </c>
      <c r="B23" s="36">
        <f>SUM(C19:C22)</f>
        <v>48</v>
      </c>
      <c r="C23" s="19"/>
      <c r="D23" s="239"/>
      <c r="E23" s="231"/>
    </row>
    <row r="24" spans="1:7">
      <c r="E24" s="189" t="s">
        <v>202</v>
      </c>
      <c r="G24" s="342">
        <f>SUM(Martial!M3:M38,Equipment!G3:G22)</f>
        <v>68650.5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cols>
    <col min="1" max="1" width="13.296875" style="189" bestFit="1" customWidth="1"/>
    <col min="2" max="2" width="10.5" style="338" customWidth="1"/>
    <col min="3" max="3" width="5.8984375" style="338" customWidth="1"/>
    <col min="4" max="4" width="13.69921875" style="189" bestFit="1" customWidth="1"/>
    <col min="5" max="5" width="9.59765625" style="338" bestFit="1" customWidth="1"/>
    <col min="6" max="6" width="15.19921875" style="189" bestFit="1" customWidth="1"/>
    <col min="7" max="7" width="6.8984375" style="338" bestFit="1" customWidth="1"/>
    <col min="8" max="16384" width="13" style="274"/>
  </cols>
  <sheetData>
    <row r="1" spans="1:7" ht="29.4" thickTop="1" thickBot="1">
      <c r="A1" s="299" t="s">
        <v>228</v>
      </c>
      <c r="B1" s="300"/>
      <c r="C1" s="300"/>
      <c r="D1" s="301"/>
      <c r="E1" s="302"/>
      <c r="F1" s="303"/>
      <c r="G1" s="304" t="s">
        <v>191</v>
      </c>
    </row>
    <row r="2" spans="1:7" ht="17.399999999999999" thickTop="1">
      <c r="A2" s="199" t="s">
        <v>0</v>
      </c>
      <c r="B2" s="339" t="s">
        <v>193</v>
      </c>
      <c r="C2" s="305"/>
      <c r="D2" s="201" t="s">
        <v>1</v>
      </c>
      <c r="E2" s="202" t="s">
        <v>181</v>
      </c>
      <c r="F2" s="201" t="s">
        <v>182</v>
      </c>
      <c r="G2" s="306" t="s">
        <v>192</v>
      </c>
    </row>
    <row r="3" spans="1:7" ht="17.399999999999999" thickBot="1">
      <c r="A3" s="307" t="s">
        <v>183</v>
      </c>
      <c r="B3" s="308" t="s">
        <v>184</v>
      </c>
      <c r="C3" s="309"/>
      <c r="D3" s="310"/>
      <c r="E3" s="311"/>
      <c r="F3" s="310" t="s">
        <v>185</v>
      </c>
      <c r="G3" s="312" t="s">
        <v>120</v>
      </c>
    </row>
    <row r="4" spans="1:7" ht="17.399999999999999" thickTop="1">
      <c r="A4" s="207" t="s">
        <v>2</v>
      </c>
      <c r="B4" s="313">
        <v>19</v>
      </c>
      <c r="C4" s="314" t="str">
        <f t="shared" ref="C4:C9" si="0">IF(B4&gt;9.9,CONCATENATE("+",ROUNDDOWN((B4-10)/2,0)),ROUNDUP((B4-10)/2,0))</f>
        <v>+4</v>
      </c>
      <c r="D4" s="315" t="s">
        <v>15</v>
      </c>
      <c r="E4" s="316">
        <v>45</v>
      </c>
      <c r="F4" s="317">
        <v>45</v>
      </c>
      <c r="G4" s="318"/>
    </row>
    <row r="5" spans="1:7" ht="17.399999999999999" thickBot="1">
      <c r="A5" s="210" t="s">
        <v>3</v>
      </c>
      <c r="B5" s="319">
        <v>13</v>
      </c>
      <c r="C5" s="320" t="str">
        <f t="shared" si="0"/>
        <v>+1</v>
      </c>
      <c r="D5" s="321" t="s">
        <v>186</v>
      </c>
      <c r="E5" s="322">
        <v>10</v>
      </c>
      <c r="F5" s="323">
        <v>22</v>
      </c>
      <c r="G5" s="324"/>
    </row>
    <row r="6" spans="1:7" ht="17.399999999999999" thickTop="1">
      <c r="A6" s="214" t="s">
        <v>13</v>
      </c>
      <c r="B6" s="319">
        <v>17</v>
      </c>
      <c r="C6" s="320" t="str">
        <f t="shared" si="0"/>
        <v>+3</v>
      </c>
      <c r="D6" s="325" t="s">
        <v>187</v>
      </c>
      <c r="E6" s="326">
        <v>5</v>
      </c>
      <c r="F6" s="327"/>
      <c r="G6" s="324"/>
    </row>
    <row r="7" spans="1:7" ht="16.8">
      <c r="A7" s="328" t="s">
        <v>14</v>
      </c>
      <c r="B7" s="319">
        <v>6</v>
      </c>
      <c r="C7" s="320">
        <f t="shared" si="0"/>
        <v>-2</v>
      </c>
      <c r="D7" s="325" t="s">
        <v>188</v>
      </c>
      <c r="E7" s="329">
        <v>10</v>
      </c>
      <c r="F7" s="330"/>
      <c r="G7" s="324"/>
    </row>
    <row r="8" spans="1:7" ht="16.8">
      <c r="A8" s="219" t="s">
        <v>16</v>
      </c>
      <c r="B8" s="319">
        <v>11</v>
      </c>
      <c r="C8" s="331" t="str">
        <f t="shared" si="0"/>
        <v>+0</v>
      </c>
      <c r="D8" s="332" t="s">
        <v>189</v>
      </c>
      <c r="E8" s="329">
        <v>5</v>
      </c>
      <c r="F8" s="330"/>
      <c r="G8" s="324"/>
    </row>
    <row r="9" spans="1:7" ht="17.399999999999999" thickBot="1">
      <c r="A9" s="221" t="s">
        <v>12</v>
      </c>
      <c r="B9" s="333">
        <v>4</v>
      </c>
      <c r="C9" s="334">
        <f t="shared" si="0"/>
        <v>-3</v>
      </c>
      <c r="D9" s="335" t="s">
        <v>190</v>
      </c>
      <c r="E9" s="336">
        <v>4</v>
      </c>
      <c r="F9" s="330"/>
      <c r="G9" s="324"/>
    </row>
    <row r="10" spans="1:7" ht="17.399999999999999" thickTop="1">
      <c r="A10" s="199"/>
      <c r="B10" s="206"/>
      <c r="C10" s="206"/>
      <c r="D10" s="206"/>
      <c r="E10" s="204"/>
      <c r="F10" s="337"/>
      <c r="G10" s="324"/>
    </row>
    <row r="11" spans="1:7" ht="16.8">
      <c r="A11" s="223"/>
      <c r="B11" s="206"/>
      <c r="C11" s="206"/>
      <c r="D11" s="206"/>
      <c r="E11" s="204"/>
      <c r="F11" s="206"/>
      <c r="G11" s="204"/>
    </row>
    <row r="12" spans="1:7" ht="17.399999999999999" thickBot="1">
      <c r="A12" s="224"/>
      <c r="B12" s="225"/>
      <c r="C12" s="225"/>
      <c r="D12" s="225"/>
      <c r="E12" s="226"/>
      <c r="F12" s="225"/>
      <c r="G12" s="226"/>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Sune</vt:lpstr>
      <vt:lpstr>Spells</vt:lpstr>
      <vt:lpstr>Feats</vt:lpstr>
      <vt:lpstr>Martial</vt:lpstr>
      <vt:lpstr>Equipment</vt:lpstr>
      <vt:lpstr>Mount</vt:lpstr>
      <vt:lpstr>Feats!OLE_LINK1</vt:lpstr>
      <vt:lpstr>Mount!Print_Area</vt:lpstr>
      <vt:lpstr>'Personal File'!Print_Area</vt:lpstr>
      <vt:lpstr>Skills!Print_Area</vt:lpstr>
      <vt:lpstr>Sune!Print_Area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2020-11-07T18:34:22Z</dcterms:modified>
</cp:coreProperties>
</file>