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C:\A\Jue\DoW\PCs\"/>
    </mc:Choice>
  </mc:AlternateContent>
  <xr:revisionPtr revIDLastSave="0" documentId="13_ncr:1_{C0BDEAF2-1E60-4619-9755-363EDCD4FC1B}"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Invocations" sheetId="23" r:id="rId3"/>
    <sheet name="Feats" sheetId="20" r:id="rId4"/>
    <sheet name="Martial" sheetId="6" r:id="rId5"/>
    <sheet name="Equipment" sheetId="19" r:id="rId6"/>
  </sheets>
  <definedNames>
    <definedName name="OLE_LINK1" localSheetId="3">Feats!#REF!</definedName>
    <definedName name="_xlnm.Print_Area" localSheetId="5">Equipment!#REF!</definedName>
    <definedName name="_xlnm.Print_Area" localSheetId="3">Feats!#REF!</definedName>
    <definedName name="_xlnm.Print_Area" localSheetId="2">Invocations!$A$1:$I$5</definedName>
    <definedName name="_xlnm.Print_Area" localSheetId="4">Martial!#REF!</definedName>
    <definedName name="_xlnm.Print_Area" localSheetId="0">'Personal File'!$A$1:$H$27</definedName>
    <definedName name="_xlnm.Print_Area" localSheetId="1">Skills!$A$1:$K$29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4" l="1"/>
  <c r="B12" i="4"/>
  <c r="E44" i="15" l="1"/>
  <c r="E61" i="15"/>
  <c r="F41" i="15"/>
  <c r="F24" i="15"/>
  <c r="B5" i="15" l="1"/>
  <c r="B9" i="4"/>
  <c r="I3" i="6" l="1"/>
  <c r="B3" i="15" l="1"/>
  <c r="D3" i="15"/>
  <c r="E3" i="15" s="1"/>
  <c r="H3" i="15"/>
  <c r="B4" i="15"/>
  <c r="F4" i="15"/>
  <c r="H4" i="15"/>
  <c r="D5" i="15"/>
  <c r="E5" i="15" s="1"/>
  <c r="F5" i="15"/>
  <c r="G5" i="15"/>
  <c r="H5" i="15"/>
  <c r="D6" i="15"/>
  <c r="E6" i="15" s="1"/>
  <c r="H6" i="15"/>
  <c r="H7" i="15"/>
  <c r="D8" i="15"/>
  <c r="G8" i="15" s="1"/>
  <c r="E8" i="15"/>
  <c r="H8" i="15"/>
  <c r="H9" i="15"/>
  <c r="D10" i="15"/>
  <c r="G10" i="15" s="1"/>
  <c r="H10" i="15"/>
  <c r="D11" i="15"/>
  <c r="E11" i="15" s="1"/>
  <c r="H11" i="15"/>
  <c r="D12" i="15"/>
  <c r="E12" i="15"/>
  <c r="G12" i="15"/>
  <c r="H12" i="15"/>
  <c r="D13" i="15"/>
  <c r="E13" i="15" s="1"/>
  <c r="H13" i="15"/>
  <c r="D14" i="15"/>
  <c r="E14" i="15" s="1"/>
  <c r="H14" i="15"/>
  <c r="D15" i="15"/>
  <c r="E15" i="15" s="1"/>
  <c r="H15" i="15"/>
  <c r="D16" i="15"/>
  <c r="G16" i="15" s="1"/>
  <c r="F16" i="15"/>
  <c r="H16" i="15"/>
  <c r="H17" i="15"/>
  <c r="D18" i="15"/>
  <c r="E18" i="15" s="1"/>
  <c r="H18" i="15"/>
  <c r="D19" i="15"/>
  <c r="G19" i="15" s="1"/>
  <c r="H19" i="15"/>
  <c r="D20" i="15"/>
  <c r="G20" i="15" s="1"/>
  <c r="E20" i="15"/>
  <c r="H20" i="15"/>
  <c r="D21" i="15"/>
  <c r="G21" i="15" s="1"/>
  <c r="E21" i="15"/>
  <c r="H21" i="15"/>
  <c r="H22" i="15"/>
  <c r="D23" i="15"/>
  <c r="E23" i="15"/>
  <c r="G23" i="15"/>
  <c r="H23" i="15"/>
  <c r="H24" i="15"/>
  <c r="D25" i="15"/>
  <c r="E25" i="15" s="1"/>
  <c r="H25" i="15"/>
  <c r="D26" i="15"/>
  <c r="E26" i="15" s="1"/>
  <c r="H26" i="15"/>
  <c r="D27" i="15"/>
  <c r="G27" i="15" s="1"/>
  <c r="E27" i="15"/>
  <c r="H27" i="15"/>
  <c r="H28" i="15"/>
  <c r="F29" i="15"/>
  <c r="H29" i="15"/>
  <c r="D30" i="15"/>
  <c r="G30" i="15" s="1"/>
  <c r="E30" i="15"/>
  <c r="H30" i="15"/>
  <c r="D31" i="15"/>
  <c r="G31" i="15" s="1"/>
  <c r="H31" i="15"/>
  <c r="H32" i="15"/>
  <c r="D33" i="15"/>
  <c r="G33" i="15" s="1"/>
  <c r="H33" i="15"/>
  <c r="D34" i="15"/>
  <c r="E34" i="15"/>
  <c r="G34" i="15"/>
  <c r="H34" i="15"/>
  <c r="F35" i="15"/>
  <c r="H35" i="15"/>
  <c r="E31" i="15" l="1"/>
  <c r="G6" i="15"/>
  <c r="I6" i="15" s="1"/>
  <c r="E33" i="15"/>
  <c r="E19" i="15"/>
  <c r="E16" i="15"/>
  <c r="G11" i="15"/>
  <c r="E10" i="15"/>
  <c r="I8" i="15"/>
  <c r="I19" i="15"/>
  <c r="I27" i="15"/>
  <c r="I10" i="15"/>
  <c r="I20" i="15"/>
  <c r="I11" i="15"/>
  <c r="I12" i="15"/>
  <c r="I21" i="15"/>
  <c r="I33" i="15"/>
  <c r="I16" i="15"/>
  <c r="I23" i="15"/>
  <c r="I31" i="15"/>
  <c r="I30" i="15"/>
  <c r="I34" i="15"/>
  <c r="I5" i="15"/>
  <c r="G25" i="15"/>
  <c r="I25" i="15" s="1"/>
  <c r="G14" i="15"/>
  <c r="I14" i="15" s="1"/>
  <c r="G26" i="15"/>
  <c r="I26" i="15" s="1"/>
  <c r="G3" i="15"/>
  <c r="I3" i="15" s="1"/>
  <c r="G18" i="15"/>
  <c r="I18" i="15" s="1"/>
  <c r="G15" i="15"/>
  <c r="I15" i="15" s="1"/>
  <c r="G13" i="15"/>
  <c r="I13" i="15" s="1"/>
  <c r="I4" i="6"/>
  <c r="I21" i="6" l="1"/>
  <c r="G38" i="6" l="1"/>
  <c r="G37" i="6"/>
  <c r="A14" i="20" l="1"/>
  <c r="B14" i="4" l="1"/>
  <c r="I26" i="6" l="1"/>
  <c r="I27" i="6"/>
  <c r="I28" i="6"/>
  <c r="B15" i="4" l="1"/>
  <c r="M41" i="6" l="1"/>
  <c r="M43" i="6"/>
  <c r="I22" i="6" l="1"/>
  <c r="I23" i="6"/>
  <c r="I24" i="6"/>
  <c r="I29" i="6"/>
  <c r="I5" i="6"/>
  <c r="I7" i="6"/>
  <c r="I8" i="6"/>
  <c r="I9" i="6"/>
  <c r="I10" i="6"/>
  <c r="I11" i="6"/>
  <c r="I12" i="6"/>
  <c r="I13" i="6"/>
  <c r="I14" i="6"/>
  <c r="I15" i="6"/>
  <c r="I16" i="6"/>
  <c r="I17" i="6"/>
  <c r="I18" i="6"/>
  <c r="M32" i="6" l="1"/>
  <c r="H42" i="15" l="1"/>
  <c r="H41" i="15"/>
  <c r="G50" i="19" l="1"/>
  <c r="C50" i="19"/>
  <c r="H38" i="15" l="1"/>
  <c r="G27" i="19" l="1"/>
  <c r="G26" i="19"/>
  <c r="G54" i="19" s="1"/>
  <c r="C37" i="19" l="1"/>
  <c r="C26" i="19" l="1"/>
  <c r="C27" i="19"/>
  <c r="C22" i="19"/>
  <c r="C28" i="19"/>
  <c r="C49" i="19" l="1"/>
  <c r="C47" i="19"/>
  <c r="C38" i="19"/>
  <c r="C24" i="19"/>
  <c r="H37" i="15" l="1"/>
  <c r="E13" i="4" l="1"/>
  <c r="H43" i="15" l="1"/>
  <c r="H40" i="15"/>
  <c r="H39" i="15"/>
  <c r="H36" i="15"/>
  <c r="C14" i="4" l="1"/>
  <c r="E14" i="4" l="1"/>
  <c r="C12" i="4"/>
  <c r="C13" i="4"/>
  <c r="C15" i="4"/>
  <c r="E60" i="15" s="1"/>
  <c r="C16" i="4"/>
  <c r="C17" i="4"/>
  <c r="H21" i="6" l="1"/>
  <c r="J21" i="6" s="1"/>
  <c r="D35" i="15"/>
  <c r="D22" i="15"/>
  <c r="D4" i="15"/>
  <c r="D29" i="15"/>
  <c r="D7" i="15"/>
  <c r="D17" i="15"/>
  <c r="D32" i="15"/>
  <c r="D28" i="15"/>
  <c r="D24" i="15"/>
  <c r="D9" i="15"/>
  <c r="E54" i="15"/>
  <c r="E59" i="15"/>
  <c r="E58" i="15"/>
  <c r="E52" i="15"/>
  <c r="E57" i="15"/>
  <c r="E56" i="15"/>
  <c r="E55" i="15"/>
  <c r="D36" i="15"/>
  <c r="E36" i="15" s="1"/>
  <c r="D37" i="15"/>
  <c r="E37" i="15" s="1"/>
  <c r="E15" i="4"/>
  <c r="D43" i="15"/>
  <c r="E43" i="15" s="1"/>
  <c r="D41" i="15"/>
  <c r="E41" i="15" s="1"/>
  <c r="H26" i="6"/>
  <c r="H28" i="6"/>
  <c r="J28" i="6" s="1"/>
  <c r="H18" i="6"/>
  <c r="J18" i="6" s="1"/>
  <c r="H15" i="6"/>
  <c r="J15" i="6" s="1"/>
  <c r="H7" i="6"/>
  <c r="J7" i="6" s="1"/>
  <c r="D40" i="15"/>
  <c r="E40" i="15" s="1"/>
  <c r="H9" i="6"/>
  <c r="J9" i="6" s="1"/>
  <c r="E11" i="4"/>
  <c r="D42" i="15"/>
  <c r="E42" i="15" s="1"/>
  <c r="D38" i="15"/>
  <c r="E38" i="15" s="1"/>
  <c r="D39" i="15"/>
  <c r="E39" i="15" s="1"/>
  <c r="E53" i="15"/>
  <c r="E51" i="15"/>
  <c r="H24" i="6"/>
  <c r="J24" i="6" s="1"/>
  <c r="H5" i="6"/>
  <c r="J5" i="6" s="1"/>
  <c r="H12" i="6"/>
  <c r="J12" i="6" s="1"/>
  <c r="H16" i="6"/>
  <c r="B10" i="4"/>
  <c r="H13" i="6"/>
  <c r="H14" i="6" s="1"/>
  <c r="H10" i="6"/>
  <c r="H22" i="6"/>
  <c r="H23" i="6" s="1"/>
  <c r="J23" i="6" s="1"/>
  <c r="H3" i="6"/>
  <c r="H29" i="6"/>
  <c r="J29" i="6" s="1"/>
  <c r="E50" i="15"/>
  <c r="E49" i="15"/>
  <c r="E47" i="15"/>
  <c r="E45" i="15"/>
  <c r="E48" i="15"/>
  <c r="E46" i="15"/>
  <c r="E17" i="4"/>
  <c r="E16" i="4" s="1"/>
  <c r="E17" i="15" l="1"/>
  <c r="G17" i="15"/>
  <c r="I17" i="15" s="1"/>
  <c r="G32" i="15"/>
  <c r="I32" i="15" s="1"/>
  <c r="E32" i="15"/>
  <c r="E7" i="15"/>
  <c r="G7" i="15"/>
  <c r="I7" i="15" s="1"/>
  <c r="E29" i="15"/>
  <c r="G29" i="15"/>
  <c r="I29" i="15" s="1"/>
  <c r="E4" i="15"/>
  <c r="G4" i="15"/>
  <c r="I4" i="15" s="1"/>
  <c r="E22" i="15"/>
  <c r="G22" i="15"/>
  <c r="I22" i="15" s="1"/>
  <c r="E35" i="15"/>
  <c r="G35" i="15"/>
  <c r="I35" i="15" s="1"/>
  <c r="G28" i="15"/>
  <c r="I28" i="15" s="1"/>
  <c r="E28" i="15"/>
  <c r="G9" i="15"/>
  <c r="I9" i="15" s="1"/>
  <c r="E9" i="15"/>
  <c r="E24" i="15"/>
  <c r="G24" i="15"/>
  <c r="I24" i="15" s="1"/>
  <c r="H8" i="6"/>
  <c r="J8" i="6" s="1"/>
  <c r="H27" i="6"/>
  <c r="J27" i="6" s="1"/>
  <c r="J26" i="6"/>
  <c r="J16" i="6"/>
  <c r="H17" i="6"/>
  <c r="J17" i="6" s="1"/>
  <c r="J22" i="6"/>
  <c r="J14" i="6"/>
  <c r="J13" i="6"/>
  <c r="H4" i="6"/>
  <c r="J4" i="6" s="1"/>
  <c r="J3" i="6"/>
  <c r="H11" i="6"/>
  <c r="J11" i="6" s="1"/>
  <c r="J10" i="6"/>
  <c r="B44" i="15" l="1"/>
  <c r="G42" i="15" l="1"/>
  <c r="G41" i="15"/>
  <c r="G37" i="15"/>
  <c r="G40" i="15"/>
  <c r="G36" i="15"/>
  <c r="G43" i="15"/>
  <c r="G38" i="15"/>
  <c r="G39" i="15"/>
  <c r="I40" i="15" l="1"/>
  <c r="I38" i="15"/>
  <c r="I43" i="15"/>
  <c r="I37" i="15"/>
  <c r="I39" i="15"/>
  <c r="I36" i="15"/>
  <c r="I41" i="15"/>
  <c r="I4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00000000-0006-0000-0000-000001000000}">
      <text>
        <r>
          <rPr>
            <i/>
            <sz val="12"/>
            <color indexed="81"/>
            <rFont val="Times New Roman"/>
            <family val="1"/>
          </rPr>
          <t>bless +1       aid +1
haste +1    Shaken -2</t>
        </r>
      </text>
    </comment>
    <comment ref="C11" authorId="0" shapeId="0" xr:uid="{186C8596-6935-4CF8-9701-04C29E6DB978}">
      <text>
        <r>
          <rPr>
            <sz val="12"/>
            <color indexed="81"/>
            <rFont val="Times New Roman"/>
            <family val="1"/>
          </rPr>
          <t>Next level at 153,000 XPs</t>
        </r>
      </text>
    </comment>
    <comment ref="E11" authorId="0" shapeId="0" xr:uid="{00000000-0006-0000-0000-000003000000}">
      <text>
        <r>
          <rPr>
            <sz val="12"/>
            <color indexed="81"/>
            <rFont val="Times New Roman"/>
            <family val="1"/>
          </rPr>
          <t>ECL + 1 (Cha) + 2 (Great Renown)
+1 (Fairness &amp; Generosity)</t>
        </r>
      </text>
    </comment>
    <comment ref="B12" authorId="0" shapeId="0" xr:uid="{30C974D2-E844-46A1-9B65-043FC569DE98}">
      <text>
        <r>
          <rPr>
            <sz val="12"/>
            <color indexed="81"/>
            <rFont val="Times New Roman"/>
            <family val="1"/>
          </rPr>
          <t>Fatigued -2</t>
        </r>
      </text>
    </comment>
    <comment ref="E12" authorId="0" shapeId="0" xr:uid="{00000000-0006-0000-0000-000004000000}">
      <text>
        <r>
          <rPr>
            <sz val="12"/>
            <color indexed="81"/>
            <rFont val="Times New Roman"/>
            <family val="1"/>
          </rPr>
          <t>See PHB 162</t>
        </r>
      </text>
    </comment>
    <comment ref="B13" authorId="0" shapeId="0" xr:uid="{F0D6BB02-18E6-4228-8DBE-F6B1E0509A3C}">
      <text>
        <r>
          <rPr>
            <sz val="12"/>
            <color indexed="81"/>
            <rFont val="Times New Roman"/>
            <family val="1"/>
          </rPr>
          <t>Fatigued -2</t>
        </r>
      </text>
    </comment>
    <comment ref="E14" authorId="0" shapeId="0" xr:uid="{00000000-0006-0000-0000-000005000000}">
      <text>
        <r>
          <rPr>
            <sz val="12"/>
            <color indexed="81"/>
            <rFont val="Times New Roman"/>
            <family val="1"/>
          </rPr>
          <t>[(10 * 6 Rogue) * 75%] + 
[(1 * 6 Warlock) * 75%] +
(5 * 6 Combat Trapsmith) * 75%] +
(15 * 1 Con)</t>
        </r>
      </text>
    </comment>
    <comment ref="E15" authorId="0" shapeId="0" xr:uid="{00000000-0006-0000-0000-000006000000}">
      <text>
        <r>
          <rPr>
            <sz val="12"/>
            <color indexed="81"/>
            <rFont val="Times New Roman"/>
            <family val="1"/>
          </rPr>
          <t xml:space="preserve">+1 vs. Traps
+2 </t>
        </r>
        <r>
          <rPr>
            <i/>
            <sz val="12"/>
            <color indexed="81"/>
            <rFont val="Times New Roman"/>
            <family val="1"/>
          </rPr>
          <t>shield of faith
+1 haste</t>
        </r>
      </text>
    </comment>
    <comment ref="E16" authorId="0" shapeId="0" xr:uid="{00000000-0006-0000-0000-000007000000}">
      <text>
        <r>
          <rPr>
            <sz val="12"/>
            <color indexed="81"/>
            <rFont val="Times New Roman"/>
            <family val="1"/>
          </rPr>
          <t>Uncanny Dodge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i/>
            <sz val="12"/>
            <color indexed="81"/>
            <rFont val="Times New Roman"/>
            <family val="1"/>
          </rPr>
          <t>mass conviction +3</t>
        </r>
      </text>
    </comment>
    <comment ref="F4" authorId="0" shapeId="0" xr:uid="{00000000-0006-0000-0100-000002000000}">
      <text>
        <r>
          <rPr>
            <i/>
            <sz val="12"/>
            <color indexed="81"/>
            <rFont val="Times New Roman"/>
            <family val="1"/>
          </rPr>
          <t>Armor of Agility +1
mass conviction +3</t>
        </r>
      </text>
    </comment>
    <comment ref="F5" authorId="0" shapeId="0" xr:uid="{00000000-0006-0000-0100-000003000000}">
      <text>
        <r>
          <rPr>
            <i/>
            <sz val="12"/>
            <color indexed="81"/>
            <rFont val="Times New Roman"/>
            <family val="1"/>
          </rPr>
          <t>+1 vs. mind-affecting spells
mass conviction +3</t>
        </r>
      </text>
    </comment>
    <comment ref="F7" authorId="0" shapeId="0" xr:uid="{00000000-0006-0000-0100-000004000000}">
      <text>
        <r>
          <rPr>
            <sz val="12"/>
            <color indexed="81"/>
            <rFont val="Times New Roman"/>
            <family val="1"/>
          </rPr>
          <t>Tumble Synergy</t>
        </r>
      </text>
    </comment>
    <comment ref="F9" authorId="0" shapeId="0" xr:uid="{00000000-0006-0000-0100-000005000000}">
      <text>
        <r>
          <rPr>
            <sz val="12"/>
            <color indexed="81"/>
            <rFont val="Times New Roman"/>
            <family val="1"/>
          </rPr>
          <t>Climbing Kit +2</t>
        </r>
      </text>
    </comment>
    <comment ref="F12" authorId="0" shapeId="0" xr:uid="{00000000-0006-0000-0100-000006000000}">
      <text>
        <r>
          <rPr>
            <sz val="12"/>
            <color indexed="81"/>
            <rFont val="Times New Roman"/>
            <family val="1"/>
          </rPr>
          <t>Skill Focus +2</t>
        </r>
      </text>
    </comment>
    <comment ref="F14" authorId="0" shapeId="0" xr:uid="{00000000-0006-0000-0100-000007000000}">
      <text>
        <r>
          <rPr>
            <sz val="12"/>
            <color indexed="81"/>
            <rFont val="Times New Roman"/>
            <family val="1"/>
          </rPr>
          <t>Synergy +2</t>
        </r>
      </text>
    </comment>
    <comment ref="F15" authorId="0" shapeId="0" xr:uid="{00000000-0006-0000-0100-000008000000}">
      <text>
        <r>
          <rPr>
            <sz val="12"/>
            <color indexed="81"/>
            <rFont val="Times New Roman"/>
            <family val="1"/>
          </rPr>
          <t>MW lockpick</t>
        </r>
      </text>
    </comment>
    <comment ref="F16" authorId="0" shapeId="0" xr:uid="{00000000-0006-0000-0100-000009000000}">
      <text>
        <r>
          <rPr>
            <sz val="12"/>
            <color indexed="81"/>
            <rFont val="Times New Roman"/>
            <family val="1"/>
          </rPr>
          <t xml:space="preserve">+10 when </t>
        </r>
        <r>
          <rPr>
            <i/>
            <sz val="12"/>
            <color indexed="81"/>
            <rFont val="Times New Roman"/>
            <family val="1"/>
          </rPr>
          <t>shapechanged</t>
        </r>
        <r>
          <rPr>
            <sz val="12"/>
            <color indexed="81"/>
            <rFont val="Times New Roman"/>
            <family val="1"/>
          </rPr>
          <t xml:space="preserve">
Bluff Synergy +2</t>
        </r>
      </text>
    </comment>
    <comment ref="F19" authorId="0" shapeId="0" xr:uid="{00000000-0006-0000-0100-00000A000000}">
      <text>
        <r>
          <rPr>
            <sz val="12"/>
            <color indexed="81"/>
            <rFont val="Times New Roman"/>
            <family val="1"/>
          </rPr>
          <t>Synergy +2</t>
        </r>
      </text>
    </comment>
    <comment ref="F23" authorId="0" shapeId="0" xr:uid="{00000000-0006-0000-0100-00000B000000}">
      <text>
        <r>
          <rPr>
            <sz val="12"/>
            <color indexed="81"/>
            <rFont val="Times New Roman"/>
            <family val="1"/>
          </rPr>
          <t>Synergy +2</t>
        </r>
      </text>
    </comment>
    <comment ref="F24" authorId="0" shapeId="0" xr:uid="{EE8F9A94-54C6-4970-845C-EEBA560ED439}">
      <text>
        <r>
          <rPr>
            <sz val="12"/>
            <color indexed="81"/>
            <rFont val="Times New Roman"/>
            <family val="1"/>
          </rPr>
          <t>Tumble synergy +2
Leaps &amp; Bounds +6</t>
        </r>
      </text>
    </comment>
    <comment ref="F29" authorId="0" shapeId="0" xr:uid="{00000000-0006-0000-0100-00000D000000}">
      <text>
        <r>
          <rPr>
            <sz val="12"/>
            <color indexed="81"/>
            <rFont val="Times New Roman"/>
            <family val="1"/>
          </rPr>
          <t>MW lockpick</t>
        </r>
      </text>
    </comment>
    <comment ref="F35" authorId="0" shapeId="0" xr:uid="{00000000-0006-0000-0100-00000E000000}">
      <text>
        <r>
          <rPr>
            <sz val="12"/>
            <color indexed="81"/>
            <rFont val="Times New Roman"/>
            <family val="1"/>
          </rPr>
          <t>Synergy +2
Deft Hands +2</t>
        </r>
      </text>
    </comment>
    <comment ref="F38" authorId="0" shapeId="0" xr:uid="{00000000-0006-0000-0100-00000F000000}">
      <text>
        <r>
          <rPr>
            <sz val="12"/>
            <color indexed="81"/>
            <rFont val="Times New Roman"/>
            <family val="1"/>
          </rPr>
          <t>Scout’s Headband +2</t>
        </r>
      </text>
    </comment>
    <comment ref="F41" authorId="0" shapeId="0" xr:uid="{00000000-0006-0000-0100-000010000000}">
      <text>
        <r>
          <rPr>
            <sz val="12"/>
            <color indexed="81"/>
            <rFont val="Times New Roman"/>
            <family val="1"/>
          </rPr>
          <t>Acrobat Boots +2
Leaps and Bounds +6</t>
        </r>
      </text>
    </comment>
    <comment ref="F43" authorId="0" shapeId="0" xr:uid="{00000000-0006-0000-0100-000011000000}">
      <text>
        <r>
          <rPr>
            <sz val="12"/>
            <color indexed="81"/>
            <rFont val="Times New Roman"/>
            <family val="1"/>
          </rPr>
          <t>Deft Hands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300-000001000000}">
      <text>
        <r>
          <rPr>
            <sz val="12"/>
            <color indexed="81"/>
            <rFont val="Times New Roman"/>
            <family val="1"/>
          </rPr>
          <t xml:space="preserve">The winds of fortune guide your hands when you most need luck.
</t>
        </r>
        <r>
          <rPr>
            <b/>
            <sz val="12"/>
            <color indexed="81"/>
            <rFont val="Times New Roman"/>
            <family val="1"/>
          </rPr>
          <t xml:space="preserve">Benefit:  </t>
        </r>
        <r>
          <rPr>
            <sz val="12"/>
            <color indexed="81"/>
            <rFont val="Times New Roman"/>
            <family val="1"/>
          </rPr>
          <t>You can expend one luck reroll as an immediate action to reroll a Disable Device, Open Lock, or Sleight of Hand check.
You gain one luck reroll per day.
Complete Scoundrel 79</t>
        </r>
      </text>
    </comment>
    <comment ref="A3" authorId="0" shapeId="0" xr:uid="{00000000-0006-0000-0300-000002000000}">
      <text>
        <r>
          <rPr>
            <sz val="12"/>
            <color indexed="81"/>
            <rFont val="Times New Roman"/>
            <family val="1"/>
          </rPr>
          <t xml:space="preserve">The powers of fortune truly smile on you more than most mortals.
</t>
        </r>
        <r>
          <rPr>
            <b/>
            <sz val="12"/>
            <color indexed="81"/>
            <rFont val="Times New Roman"/>
            <family val="1"/>
          </rPr>
          <t xml:space="preserve">Prerequisite:  </t>
        </r>
        <r>
          <rPr>
            <sz val="12"/>
            <color indexed="81"/>
            <rFont val="Times New Roman"/>
            <family val="1"/>
          </rPr>
          <t xml:space="preserve">Any luck feat.
</t>
        </r>
        <r>
          <rPr>
            <b/>
            <sz val="12"/>
            <color indexed="81"/>
            <rFont val="Times New Roman"/>
            <family val="1"/>
          </rPr>
          <t xml:space="preserve">Benefit:  </t>
        </r>
        <r>
          <rPr>
            <sz val="12"/>
            <color indexed="81"/>
            <rFont val="Times New Roman"/>
            <family val="1"/>
          </rPr>
          <t>As long as you have at least one luck reroll remaining for the day, you gain a +2 luck bonus on whichever of your saves has the lowest base bonus.  If two or more of your saves tie for the lowest base bonus, choose when you select this feat which save it applies to.
If your base save bonuses later change so that the chosen save no longer has the lowest base bonus, the luck bonus from this feat immediately applies to the save that now has the lowest base bonus.
You gain two luck rerolls per day.
Complete Scoundrel 82</t>
        </r>
      </text>
    </comment>
    <comment ref="A4" authorId="0" shapeId="0" xr:uid="{00000000-0006-0000-0300-000003000000}">
      <text>
        <r>
          <rPr>
            <sz val="12"/>
            <color indexed="81"/>
            <rFont val="Times New Roman"/>
            <family val="1"/>
          </rPr>
          <t>As Leadership (DMG 106), but no followers.</t>
        </r>
      </text>
    </comment>
    <comment ref="A5" authorId="0" shapeId="0" xr:uid="{00000000-0006-0000-0300-000004000000}">
      <text>
        <r>
          <rPr>
            <sz val="12"/>
            <color indexed="81"/>
            <rFont val="Times New Roman"/>
            <family val="1"/>
          </rPr>
          <t xml:space="preserve">You attract a more powerful cohort than you normally would.
</t>
        </r>
        <r>
          <rPr>
            <b/>
            <sz val="12"/>
            <color indexed="81"/>
            <rFont val="Times New Roman"/>
            <family val="1"/>
          </rPr>
          <t xml:space="preserve">Prerequisites:  </t>
        </r>
        <r>
          <rPr>
            <sz val="12"/>
            <color indexed="81"/>
            <rFont val="Times New Roman"/>
            <family val="1"/>
          </rPr>
          <t xml:space="preserve">Cha 15, Leadership.
</t>
        </r>
        <r>
          <rPr>
            <b/>
            <sz val="12"/>
            <color indexed="81"/>
            <rFont val="Times New Roman"/>
            <family val="1"/>
          </rPr>
          <t xml:space="preserve">Benefit:  </t>
        </r>
        <r>
          <rPr>
            <sz val="12"/>
            <color indexed="81"/>
            <rFont val="Times New Roman"/>
            <family val="1"/>
          </rPr>
          <t xml:space="preserve">The maximum level of the cohort you gain from the Leadership feat (see page 106 of the Dungeon Master’s Guide) is one lower than your character level.
</t>
        </r>
        <r>
          <rPr>
            <b/>
            <sz val="12"/>
            <color indexed="81"/>
            <rFont val="Times New Roman"/>
            <family val="1"/>
          </rPr>
          <t xml:space="preserve">Normal:  </t>
        </r>
        <r>
          <rPr>
            <sz val="12"/>
            <color indexed="81"/>
            <rFont val="Times New Roman"/>
            <family val="1"/>
          </rPr>
          <t>Without this feat, a cohort’s maximum level is two levels below the associated PC’s level.
Heroes of Battle 98</t>
        </r>
      </text>
    </comment>
    <comment ref="A6" authorId="0" shapeId="0" xr:uid="{00000000-0006-0000-0300-000005000000}">
      <text>
        <r>
          <rPr>
            <sz val="12"/>
            <color indexed="81"/>
            <rFont val="Times New Roman"/>
            <family val="1"/>
          </rPr>
          <t xml:space="preserve">You have exceptional manual dexterity.
</t>
        </r>
        <r>
          <rPr>
            <b/>
            <sz val="12"/>
            <color indexed="81"/>
            <rFont val="Times New Roman"/>
            <family val="1"/>
          </rPr>
          <t xml:space="preserve">Benefit:  </t>
        </r>
        <r>
          <rPr>
            <sz val="12"/>
            <color indexed="81"/>
            <rFont val="Times New Roman"/>
            <family val="1"/>
          </rPr>
          <t>You get a +2 bonus on all Sleight of Hand checks and
Use Rope checks.
PHB 93</t>
        </r>
      </text>
    </comment>
    <comment ref="A7" authorId="0" shapeId="0" xr:uid="{00000000-0006-0000-0300-000006000000}">
      <text>
        <r>
          <rPr>
            <sz val="12"/>
            <color indexed="81"/>
            <rFont val="Times New Roman"/>
            <family val="1"/>
          </rPr>
          <t xml:space="preserve">You are especially skilled at using weapons that can benefit as much from Dexterity as from Strength.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With a light weapon, rapier, whip, or spiked chain made for a creature of your size category, you may use your Dexterity modifier instead of your Strength modifier on attack rolls.  If you carry a shield, its armor check penalty applies to your attack rolls.
</t>
        </r>
        <r>
          <rPr>
            <b/>
            <sz val="12"/>
            <color indexed="81"/>
            <rFont val="Times New Roman"/>
            <family val="1"/>
          </rPr>
          <t xml:space="preserve">Special:  </t>
        </r>
        <r>
          <rPr>
            <sz val="12"/>
            <color indexed="81"/>
            <rFont val="Times New Roman"/>
            <family val="1"/>
          </rPr>
          <t>A fighter may select Weapon Finesse as one of his fighter bonus feats (see page 38).
Natural weapons are always considered light weapons.
PHB 102</t>
        </r>
      </text>
    </comment>
    <comment ref="A8" authorId="0" shapeId="0" xr:uid="{00000000-0006-0000-0300-000007000000}">
      <text>
        <r>
          <rPr>
            <sz val="12"/>
            <color indexed="81"/>
            <rFont val="Times New Roman"/>
            <family val="1"/>
          </rPr>
          <t xml:space="preserve">When you strike an opponent’s vital areas, you draw on your ability to land crippling blows to make the most of your attack.
</t>
        </r>
        <r>
          <rPr>
            <b/>
            <sz val="12"/>
            <color indexed="81"/>
            <rFont val="Times New Roman"/>
            <family val="1"/>
          </rPr>
          <t xml:space="preserve">Prerequisite:  </t>
        </r>
        <r>
          <rPr>
            <sz val="12"/>
            <color indexed="81"/>
            <rFont val="Times New Roman"/>
            <family val="1"/>
          </rPr>
          <t xml:space="preserve">Skirmish or sneak attack ability.
</t>
        </r>
        <r>
          <rPr>
            <b/>
            <sz val="12"/>
            <color indexed="81"/>
            <rFont val="Times New Roman"/>
            <family val="1"/>
          </rPr>
          <t xml:space="preserve">Benefit:  </t>
        </r>
        <r>
          <rPr>
            <sz val="12"/>
            <color indexed="81"/>
            <rFont val="Times New Roman"/>
            <family val="1"/>
          </rPr>
          <t>When you score a critical hit against a target, you deal your skirmish or sneak attack damage in addition to the damage from your critical hit. Your critical multiplier applies only to your normal damage, not your skirmish or sneak attack damage. This benefit affects both melee and ranged attacks.
PHB II 83</t>
        </r>
      </text>
    </comment>
    <comment ref="A9" authorId="0" shapeId="0" xr:uid="{00000000-0006-0000-0300-000008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A12" authorId="0" shapeId="0" xr:uid="{00000000-0006-0000-0300-00000900000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14" authorId="0" shapeId="0" xr:uid="{00000000-0006-0000-0300-00000A000000}">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A15" authorId="0" shapeId="0" xr:uid="{00000000-0006-0000-0300-00000B00000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16" authorId="0" shapeId="0" xr:uid="{00000000-0006-0000-0300-00000C000000}">
      <text>
        <r>
          <rPr>
            <sz val="12"/>
            <color indexed="81"/>
            <rFont val="Times New Roman"/>
            <family val="1"/>
          </rPr>
          <t>Starting at 4th level, a rogue can react to danger before her senses would normally allow her to do so.  She retains her Dexterity bonus to AC (if any) even if she is caught flat-footed or struck by an invisible attacker.  However, she still loses her Dexterity bonus to AC if immobilized.  If a rogue already has uncanny dodge from a different class (a rogue with at least two levels of barbarian, for example), she automatically gains improved uncanny dodge (see below) instead.
PHB 50</t>
        </r>
      </text>
    </comment>
    <comment ref="A17" authorId="0" shapeId="0" xr:uid="{00000000-0006-0000-0300-00000D000000}">
      <text>
        <r>
          <rPr>
            <sz val="12"/>
            <color indexed="81"/>
            <rFont val="Times New Roman"/>
            <family val="1"/>
          </rPr>
          <t>A rogue of 8th level or higher can no longer be flanked; she can react to opponents on opposite sides of her as easily as she can react to a single attacker.  This defense denies another rogue the ability to sneak attack the character by flanking her, unless the attacker has at least four more rogue levels than the target does.
If a character already has uncanny dodge (see above) from a second class, the character automatically gains improved uncanny dodge instead, and the levels from the classes that grant uncanny dodge stack to determine the minimum rogue level required to flank the character.
PHB 50</t>
        </r>
      </text>
    </comment>
    <comment ref="A18" authorId="0" shapeId="0" xr:uid="{00000000-0006-0000-0300-00000E000000}">
      <text>
        <r>
          <rPr>
            <sz val="12"/>
            <color indexed="81"/>
            <rFont val="Times New Roman"/>
            <family val="1"/>
          </rPr>
          <t>Can craft and set traps without provoking AoO</t>
        </r>
      </text>
    </comment>
    <comment ref="D18" authorId="0" shapeId="0" xr:uid="{00000000-0006-0000-0300-00000F000000}">
      <text>
        <r>
          <rPr>
            <sz val="12"/>
            <color indexed="81"/>
            <rFont val="Times New Roman"/>
            <family val="1"/>
          </rPr>
          <t>Hand crossbow, rapier, sap, shortbow, and short sword.
PHB 50</t>
        </r>
      </text>
    </comment>
    <comment ref="A19" authorId="0" shapeId="0" xr:uid="{00000000-0006-0000-0300-000010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21" authorId="0" shapeId="0" xr:uid="{00000000-0006-0000-0300-000011000000}">
      <text>
        <r>
          <rPr>
            <sz val="12"/>
            <color indexed="81"/>
            <rFont val="Times New Roman"/>
            <family val="1"/>
          </rPr>
          <t>A rogue with this ability can sneak attack opponents with such precision that her blows weaken and hamper them.  An opponent damaged by one of her sneak attacks also takes 2 points of Strength damage.  Ability points lost to damage return on their own at the rate of 1 point per day for each damaged ability.
PHB 51</t>
        </r>
      </text>
    </comment>
    <comment ref="A22" authorId="0" shapeId="0" xr:uid="{4DB2DA0D-108E-43D2-8907-6A44EA0CCE30}">
      <text>
        <r>
          <rPr>
            <sz val="12"/>
            <color indexed="81"/>
            <rFont val="Times New Roman"/>
            <family val="1"/>
          </rPr>
          <t xml:space="preserve">You strike with devastating accuracy more often.
</t>
        </r>
        <r>
          <rPr>
            <b/>
            <sz val="12"/>
            <color indexed="81"/>
            <rFont val="Times New Roman"/>
            <family val="1"/>
          </rPr>
          <t xml:space="preserve">Benefit:  </t>
        </r>
        <r>
          <rPr>
            <sz val="12"/>
            <color indexed="81"/>
            <rFont val="Times New Roman"/>
            <family val="1"/>
          </rPr>
          <t>You can expend one luck reroll as a swift action to reroll a critical threat confirmation roll.
You gain one luck reroll per day.
Complete Scoundrel 82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400-000001000000}">
      <text>
        <r>
          <rPr>
            <sz val="12"/>
            <color indexed="81"/>
            <rFont val="Times New Roman"/>
            <family val="1"/>
          </rPr>
          <t>A deadly precision weapon deals an extra 2d6 points of damage when its wielder makes a successful sneak attack.  This ability does not bestow the ability to make sneak attacks upon a user who does not already have it.
Complete Adventurer 127
This ability doubles the threat range of a weapon.  For instance, if it is placed on a longsword (which has a normal threat range of 19–20), the keen longsword scores a threat on a 17–20.  Only piercing or slashing weapons can be keen.  (If you roll this property randomly for an inappropriate weapon, reroll.) This benefit doesn’t stack with any other effect that expands the threat range of a weapon (such as the keen edge spell or the Improved Critical feat).
DMG 225</t>
        </r>
      </text>
    </comment>
    <comment ref="A16" authorId="0" shapeId="0" xr:uid="{00000000-0006-0000-0400-00000200000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Melee weapon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evocation
</t>
        </r>
        <r>
          <rPr>
            <b/>
            <sz val="12"/>
            <color indexed="81"/>
            <rFont val="Times New Roman"/>
            <family val="1"/>
          </rPr>
          <t xml:space="preserve">Activation:  </t>
        </r>
        <r>
          <rPr>
            <sz val="12"/>
            <color indexed="81"/>
            <rFont val="Times New Roman"/>
            <family val="1"/>
          </rPr>
          <t>—
This weapon, which is decorated with a wing motif, vibrates slightly, as though with excitement.
An eager weapon can be drawn as a free action.  While wielding it, you gain a +2 bonus on initiative checks and a +2 bonus on damage rolls made during a surprise round and the first round of combat.
MIC 34</t>
        </r>
      </text>
    </comment>
    <comment ref="A21" authorId="0" shapeId="0" xr:uid="{CB940808-6B13-44E9-B055-E03F4B4EB2D0}">
      <text>
        <r>
          <rPr>
            <sz val="12"/>
            <color indexed="81"/>
            <rFont val="Times New Roman"/>
            <family val="1"/>
          </rPr>
          <t>A deadly precision weapon deals an extra 2d6 points of damage when its wielder makes a successful sneak attack.  This ability does not bestow the ability to make sneak attacks upon a user who does not already have it.
Moderate transmutation; CL 12th; Craft Magic Arms and Armor, keen edge; Price +2 bonus.
Complete Adventurer 127</t>
        </r>
      </text>
    </comment>
    <comment ref="A22" authorId="0" shapeId="0" xr:uid="{00000000-0006-0000-0400-000003000000}">
      <text>
        <r>
          <rPr>
            <sz val="12"/>
            <color indexed="81"/>
            <rFont val="Times New Roman"/>
            <family val="1"/>
          </rPr>
          <t>A deadly precision weapon deals an extra 2d6 points of damage when its wielder makes a successful sneak attack.  This ability does not bestow the ability to make sneak attacks upon a user who does not already have it.
Moderate transmutation; CL 12th; Craft Magic Arms and Armor, keen edge; Price +2 bonus.
Complete Adventurer 127</t>
        </r>
      </text>
    </comment>
    <comment ref="A26" authorId="0" shapeId="0" xr:uid="{00000000-0006-0000-0400-000004000000}">
      <text>
        <r>
          <rPr>
            <sz val="12"/>
            <color indexed="81"/>
            <rFont val="Times New Roman"/>
            <family val="1"/>
          </rPr>
          <t>A deadly precision weapon deals an extra 2d6 points of damage when its wielder makes a successful sneak attack.  This ability does not bestow the ability to make sneak attacks upon a user who does not already have it.
Moderate transmutation; CL 12th; Craft Magic Arms and Armor, keen edge; Price +2 bonus.
Complete Adventurer 127</t>
        </r>
      </text>
    </comment>
    <comment ref="D31" authorId="0" shapeId="0" xr:uid="{00000000-0006-0000-0400-000005000000}">
      <text>
        <r>
          <rPr>
            <sz val="12"/>
            <color indexed="81"/>
            <rFont val="Times New Roman"/>
            <family val="1"/>
          </rPr>
          <t>Balance, Climb, Escape Artist, Hide, Jump, Move Silently, Sleight of Hand, Tumble.</t>
        </r>
      </text>
    </comment>
    <comment ref="A32" authorId="0" shapeId="0" xr:uid="{00000000-0006-0000-0400-00000600000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Body
</t>
        </r>
        <r>
          <rPr>
            <b/>
            <sz val="12"/>
            <color indexed="81"/>
            <rFont val="Times New Roman"/>
            <family val="1"/>
          </rPr>
          <t xml:space="preserve">Caster Level:  </t>
        </r>
        <r>
          <rPr>
            <sz val="12"/>
            <color indexed="81"/>
            <rFont val="Times New Roman"/>
            <family val="1"/>
          </rPr>
          <t xml:space="preserve">6th
</t>
        </r>
        <r>
          <rPr>
            <b/>
            <sz val="12"/>
            <color indexed="81"/>
            <rFont val="Times New Roman"/>
            <family val="1"/>
          </rPr>
          <t xml:space="preserve">Aura:  </t>
        </r>
        <r>
          <rPr>
            <sz val="12"/>
            <color indexed="81"/>
            <rFont val="Times New Roman"/>
            <family val="1"/>
          </rPr>
          <t xml:space="preserve">Moderate; (DC 18) conjuration
</t>
        </r>
        <r>
          <rPr>
            <b/>
            <sz val="12"/>
            <color indexed="81"/>
            <rFont val="Times New Roman"/>
            <family val="1"/>
          </rPr>
          <t xml:space="preserve">Activation:  </t>
        </r>
        <r>
          <rPr>
            <sz val="12"/>
            <color indexed="81"/>
            <rFont val="Times New Roman"/>
            <family val="1"/>
          </rPr>
          <t xml:space="preserve">Swift (mental)
</t>
        </r>
        <r>
          <rPr>
            <b/>
            <sz val="12"/>
            <color indexed="81"/>
            <rFont val="Times New Roman"/>
            <family val="1"/>
          </rPr>
          <t xml:space="preserve">Weight:  </t>
        </r>
        <r>
          <rPr>
            <sz val="12"/>
            <color indexed="81"/>
            <rFont val="Times New Roman"/>
            <family val="1"/>
          </rPr>
          <t>10 lb.
This delicate-looking chain shirt is forged from a silver-white mithral alloy that gleams like starlight.
Up to seven times per day, you can activate this +1 mithral shirt to fill your space with a billowing silver mist.  This gleaming fog grants you concealment against attacks but does not interfere with your vision.
The mist lasts for 1 minute per activation, and it remains in the space where you activated the effect (it doesn’t move with you if you leave that space).
MIC 20</t>
        </r>
      </text>
    </comment>
    <comment ref="A33" authorId="0" shapeId="0" xr:uid="{00000000-0006-0000-0400-000007000000}">
      <text>
        <r>
          <rPr>
            <b/>
            <sz val="12"/>
            <color indexed="81"/>
            <rFont val="Times New Roman"/>
            <family val="1"/>
          </rPr>
          <t xml:space="preserve">Price (Item Level):  </t>
        </r>
        <r>
          <rPr>
            <sz val="12"/>
            <color indexed="81"/>
            <rFont val="Times New Roman"/>
            <family val="1"/>
          </rPr>
          <t xml:space="preserve">5,000 gp (9th)
</t>
        </r>
        <r>
          <rPr>
            <b/>
            <sz val="12"/>
            <color indexed="81"/>
            <rFont val="Times New Roman"/>
            <family val="1"/>
          </rPr>
          <t xml:space="preserve">Body Slot:  </t>
        </r>
        <r>
          <rPr>
            <sz val="12"/>
            <color indexed="81"/>
            <rFont val="Times New Roman"/>
            <family val="1"/>
          </rPr>
          <t xml:space="preserve">Arms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(mental)
</t>
        </r>
        <r>
          <rPr>
            <b/>
            <sz val="12"/>
            <color indexed="81"/>
            <rFont val="Times New Roman"/>
            <family val="1"/>
          </rPr>
          <t xml:space="preserve">Weight:  </t>
        </r>
        <r>
          <rPr>
            <sz val="12"/>
            <color indexed="81"/>
            <rFont val="Times New Roman"/>
            <family val="1"/>
          </rPr>
          <t>2 lb.
Each of these black steel bracers is marked with an etching of crossed swords.  When activated, deathstrike bracers allow you to use melee weapons to deal extra damage from critical hits and sneak attacks to constructs, elementals, oozes, plants, and undead as if they were not immune to such extra damage.  You must still roll a critical threat and confirm it as a critical hit or qualify to deliver sneak attack damage to gain any benefit from the bracers.  This effect does not allow you to overcome any other immunity or resistance to extra damage from sneak attacks or critical hits (such as the fortification armor property).
This effect lasts for 1 round.  This ability functions three times per day.
MIC 93</t>
        </r>
      </text>
    </comment>
    <comment ref="A34" authorId="0" shapeId="0" xr:uid="{00000000-0006-0000-0400-000008000000}">
      <text>
        <r>
          <rPr>
            <b/>
            <sz val="12"/>
            <color indexed="81"/>
            <rFont val="Times New Roman"/>
            <family val="1"/>
          </rPr>
          <t xml:space="preserve">Price (Item Level):  </t>
        </r>
        <r>
          <rPr>
            <sz val="12"/>
            <color indexed="81"/>
            <rFont val="Times New Roman"/>
            <family val="1"/>
          </rPr>
          <t xml:space="preserve">500 gp (3rd) (least), 4,000 gp (8th) (lesser), or 10,000 gp (12th)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Caster Level:</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abjuration
</t>
        </r>
        <r>
          <rPr>
            <b/>
            <sz val="12"/>
            <color indexed="81"/>
            <rFont val="Times New Roman"/>
            <family val="1"/>
          </rPr>
          <t xml:space="preserve">Activation:  </t>
        </r>
        <r>
          <rPr>
            <sz val="12"/>
            <color indexed="81"/>
            <rFont val="Times New Roman"/>
            <family val="1"/>
          </rPr>
          <t xml:space="preserve">—; see text
</t>
        </r>
        <r>
          <rPr>
            <b/>
            <sz val="12"/>
            <color indexed="81"/>
            <rFont val="Times New Roman"/>
            <family val="1"/>
          </rPr>
          <t xml:space="preserve">Weight: </t>
        </r>
        <r>
          <rPr>
            <sz val="12"/>
            <color indexed="81"/>
            <rFont val="Times New Roman"/>
            <family val="1"/>
          </rPr>
          <t xml:space="preserve"> —
This crystal is black as a clouded night sky.  A crystal of mind cloaking protects you against mental infiltration.
</t>
        </r>
        <r>
          <rPr>
            <b/>
            <sz val="12"/>
            <color indexed="81"/>
            <rFont val="Times New Roman"/>
            <family val="1"/>
          </rPr>
          <t xml:space="preserve">Least:  </t>
        </r>
        <r>
          <rPr>
            <sz val="12"/>
            <color indexed="81"/>
            <rFont val="Times New Roman"/>
            <family val="1"/>
          </rPr>
          <t xml:space="preserve">This augment crystal grants you a +1 competence bonus on saving throws against mind-affecting spells and abilities.
</t>
        </r>
        <r>
          <rPr>
            <b/>
            <sz val="12"/>
            <color indexed="81"/>
            <rFont val="Times New Roman"/>
            <family val="1"/>
          </rPr>
          <t xml:space="preserve">Lesser:  </t>
        </r>
        <r>
          <rPr>
            <sz val="12"/>
            <color indexed="81"/>
            <rFont val="Times New Roman"/>
            <family val="1"/>
          </rPr>
          <t xml:space="preserve">As above, except the crystal grants a +3 competence bonus.
</t>
        </r>
        <r>
          <rPr>
            <b/>
            <sz val="12"/>
            <color indexed="81"/>
            <rFont val="Times New Roman"/>
            <family val="1"/>
          </rPr>
          <t xml:space="preserve">Greater:  </t>
        </r>
        <r>
          <rPr>
            <sz val="12"/>
            <color indexed="81"/>
            <rFont val="Times New Roman"/>
            <family val="1"/>
          </rPr>
          <t xml:space="preserve">As above, except the crystal grants a +5 competence bonus. In addition, if you fail a save against a mind-affecting spell or ability, you can choose to reroll the save as an immediate (mental) action.
This ability functions once per day.
</t>
        </r>
        <r>
          <rPr>
            <b/>
            <sz val="12"/>
            <color indexed="81"/>
            <rFont val="Times New Roman"/>
            <family val="1"/>
          </rPr>
          <t xml:space="preserve">Prerequisites:  </t>
        </r>
        <r>
          <rPr>
            <sz val="12"/>
            <color indexed="81"/>
            <rFont val="Times New Roman"/>
            <family val="1"/>
          </rPr>
          <t>Craft Magic Arms and Armor, resistance.
Cost to Create: 250 gp, 20 XP, 1 day (least); 2,000 gp, 160 XP, 4 days (lesser); 5,000 gp,
400 XP, 10 days (greater).
MIC 25</t>
        </r>
      </text>
    </comment>
    <comment ref="G44" authorId="0" shapeId="0" xr:uid="{00000000-0006-0000-0400-000009000000}">
      <text>
        <r>
          <rPr>
            <b/>
            <sz val="12"/>
            <color indexed="81"/>
            <rFont val="Times New Roman"/>
            <family val="1"/>
          </rPr>
          <t xml:space="preserve">Price (Item Level):  </t>
        </r>
        <r>
          <rPr>
            <sz val="12"/>
            <color indexed="81"/>
            <rFont val="Times New Roman"/>
            <family val="1"/>
          </rPr>
          <t xml:space="preserve">See table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See table
</t>
        </r>
        <r>
          <rPr>
            <b/>
            <sz val="12"/>
            <color indexed="81"/>
            <rFont val="Times New Roman"/>
            <family val="1"/>
          </rPr>
          <t xml:space="preserve">Aura:  </t>
        </r>
        <r>
          <rPr>
            <sz val="12"/>
            <color indexed="81"/>
            <rFont val="Times New Roman"/>
            <family val="1"/>
          </rPr>
          <t xml:space="preserve">Faint; (see table) school of spell contained in eternal wand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long, tapered wand ends with a pink crystal containing red swirls.
An eternal wand holds a single arcane spell of 3rd level or lower, determined during creation.  Any character who can cast arcane spells can activate the wand to use the spell contained in it, regardless of whether the spell appears on his class spell list.
An eternal wand functions two times per day.
</t>
        </r>
        <r>
          <rPr>
            <b/>
            <sz val="12"/>
            <color indexed="81"/>
            <rFont val="Times New Roman"/>
            <family val="1"/>
          </rPr>
          <t xml:space="preserve">Lore:  </t>
        </r>
        <r>
          <rPr>
            <sz val="12"/>
            <color indexed="81"/>
            <rFont val="Times New Roman"/>
            <family val="1"/>
          </rPr>
          <t>During the final years of the last great war, the artificers and wizards of a powerful noble family perfected a new form of wand built around a crystal shard (Knowledge [history] DC 10).
The development of the eternal wand allowed lesser arcanists to take the place of war wizards during the final days of the last great war, supplementing their passive spells with more aggressive magic (Knowledge [history] DC 15).
While the artificers have been searching for ways to streamline the process of creation, the technique is still in its infancy.  Currently, the wands are rarely seen except in military units, but a few soldiers who served in the war brought their eternal wands of magic missile home from the front lines (Knowledge [history] DC 20).
MIC 159</t>
        </r>
      </text>
    </comment>
    <comment ref="G45" authorId="0" shapeId="0" xr:uid="{CEDB57B7-AAAB-4077-B24F-4FA0CBA79E02}">
      <text>
        <r>
          <rPr>
            <b/>
            <sz val="12"/>
            <color indexed="81"/>
            <rFont val="Times New Roman"/>
            <family val="1"/>
          </rPr>
          <t xml:space="preserve">Price (Item Level):  </t>
        </r>
        <r>
          <rPr>
            <sz val="12"/>
            <color indexed="81"/>
            <rFont val="Times New Roman"/>
            <family val="1"/>
          </rPr>
          <t xml:space="preserve">See table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See table
</t>
        </r>
        <r>
          <rPr>
            <b/>
            <sz val="12"/>
            <color indexed="81"/>
            <rFont val="Times New Roman"/>
            <family val="1"/>
          </rPr>
          <t xml:space="preserve">Aura:  </t>
        </r>
        <r>
          <rPr>
            <sz val="12"/>
            <color indexed="81"/>
            <rFont val="Times New Roman"/>
            <family val="1"/>
          </rPr>
          <t xml:space="preserve">Faint; (see table) school of spell contained in eternal wand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long, tapered wand ends with a pink crystal containing red swirls.
An eternal wand holds a single arcane spell of 3rd level or lower, determined during creation.  Any character who can cast arcane spells can activate the wand to use the spell contained in it, regardless of whether the spell appears on his class spell list.
An eternal wand functions two times per day.
</t>
        </r>
        <r>
          <rPr>
            <b/>
            <sz val="12"/>
            <color indexed="81"/>
            <rFont val="Times New Roman"/>
            <family val="1"/>
          </rPr>
          <t xml:space="preserve">Lore:  </t>
        </r>
        <r>
          <rPr>
            <sz val="12"/>
            <color indexed="81"/>
            <rFont val="Times New Roman"/>
            <family val="1"/>
          </rPr>
          <t>During the final years of the last great war, the artificers and wizards of a powerful noble family perfected a new form of wand built around a crystal shard (Knowledge [history] DC 10).
The development of the eternal wand allowed lesser arcanists to take the place of war wizards during the final days of the last great war, supplementing their passive spells with more aggressive magic (Knowledge [history] DC 15).
While the artificers have been searching for ways to streamline the process of creation, the technique is still in its infancy.  Currently, the wands are rarely seen except in military units, but a few soldiers who served in the war brought their eternal wands of magic missile home from the front lines (Knowledge [history] DC 20).
MIC 159</t>
        </r>
      </text>
    </comment>
    <comment ref="G46" authorId="0" shapeId="0" xr:uid="{00000000-0006-0000-0400-00000A000000}">
      <text>
        <r>
          <rPr>
            <b/>
            <sz val="12"/>
            <color indexed="81"/>
            <rFont val="Times New Roman"/>
            <family val="1"/>
          </rPr>
          <t xml:space="preserve">Price (Item Level):  </t>
        </r>
        <r>
          <rPr>
            <sz val="12"/>
            <color indexed="81"/>
            <rFont val="Times New Roman"/>
            <family val="1"/>
          </rPr>
          <t xml:space="preserve">See table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See table
</t>
        </r>
        <r>
          <rPr>
            <b/>
            <sz val="12"/>
            <color indexed="81"/>
            <rFont val="Times New Roman"/>
            <family val="1"/>
          </rPr>
          <t xml:space="preserve">Aura:  </t>
        </r>
        <r>
          <rPr>
            <sz val="12"/>
            <color indexed="81"/>
            <rFont val="Times New Roman"/>
            <family val="1"/>
          </rPr>
          <t xml:space="preserve">Faint; (see table) school of spell contained in eternal wand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long, tapered wand ends with a pink crystal containing red swirls.
An eternal wand holds a single arcane spell of 3rd level or lower, determined during creation.  Any character who can cast arcane spells can activate the wand to use the spell contained in it, regardless of whether the spell appears on his class spell list.
An eternal wand functions two times per day.
</t>
        </r>
        <r>
          <rPr>
            <b/>
            <sz val="12"/>
            <color indexed="81"/>
            <rFont val="Times New Roman"/>
            <family val="1"/>
          </rPr>
          <t xml:space="preserve">Lore:  </t>
        </r>
        <r>
          <rPr>
            <sz val="12"/>
            <color indexed="81"/>
            <rFont val="Times New Roman"/>
            <family val="1"/>
          </rPr>
          <t>During the final years of the last great war, the artificers and wizards of a powerful noble family perfected a new form of wand built around a crystal shard (Knowledge [history] DC 10).
The development of the eternal wand allowed lesser arcanists to take the place of war wizards during the final days of the last great war, supplementing their passive spells with more aggressive magic (Knowledge [history] DC 15).
While the artificers have been searching for ways to streamline the process of creation, the technique is still in its infancy.  Currently, the wands are rarely seen except in military units, but a few soldiers who served in the war brought their eternal wands of magic missile home from the front lines (Knowledge [history] DC 20).
MIC 159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00000000-0006-0000-0500-000001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Caster Level:</t>
        </r>
        <r>
          <rPr>
            <sz val="12"/>
            <color indexed="81"/>
            <rFont val="Times New Roman"/>
            <family val="1"/>
          </rPr>
          <t xml:space="preserve">  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(mental)
</t>
        </r>
        <r>
          <rPr>
            <b/>
            <sz val="12"/>
            <color indexed="81"/>
            <rFont val="Times New Roman"/>
            <family val="1"/>
          </rPr>
          <t xml:space="preserve">Weight:  </t>
        </r>
        <r>
          <rPr>
            <sz val="12"/>
            <color indexed="81"/>
            <rFont val="Times New Roman"/>
            <family val="1"/>
          </rPr>
          <t xml:space="preserve">5 lb.
This otherwise plain-looking set of clothing seems to have gossamer threads woven randomly into the fabric.
When you activate shiftweave, it changes your garb to resemble any of five specific outfits designated during its creation.
Shiftweave has no effect on any armor you wear (nor can it mimic armor) and does not change the effect of any magical clothing you wear.
</t>
        </r>
        <r>
          <rPr>
            <b/>
            <sz val="12"/>
            <color indexed="81"/>
            <rFont val="Times New Roman"/>
            <family val="1"/>
          </rPr>
          <t xml:space="preserve">Lore: </t>
        </r>
        <r>
          <rPr>
            <sz val="12"/>
            <color indexed="81"/>
            <rFont val="Times New Roman"/>
            <family val="1"/>
          </rPr>
          <t xml:space="preserve"> Though originally created for wealthy socialites who wanted to avoid wearing the same gown to the gala, shiftweave is also useful to spies and assassins (Knowledge [nobility and royalty] DC 10).
</t>
        </r>
        <r>
          <rPr>
            <b/>
            <sz val="12"/>
            <color indexed="81"/>
            <rFont val="Times New Roman"/>
            <family val="1"/>
          </rPr>
          <t xml:space="preserve">Prerequisites:  </t>
        </r>
        <r>
          <rPr>
            <sz val="12"/>
            <color indexed="81"/>
            <rFont val="Times New Roman"/>
            <family val="1"/>
          </rPr>
          <t xml:space="preserve">Craft Wondrous Item, disguise self.
</t>
        </r>
        <r>
          <rPr>
            <b/>
            <sz val="12"/>
            <color indexed="81"/>
            <rFont val="Times New Roman"/>
            <family val="1"/>
          </rPr>
          <t xml:space="preserve">Cost to Create:  </t>
        </r>
        <r>
          <rPr>
            <sz val="12"/>
            <color indexed="81"/>
            <rFont val="Times New Roman"/>
            <family val="1"/>
          </rPr>
          <t>250 gp, 20 XP, 1 day.
MIC 133</t>
        </r>
      </text>
    </comment>
    <comment ref="A5" authorId="0" shapeId="0" xr:uid="{00000000-0006-0000-0500-000002000000}">
      <text>
        <r>
          <rPr>
            <b/>
            <sz val="12"/>
            <color indexed="81"/>
            <rFont val="Times New Roman"/>
            <family val="1"/>
          </rPr>
          <t xml:space="preserve">Price (Item Level):  </t>
        </r>
        <r>
          <rPr>
            <sz val="12"/>
            <color indexed="81"/>
            <rFont val="Times New Roman"/>
            <family val="1"/>
          </rPr>
          <t xml:space="preserve">2,500 gp (7th)
</t>
        </r>
        <r>
          <rPr>
            <b/>
            <sz val="12"/>
            <color indexed="81"/>
            <rFont val="Times New Roman"/>
            <family val="1"/>
          </rPr>
          <t xml:space="preserve">Body Slot:  </t>
        </r>
        <r>
          <rPr>
            <sz val="12"/>
            <color indexed="81"/>
            <rFont val="Times New Roman"/>
            <family val="1"/>
          </rPr>
          <t xml:space="preserve">Shoulders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illusion
</t>
        </r>
        <r>
          <rPr>
            <b/>
            <sz val="12"/>
            <color indexed="81"/>
            <rFont val="Times New Roman"/>
            <family val="1"/>
          </rPr>
          <t xml:space="preserve">Activation:  </t>
        </r>
        <r>
          <rPr>
            <sz val="12"/>
            <color indexed="81"/>
            <rFont val="Times New Roman"/>
            <family val="1"/>
          </rPr>
          <t>Standard (mental)
This silk cloak is seamless—a single sheet of gossamer, gray fabric.
A vanisher cloak allows you and nearby allies to briefly disappear from sight.  A cloak has 3 charges, which are renewed each day at dawn.  Spending 1 or more charges turns you (and perhaps one or more allies) invisible, as the invisibility spell, for 1 or more rounds.
1 charge:  You become invisible for 4 rounds.
2 charges:  You and one adjacent ally become invisible for 3 rounds.
3 charges:  You and up to three adjacent allies become invisible for 2 rounds.
MIC 145</t>
        </r>
      </text>
    </comment>
    <comment ref="A7" authorId="0" shapeId="0" xr:uid="{00000000-0006-0000-0500-00000300000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A8" authorId="0" shapeId="0" xr:uid="{7230FEFA-6433-4512-895A-9941A7C5A48F}">
      <text>
        <r>
          <rPr>
            <b/>
            <sz val="12"/>
            <color indexed="81"/>
            <rFont val="Times New Roman"/>
            <family val="1"/>
          </rPr>
          <t xml:space="preserve">Price (Item Level):  </t>
        </r>
        <r>
          <rPr>
            <sz val="12"/>
            <color indexed="81"/>
            <rFont val="Times New Roman"/>
            <family val="1"/>
          </rPr>
          <t xml:space="preserve">2,300 gp (6th)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4th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Adorning a glossy silver chain, a spiral of pearl teardrops circles a colorless crystal sphere.
An amulet of tears has 3 charges, which are renewed each day at dawn.  Spending 1 or more charges when you activate the amulet grants you temporary hit points, as described below.  These hit points last for up to 10 minutes; they don’t stack with any other temporary hit points.
</t>
        </r>
        <r>
          <rPr>
            <b/>
            <sz val="12"/>
            <color indexed="81"/>
            <rFont val="Times New Roman"/>
            <family val="1"/>
          </rPr>
          <t xml:space="preserve">1 charge:  </t>
        </r>
        <r>
          <rPr>
            <sz val="12"/>
            <color indexed="81"/>
            <rFont val="Times New Roman"/>
            <family val="1"/>
          </rPr>
          <t xml:space="preserve">12 temporary hit points.
</t>
        </r>
        <r>
          <rPr>
            <b/>
            <sz val="12"/>
            <color indexed="81"/>
            <rFont val="Times New Roman"/>
            <family val="1"/>
          </rPr>
          <t xml:space="preserve">2 charges:  </t>
        </r>
        <r>
          <rPr>
            <sz val="12"/>
            <color indexed="81"/>
            <rFont val="Times New Roman"/>
            <family val="1"/>
          </rPr>
          <t xml:space="preserve">18 temporary hit points.
</t>
        </r>
        <r>
          <rPr>
            <b/>
            <sz val="12"/>
            <color indexed="81"/>
            <rFont val="Times New Roman"/>
            <family val="1"/>
          </rPr>
          <t xml:space="preserve">3 charges:  </t>
        </r>
        <r>
          <rPr>
            <sz val="12"/>
            <color indexed="81"/>
            <rFont val="Times New Roman"/>
            <family val="1"/>
          </rPr>
          <t>24 temporary hit points.
MIC 70</t>
        </r>
      </text>
    </comment>
    <comment ref="A9" authorId="0" shapeId="0" xr:uid="{00000000-0006-0000-0500-000004000000}">
      <text>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Caster Level:</t>
        </r>
        <r>
          <rPr>
            <sz val="12"/>
            <color indexed="81"/>
            <rFont val="Times New Roman"/>
            <family val="1"/>
          </rPr>
          <t xml:space="preserve">  3rd
</t>
        </r>
        <r>
          <rPr>
            <b/>
            <sz val="12"/>
            <color indexed="81"/>
            <rFont val="Times New Roman"/>
            <family val="1"/>
          </rPr>
          <t xml:space="preserve">Aura:  </t>
        </r>
        <r>
          <rPr>
            <sz val="12"/>
            <color indexed="81"/>
            <rFont val="Times New Roman"/>
            <family val="1"/>
          </rPr>
          <t xml:space="preserve">Faint; (DC 16) abjuration
</t>
        </r>
        <r>
          <rPr>
            <b/>
            <sz val="12"/>
            <color indexed="81"/>
            <rFont val="Times New Roman"/>
            <family val="1"/>
          </rPr>
          <t xml:space="preserve">Activation:  </t>
        </r>
        <r>
          <rPr>
            <sz val="12"/>
            <color indexed="81"/>
            <rFont val="Times New Roman"/>
            <family val="1"/>
          </rPr>
          <t>— and immediate (command)
This circular, coin-shaped talisman is half flame red and half ice blue.
An enduring amulet protects you from extremes of temperature, as if by the endure elements spell.  This is a continuous effect and requires no activation.
In addition, the amulet has 3 charges, which are renewed each day at dawn.
Spending 1 or more charges grants you resistance to cold and fire for 1 round.
1 charge:  Resistance to cold 10 and fire 10.
2 charges:  Resistance to cold 15 and fire 15.
3 charges:  Resistance to cold 20 and fire 20.
MIC 97</t>
        </r>
      </text>
    </comment>
    <comment ref="A10" authorId="0" shapeId="0" xr:uid="{00000000-0006-0000-0500-000005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convex lens of crystal dangles from a chain carved from blue glass.  Activating a talisman of the disk creates a Tenser’s floating disk (PH 294).  The disk can hold 300 pounds and lasts for up to 3 hours (or until dismissed with another standard action).  The disk’s maximum range from you is 30 feet.
If you are also wearing a magic item that provides an enhancement bonus to Strength, the disk’s carrying capacityincreases by 100 pounds per point of bonus granted by the item.
</t>
        </r>
        <r>
          <rPr>
            <b/>
            <sz val="12"/>
            <color indexed="81"/>
            <rFont val="Times New Roman"/>
            <family val="1"/>
          </rPr>
          <t xml:space="preserve">Prerequisites:  </t>
        </r>
        <r>
          <rPr>
            <sz val="12"/>
            <color indexed="81"/>
            <rFont val="Times New Roman"/>
            <family val="1"/>
          </rPr>
          <t xml:space="preserve">Craft Wondrous Item, bull’s strength, Tenser’s fl oating disk.
</t>
        </r>
        <r>
          <rPr>
            <b/>
            <sz val="12"/>
            <color indexed="81"/>
            <rFont val="Times New Roman"/>
            <family val="1"/>
          </rPr>
          <t xml:space="preserve">Cost to Create:  </t>
        </r>
        <r>
          <rPr>
            <sz val="12"/>
            <color indexed="81"/>
            <rFont val="Times New Roman"/>
            <family val="1"/>
          </rPr>
          <t>250 gp, 20 XP, 1 day.
MIC 188</t>
        </r>
      </text>
    </comment>
    <comment ref="A11" authorId="0" shapeId="0" xr:uid="{00000000-0006-0000-0500-000006000000}">
      <text>
        <r>
          <rPr>
            <b/>
            <sz val="12"/>
            <color indexed="81"/>
            <rFont val="Times New Roman"/>
            <family val="1"/>
          </rPr>
          <t xml:space="preserve">Price (Item Level): </t>
        </r>
        <r>
          <rPr>
            <sz val="12"/>
            <color indexed="81"/>
            <rFont val="Times New Roman"/>
            <family val="1"/>
          </rPr>
          <t xml:space="preserve">2,100 gp (6th)
</t>
        </r>
        <r>
          <rPr>
            <b/>
            <sz val="12"/>
            <color indexed="81"/>
            <rFont val="Times New Roman"/>
            <family val="1"/>
          </rPr>
          <t xml:space="preserve">Body Slot: </t>
        </r>
        <r>
          <rPr>
            <sz val="12"/>
            <color indexed="81"/>
            <rFont val="Times New Roman"/>
            <family val="1"/>
          </rPr>
          <t xml:space="preserve">Face
</t>
        </r>
        <r>
          <rPr>
            <b/>
            <sz val="12"/>
            <color indexed="81"/>
            <rFont val="Times New Roman"/>
            <family val="1"/>
          </rPr>
          <t xml:space="preserve">Caster Level: </t>
        </r>
        <r>
          <rPr>
            <sz val="12"/>
            <color indexed="81"/>
            <rFont val="Times New Roman"/>
            <family val="1"/>
          </rPr>
          <t xml:space="preserve">13th
</t>
        </r>
        <r>
          <rPr>
            <b/>
            <sz val="12"/>
            <color indexed="81"/>
            <rFont val="Times New Roman"/>
            <family val="1"/>
          </rPr>
          <t xml:space="preserve">Aura: </t>
        </r>
        <r>
          <rPr>
            <sz val="12"/>
            <color indexed="81"/>
            <rFont val="Times New Roman"/>
            <family val="1"/>
          </rPr>
          <t xml:space="preserve">Strong; (DC 21)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 pulsing green glow shines from this crystal.
A third eye surge has 3 charges, which are renewed each day at dawn. Spending 1 or more charges grants you an insight bonus on Strength checks, Dexterity checks, Strength- and Dexterity-based skill checks, and weapon damage rolls for 1 round.
</t>
        </r>
        <r>
          <rPr>
            <b/>
            <sz val="12"/>
            <color indexed="81"/>
            <rFont val="Times New Roman"/>
            <family val="1"/>
          </rPr>
          <t xml:space="preserve">1 charge: </t>
        </r>
        <r>
          <rPr>
            <sz val="12"/>
            <color indexed="81"/>
            <rFont val="Times New Roman"/>
            <family val="1"/>
          </rPr>
          <t xml:space="preserve">+2 insight bonus.
</t>
        </r>
        <r>
          <rPr>
            <b/>
            <sz val="12"/>
            <color indexed="81"/>
            <rFont val="Times New Roman"/>
            <family val="1"/>
          </rPr>
          <t xml:space="preserve">2 charges: </t>
        </r>
        <r>
          <rPr>
            <sz val="12"/>
            <color indexed="81"/>
            <rFont val="Times New Roman"/>
            <family val="1"/>
          </rPr>
          <t xml:space="preserve">+3 insight bonus.
</t>
        </r>
        <r>
          <rPr>
            <b/>
            <sz val="12"/>
            <color indexed="81"/>
            <rFont val="Times New Roman"/>
            <family val="1"/>
          </rPr>
          <t xml:space="preserve">3 charges: </t>
        </r>
        <r>
          <rPr>
            <sz val="12"/>
            <color indexed="81"/>
            <rFont val="Times New Roman"/>
            <family val="1"/>
          </rPr>
          <t xml:space="preserve">+4 insight bonus.
</t>
        </r>
        <r>
          <rPr>
            <b/>
            <sz val="12"/>
            <color indexed="81"/>
            <rFont val="Times New Roman"/>
            <family val="1"/>
          </rPr>
          <t xml:space="preserve">Prerequisites: </t>
        </r>
        <r>
          <rPr>
            <sz val="12"/>
            <color indexed="81"/>
            <rFont val="Times New Roman"/>
            <family val="1"/>
          </rPr>
          <t>Craft Wondrous
MIC 143</t>
        </r>
      </text>
    </comment>
    <comment ref="A12" authorId="0" shapeId="0" xr:uid="{00000000-0006-0000-0500-000008000000}">
      <text>
        <r>
          <rPr>
            <b/>
            <sz val="12"/>
            <color indexed="81"/>
            <rFont val="Times New Roman"/>
            <family val="1"/>
          </rPr>
          <t xml:space="preserve">Price (Item Level): </t>
        </r>
        <r>
          <rPr>
            <sz val="12"/>
            <color indexed="81"/>
            <rFont val="Times New Roman"/>
            <family val="1"/>
          </rPr>
          <t xml:space="preserve">900 gp (4th)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1 lb.
Multiple brass buckles run from the ankle to the top of the calf on these fi nely crafted, black leather boots.
A pair of acrobat boots grants you a +2 competence bonus on Tumble checks.
This is a continuous effect and requires no activation.
In addition, these boots have 3 charges, which are renewed each day at dawn.
Spending 1 or more charges grants you an enhancement bonus to your speed for 1 round.
1 charge: +10-foot enhancement bonus.
2 charges: +15-foot enhancement bonus.
3 charges: +20-foot enhancement bonus.
MIC 67</t>
        </r>
      </text>
    </comment>
    <comment ref="A13" authorId="0" shapeId="0" xr:uid="{00000000-0006-0000-0500-000009000000}">
      <text>
        <r>
          <rPr>
            <b/>
            <sz val="12"/>
            <color indexed="81"/>
            <rFont val="Times New Roman"/>
            <family val="1"/>
          </rPr>
          <t xml:space="preserve">Price (Item Level):  </t>
        </r>
        <r>
          <rPr>
            <sz val="12"/>
            <color indexed="81"/>
            <rFont val="Times New Roman"/>
            <family val="1"/>
          </rPr>
          <t xml:space="preserve">3,500 gp (8th)
</t>
        </r>
        <r>
          <rPr>
            <b/>
            <sz val="12"/>
            <color indexed="81"/>
            <rFont val="Times New Roman"/>
            <family val="1"/>
          </rPr>
          <t xml:space="preserve">Body Slot:  </t>
        </r>
        <r>
          <rPr>
            <sz val="12"/>
            <color indexed="81"/>
            <rFont val="Times New Roman"/>
            <family val="1"/>
          </rPr>
          <t xml:space="preserve">Ring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and standard (manipulation)
</t>
        </r>
        <r>
          <rPr>
            <b/>
            <sz val="12"/>
            <color indexed="81"/>
            <rFont val="Times New Roman"/>
            <family val="1"/>
          </rPr>
          <t xml:space="preserve">Weight:  </t>
        </r>
        <r>
          <rPr>
            <sz val="12"/>
            <color indexed="81"/>
            <rFont val="Times New Roman"/>
            <family val="1"/>
          </rPr>
          <t xml:space="preserve">—
This large ring is set with a faceted ruby.  Closer inspection reveals a tiny trigger near the base of the stone.  Hidden below the stone in this ring is a set of tiny prongs, wires, and other small devices that spring out when the trigger is depressed.
Using a lockpicking ring grants you a +5 competence bonus on Open Lock checks.  This is a continuous effect and requires no activation.  In addition, you can activate the ring once per day to use </t>
        </r>
        <r>
          <rPr>
            <i/>
            <sz val="12"/>
            <color indexed="81"/>
            <rFont val="Times New Roman"/>
            <family val="1"/>
          </rPr>
          <t>knock</t>
        </r>
        <r>
          <rPr>
            <sz val="12"/>
            <color indexed="81"/>
            <rFont val="Times New Roman"/>
            <family val="1"/>
          </rPr>
          <t xml:space="preserve">.  You must touch the ring to the portal you want to open.
</t>
        </r>
        <r>
          <rPr>
            <b/>
            <sz val="12"/>
            <color indexed="81"/>
            <rFont val="Times New Roman"/>
            <family val="1"/>
          </rPr>
          <t xml:space="preserve">Prerequisites:  </t>
        </r>
        <r>
          <rPr>
            <sz val="12"/>
            <color indexed="81"/>
            <rFont val="Times New Roman"/>
            <family val="1"/>
          </rPr>
          <t xml:space="preserve">Forge Ring, knock.
</t>
        </r>
        <r>
          <rPr>
            <b/>
            <sz val="12"/>
            <color indexed="81"/>
            <rFont val="Times New Roman"/>
            <family val="1"/>
          </rPr>
          <t xml:space="preserve">Cost to Create:  </t>
        </r>
        <r>
          <rPr>
            <sz val="12"/>
            <color indexed="81"/>
            <rFont val="Times New Roman"/>
            <family val="1"/>
          </rPr>
          <t>1,750 gp, 140 XP, 4 days.
MIC 114</t>
        </r>
      </text>
    </comment>
    <comment ref="A19" authorId="0" shapeId="0" xr:uid="{00000000-0006-0000-0500-00000A000000}">
      <text>
        <r>
          <rPr>
            <b/>
            <sz val="12"/>
            <color indexed="81"/>
            <rFont val="Times New Roman"/>
            <family val="1"/>
          </rPr>
          <t xml:space="preserve">Price (Item Level):  </t>
        </r>
        <r>
          <rPr>
            <sz val="12"/>
            <color indexed="81"/>
            <rFont val="Times New Roman"/>
            <family val="1"/>
          </rPr>
          <t xml:space="preserve">800 gp (3rd)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conjuration
</t>
        </r>
        <r>
          <rPr>
            <b/>
            <sz val="12"/>
            <color indexed="81"/>
            <rFont val="Times New Roman"/>
            <family val="1"/>
          </rPr>
          <t xml:space="preserve">Activation:  </t>
        </r>
        <r>
          <rPr>
            <sz val="12"/>
            <color indexed="81"/>
            <rFont val="Times New Roman"/>
            <family val="1"/>
          </rPr>
          <t xml:space="preserve">Move
Five times per day, you can reach into this pouch and pull out a handful of caltrops (enough to cover a 5-foot square).  In addition to the activation cost, filling a 5-foot square with caltrops by hand requires a standard action.  The caltrops produced are not magical and follow all the rules for normal caltrops (PH 126).
</t>
        </r>
        <r>
          <rPr>
            <b/>
            <sz val="12"/>
            <color indexed="81"/>
            <rFont val="Times New Roman"/>
            <family val="1"/>
          </rPr>
          <t xml:space="preserve">Prerequisites: </t>
        </r>
        <r>
          <rPr>
            <sz val="12"/>
            <color indexed="81"/>
            <rFont val="Times New Roman"/>
            <family val="1"/>
          </rPr>
          <t xml:space="preserve"> Craft Wondrous Item,Leomund’s secret chest.
Cost to Create: 400 gp, 32 XP, 1 day.
MIC 151</t>
        </r>
      </text>
    </comment>
    <comment ref="A30" authorId="0" shapeId="0" xr:uid="{00000000-0006-0000-0500-00000B000000}">
      <text>
        <r>
          <rPr>
            <sz val="12"/>
            <color indexed="81"/>
            <rFont val="Times New Roman"/>
            <family val="1"/>
          </rPr>
          <t>All Gray Hand enforcers are given a small token, usually a clasp, ring, or brooch in the shape of a human hand, fingers together and palm out.  Civic officials of Waterdeep (including Lords, magistrates, and Watch and Guard officers) know the token by sight.  You gain a +5 bonus on any Charisma-based skill checks made against an officer or official of Waterdeep if you show the token.  A bearer of the token may not be arrested or hindered in Waterdeep unless the arresting official is a Lord, magistrate, or civilar of the Guard or Watch.
City of Splendors 78</t>
        </r>
      </text>
    </comment>
  </commentList>
</comments>
</file>

<file path=xl/sharedStrings.xml><?xml version="1.0" encoding="utf-8"?>
<sst xmlns="http://schemas.openxmlformats.org/spreadsheetml/2006/main" count="691" uniqueCount="347">
  <si>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</si>
  <si>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</si>
  <si>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</si>
  <si>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</si>
  <si>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</si>
  <si>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</si>
  <si>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</si>
  <si>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</si>
  <si>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</si>
  <si>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</si>
  <si>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</si>
  <si>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</si>
  <si>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</si>
  <si>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</si>
  <si>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</si>
  <si>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</si>
  <si>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</si>
  <si>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</si>
  <si>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</si>
  <si>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</si>
  <si>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</si>
  <si>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</si>
  <si>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</si>
  <si>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</si>
  <si>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</si>
  <si>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</si>
  <si>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</si>
  <si>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</si>
  <si>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</si>
  <si>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</si>
  <si>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</si>
  <si>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</si>
  <si>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</si>
  <si>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</si>
  <si>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</si>
  <si>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</si>
  <si>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</si>
  <si>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</si>
  <si>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</si>
  <si>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</si>
  <si>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</si>
  <si>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</si>
  <si>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</si>
  <si>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</si>
  <si>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</si>
  <si>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</si>
  <si>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</si>
  <si>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</si>
  <si>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</si>
  <si>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</si>
  <si>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</si>
  <si>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</si>
  <si>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</si>
  <si>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</si>
  <si>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</si>
  <si>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</si>
  <si>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</si>
  <si>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</si>
  <si>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</si>
  <si>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</si>
  <si>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</si>
  <si>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</si>
  <si>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Check</t>
  </si>
  <si>
    <t>Arcane</t>
  </si>
  <si>
    <t>Speed</t>
  </si>
  <si>
    <t>Speak Language</t>
  </si>
  <si>
    <t>Sleight of Hand</t>
  </si>
  <si>
    <t>Survival</t>
  </si>
  <si>
    <t>Weapon Proficiencies</t>
  </si>
  <si>
    <t>Atk</t>
  </si>
  <si>
    <t>1</t>
  </si>
  <si>
    <t>Feats</t>
  </si>
  <si>
    <t>Rogue</t>
  </si>
  <si>
    <t>Knowledge:  Local</t>
  </si>
  <si>
    <t>4</t>
  </si>
  <si>
    <t>Evasion</t>
  </si>
  <si>
    <t>Trapfinding</t>
  </si>
  <si>
    <t>2</t>
  </si>
  <si>
    <t>+2 to Climb</t>
  </si>
  <si>
    <t>+2 to Disable Device &amp; Open Locks</t>
  </si>
  <si>
    <t>Paper</t>
  </si>
  <si>
    <t>Sealing Wax</t>
  </si>
  <si>
    <t>Roll</t>
  </si>
  <si>
    <t>Chaotic Neutral</t>
  </si>
  <si>
    <t>Simple Weapons</t>
  </si>
  <si>
    <t>Perform:  (type)</t>
  </si>
  <si>
    <t>Profession:  (type)</t>
  </si>
  <si>
    <t>Rogue 1</t>
  </si>
  <si>
    <t>Rogue 2</t>
  </si>
  <si>
    <t>Light Armor</t>
  </si>
  <si>
    <t>Bedroll</t>
  </si>
  <si>
    <t>Parchment</t>
  </si>
  <si>
    <t>Rogue 3</t>
  </si>
  <si>
    <t>Craft:  Alchemy</t>
  </si>
  <si>
    <t>19-20, x2</t>
  </si>
  <si>
    <t>Prcg/Slash</t>
  </si>
  <si>
    <t>Sap</t>
  </si>
  <si>
    <t>100-GP value</t>
  </si>
  <si>
    <t>Assorted Jewelry</t>
  </si>
  <si>
    <t>Disguise Kit</t>
  </si>
  <si>
    <t>Smokesticks</t>
  </si>
  <si>
    <t>Inkpens</t>
  </si>
  <si>
    <t>Ink (1 oz. vials)</t>
  </si>
  <si>
    <t>Skill/Save</t>
  </si>
  <si>
    <t>Silk Rope</t>
  </si>
  <si>
    <t>Sacks</t>
  </si>
  <si>
    <t>Waterskin</t>
  </si>
  <si>
    <t>Whetstone</t>
  </si>
  <si>
    <t>Hammock</t>
  </si>
  <si>
    <t>Pitons</t>
  </si>
  <si>
    <t>Trail Bars</t>
  </si>
  <si>
    <t>Piercing</t>
  </si>
  <si>
    <t>x2</t>
  </si>
  <si>
    <t>Bludgeon</t>
  </si>
  <si>
    <t>+0</t>
  </si>
  <si>
    <t>Bullets</t>
  </si>
  <si>
    <t>1d6</t>
  </si>
  <si>
    <t>x3</t>
  </si>
  <si>
    <t>Belt with 6 Pouches</t>
  </si>
  <si>
    <t>Daggers</t>
  </si>
  <si>
    <t>MW Spear</t>
  </si>
  <si>
    <t>Oil Flask</t>
  </si>
  <si>
    <t>Map Case</t>
  </si>
  <si>
    <t>waterproof</t>
  </si>
  <si>
    <t>100’</t>
  </si>
  <si>
    <t>Climber’s Kit</t>
  </si>
  <si>
    <t>Merchant’s Scale</t>
  </si>
  <si>
    <t>Rogue Weapons</t>
  </si>
  <si>
    <t>Thrown Weapon</t>
  </si>
  <si>
    <t>Rogue 4</t>
  </si>
  <si>
    <t>Thieves’ Tools, Masterwork</t>
  </si>
  <si>
    <t>Silver Pieces</t>
  </si>
  <si>
    <t>Copper Pieces</t>
  </si>
  <si>
    <t>Equipment Carried</t>
  </si>
  <si>
    <t>Soap Bar</t>
  </si>
  <si>
    <t>50’</t>
  </si>
  <si>
    <t>30’</t>
  </si>
  <si>
    <t>10’ reach</t>
  </si>
  <si>
    <t>-</t>
  </si>
  <si>
    <t>Deadly Precision Sling</t>
  </si>
  <si>
    <t>Phineas</t>
  </si>
  <si>
    <t>“Fingers” Feyson</t>
  </si>
  <si>
    <t>Changeling</t>
  </si>
  <si>
    <t>Shapechange</t>
  </si>
  <si>
    <t>Common, Elven</t>
  </si>
  <si>
    <t>Traps Known</t>
  </si>
  <si>
    <t>Footspiker</t>
  </si>
  <si>
    <t>Craft:  Trapmaking</t>
  </si>
  <si>
    <t>Knowledge:  Archit. &amp; Engin.</t>
  </si>
  <si>
    <t>Trapsmith 1</t>
  </si>
  <si>
    <t>Trapsmith 2</t>
  </si>
  <si>
    <t>Waterdeep</t>
  </si>
  <si>
    <t>Dwarven</t>
  </si>
  <si>
    <t>Value</t>
  </si>
  <si>
    <t>Backpack</t>
  </si>
  <si>
    <t>Sack 1</t>
  </si>
  <si>
    <t>Sack 2</t>
  </si>
  <si>
    <t>Bag of Endless Caltrops</t>
  </si>
  <si>
    <t>Scrolls and Potions</t>
  </si>
  <si>
    <t>Level</t>
  </si>
  <si>
    <t>CLev</t>
  </si>
  <si>
    <t>Talisman of the Disk</t>
  </si>
  <si>
    <t>five</t>
  </si>
  <si>
    <t>Suit of Shiftweave</t>
  </si>
  <si>
    <t>Fancy outfit, alchemist, trapper, tanner, ironmonger, locksmith</t>
  </si>
  <si>
    <t>Class/Race Features</t>
  </si>
  <si>
    <t>MW Dagger</t>
  </si>
  <si>
    <t>Total Equity:</t>
  </si>
  <si>
    <t>Deathstrike Bracers</t>
  </si>
  <si>
    <t>1st:  Lucky Fingers</t>
  </si>
  <si>
    <t>3rd:  Unbelievable Luck</t>
  </si>
  <si>
    <t>6th:  Deft Hands</t>
  </si>
  <si>
    <t>Combat Trapping 3</t>
  </si>
  <si>
    <t>Trapsmith 3</t>
  </si>
  <si>
    <t>3</t>
  </si>
  <si>
    <t>Rogue 5</t>
  </si>
  <si>
    <t>Spiderweb</t>
  </si>
  <si>
    <t>Flashbang</t>
  </si>
  <si>
    <t>Lucky Fingers</t>
  </si>
  <si>
    <t>Lockpicking Ring</t>
  </si>
  <si>
    <t>variable</t>
  </si>
  <si>
    <t>Played by Larry Creager</t>
  </si>
  <si>
    <t>+4 if in Small form</t>
  </si>
  <si>
    <t>Lucky Fingers, Lockpicking ring</t>
  </si>
  <si>
    <t>Trapsmith 4</t>
  </si>
  <si>
    <t>9th:  Weapon Finesse</t>
  </si>
  <si>
    <t>Sleeper</t>
  </si>
  <si>
    <t>Improvised Materials</t>
  </si>
  <si>
    <t>Weapon Finesse</t>
  </si>
  <si>
    <t>Vanisher Cloak</t>
  </si>
  <si>
    <t>Enduring Amulet</t>
  </si>
  <si>
    <t>Skill Focus (Trapsmith, lvl 2); kit bonus when not using improvised materials</t>
  </si>
  <si>
    <t>+2 synergy bonus to find secret doors, etc.</t>
  </si>
  <si>
    <t>Expert Trapsetter</t>
  </si>
  <si>
    <t>Greater Scorcher</t>
  </si>
  <si>
    <t>Glitterburst</t>
  </si>
  <si>
    <t>SF: Trapmaking (DC 17; Spot/Disable 27)</t>
  </si>
  <si>
    <t>Lesser Crystal of Mind Cloaking</t>
  </si>
  <si>
    <t>+3 to Saves vs. mind-affecting spells</t>
  </si>
  <si>
    <t>Acrobat Boots</t>
  </si>
  <si>
    <t>Third Eye Surge</t>
  </si>
  <si>
    <t>MW Spear, 2nd Attack</t>
  </si>
  <si>
    <t>MW Dagger, 2nd Attack</t>
  </si>
  <si>
    <t>Sap, 2nd Attack</t>
  </si>
  <si>
    <t>Crystal of Acid Assault, Lesser</t>
  </si>
  <si>
    <t>Deadly Precision Sling, 2nd Attack</t>
  </si>
  <si>
    <t>Gold Pieces</t>
  </si>
  <si>
    <t>Rogue 6</t>
  </si>
  <si>
    <r>
      <t>38</t>
    </r>
    <r>
      <rPr>
        <sz val="13"/>
        <rFont val="Times New Roman"/>
        <family val="1"/>
      </rPr>
      <t>/</t>
    </r>
    <r>
      <rPr>
        <sz val="13"/>
        <color indexed="51"/>
        <rFont val="Times New Roman"/>
        <family val="1"/>
      </rPr>
      <t>76</t>
    </r>
    <r>
      <rPr>
        <sz val="13"/>
        <rFont val="Times New Roman"/>
        <family val="1"/>
      </rPr>
      <t>/</t>
    </r>
    <r>
      <rPr>
        <sz val="13"/>
        <color indexed="10"/>
        <rFont val="Times New Roman"/>
        <family val="1"/>
      </rPr>
      <t>115</t>
    </r>
  </si>
  <si>
    <t>Uncanny Dodge</t>
  </si>
  <si>
    <t>Mithralmist Shirt +1 of Agility</t>
  </si>
  <si>
    <t>Eager Dagger, 2nd Attack</t>
  </si>
  <si>
    <t>Eager Dagger +1</t>
  </si>
  <si>
    <r>
      <t xml:space="preserve">MW Spear, </t>
    </r>
    <r>
      <rPr>
        <i/>
        <sz val="12"/>
        <rFont val="Times New Roman"/>
        <family val="1"/>
      </rPr>
      <t>haste</t>
    </r>
  </si>
  <si>
    <r>
      <t xml:space="preserve">MW Dagger, </t>
    </r>
    <r>
      <rPr>
        <i/>
        <sz val="12"/>
        <rFont val="Times New Roman"/>
        <family val="1"/>
      </rPr>
      <t>haste</t>
    </r>
  </si>
  <si>
    <r>
      <t xml:space="preserve">Sap, </t>
    </r>
    <r>
      <rPr>
        <i/>
        <sz val="12"/>
        <rFont val="Times New Roman"/>
        <family val="1"/>
      </rPr>
      <t>haste</t>
    </r>
  </si>
  <si>
    <r>
      <t xml:space="preserve">Eager Dagger, </t>
    </r>
    <r>
      <rPr>
        <i/>
        <sz val="12"/>
        <rFont val="Times New Roman"/>
        <family val="1"/>
      </rPr>
      <t>haste</t>
    </r>
  </si>
  <si>
    <t>12th:  Telling Blow</t>
  </si>
  <si>
    <t>Rogue 7</t>
  </si>
  <si>
    <t>Stash:  Shipshape Way</t>
  </si>
  <si>
    <t>Gray Hand Token</t>
  </si>
  <si>
    <t>+5d6 Sneak</t>
  </si>
  <si>
    <t>Truedeath Crystal, Lesser</t>
  </si>
  <si>
    <t>vs.</t>
  </si>
  <si>
    <t>undead</t>
  </si>
  <si>
    <t>The Faceless One</t>
  </si>
  <si>
    <t>Auto-succeed</t>
  </si>
  <si>
    <t>Improvised</t>
  </si>
  <si>
    <t>Scorcher</t>
  </si>
  <si>
    <t>Craft DC</t>
  </si>
  <si>
    <t>Befuddler</t>
  </si>
  <si>
    <t>Enfleebler</t>
  </si>
  <si>
    <t>Entangler</t>
  </si>
  <si>
    <t>Equalizer</t>
  </si>
  <si>
    <t>Stinkburst</t>
  </si>
  <si>
    <t>With Kit</t>
  </si>
  <si>
    <t>Without Kit</t>
  </si>
  <si>
    <t>þ</t>
  </si>
  <si>
    <r>
      <t>F</t>
    </r>
    <r>
      <rPr>
        <vertAlign val="subscript"/>
        <sz val="13"/>
        <rFont val="Times New Roman"/>
        <family val="1"/>
      </rPr>
      <t>1 - 2</t>
    </r>
  </si>
  <si>
    <r>
      <t>F</t>
    </r>
    <r>
      <rPr>
        <vertAlign val="subscript"/>
        <sz val="13"/>
        <rFont val="Times New Roman"/>
        <family val="1"/>
      </rPr>
      <t>1 - 5</t>
    </r>
  </si>
  <si>
    <r>
      <t xml:space="preserve">Eternal Wand of </t>
    </r>
    <r>
      <rPr>
        <i/>
        <sz val="12"/>
        <rFont val="Times New Roman"/>
        <family val="1"/>
      </rPr>
      <t>Mage Hand</t>
    </r>
  </si>
  <si>
    <r>
      <t xml:space="preserve">Eternal Wand of </t>
    </r>
    <r>
      <rPr>
        <i/>
        <sz val="12"/>
        <rFont val="Times New Roman"/>
        <family val="1"/>
      </rPr>
      <t>Obscuring Mist</t>
    </r>
  </si>
  <si>
    <r>
      <t xml:space="preserve">Wand of </t>
    </r>
    <r>
      <rPr>
        <i/>
        <sz val="12"/>
        <rFont val="Times New Roman"/>
        <family val="1"/>
      </rPr>
      <t>Greater Invisibility</t>
    </r>
  </si>
  <si>
    <r>
      <t xml:space="preserve">Scroll of </t>
    </r>
    <r>
      <rPr>
        <i/>
        <sz val="12"/>
        <rFont val="Times New Roman"/>
        <family val="1"/>
      </rPr>
      <t>Greater Invisibility</t>
    </r>
  </si>
  <si>
    <t>Properties</t>
  </si>
  <si>
    <t>Scout’s Headband</t>
  </si>
  <si>
    <t>2x/day; Spellcraft DC 15</t>
  </si>
  <si>
    <t>Campaign:  Cohort</t>
  </si>
  <si>
    <r>
      <t xml:space="preserve">Short Sword, </t>
    </r>
    <r>
      <rPr>
        <i/>
        <sz val="12"/>
        <rFont val="Times New Roman"/>
        <family val="1"/>
      </rPr>
      <t>haste</t>
    </r>
  </si>
  <si>
    <t>Short Sword, 2nd Attack</t>
  </si>
  <si>
    <t>Keen Deadly Precision Short Sword</t>
  </si>
  <si>
    <t>17-20, x2</t>
  </si>
  <si>
    <r>
      <t xml:space="preserve">+4 vs. Traps, +1 </t>
    </r>
    <r>
      <rPr>
        <i/>
        <sz val="13"/>
        <rFont val="Times New Roman"/>
        <family val="1"/>
      </rPr>
      <t>haste</t>
    </r>
  </si>
  <si>
    <t>Deadly Precision Blowgun +2</t>
  </si>
  <si>
    <t>Blowgun, 2nd Attack</t>
  </si>
  <si>
    <r>
      <t xml:space="preserve">Deadly Precision Sling, </t>
    </r>
    <r>
      <rPr>
        <i/>
        <sz val="12"/>
        <rFont val="Times New Roman"/>
        <family val="1"/>
      </rPr>
      <t>haste</t>
    </r>
  </si>
  <si>
    <r>
      <t xml:space="preserve">Blowgun, </t>
    </r>
    <r>
      <rPr>
        <i/>
        <sz val="12"/>
        <rFont val="Times New Roman"/>
        <family val="1"/>
      </rPr>
      <t>haste</t>
    </r>
  </si>
  <si>
    <t>10’</t>
  </si>
  <si>
    <t>Mystery Vials</t>
  </si>
  <si>
    <t>?</t>
  </si>
  <si>
    <t>Constitution</t>
  </si>
  <si>
    <t>Dexterity</t>
  </si>
  <si>
    <t>Wisdom</t>
  </si>
  <si>
    <t>Intelligence</t>
  </si>
  <si>
    <t>Charisma</t>
  </si>
  <si>
    <t>Strength</t>
  </si>
  <si>
    <t>Race</t>
  </si>
  <si>
    <t>Class</t>
  </si>
  <si>
    <t>Region</t>
  </si>
  <si>
    <t>Deity</t>
  </si>
  <si>
    <t>Alignment</t>
  </si>
  <si>
    <t>Attack Bonus</t>
  </si>
  <si>
    <t>Initiative</t>
  </si>
  <si>
    <t>XP</t>
  </si>
  <si>
    <t>Sex</t>
  </si>
  <si>
    <t>Age</t>
  </si>
  <si>
    <t>Height</t>
  </si>
  <si>
    <t>Weight</t>
  </si>
  <si>
    <t>Base Speed</t>
  </si>
  <si>
    <t>Actual Speed</t>
  </si>
  <si>
    <t>Leadership</t>
  </si>
  <si>
    <t>Lb. Capacity</t>
  </si>
  <si>
    <t>Lb. Carried</t>
  </si>
  <si>
    <t>Hit Points</t>
  </si>
  <si>
    <t>Touch AC</t>
  </si>
  <si>
    <t>FF AC</t>
  </si>
  <si>
    <t>AC</t>
  </si>
  <si>
    <t>Improved Uncanny Dodge</t>
  </si>
  <si>
    <t>Rogue 8</t>
  </si>
  <si>
    <t>Campaign:  Improved Cohort</t>
  </si>
  <si>
    <t>Exact Location</t>
  </si>
  <si>
    <t>Bedroom</t>
  </si>
  <si>
    <t>Rogue 9</t>
  </si>
  <si>
    <t>Combat Trapsmith</t>
  </si>
  <si>
    <t>Sneak Attack 5d6 (+1d6 Deadly Precis. Item)</t>
  </si>
  <si>
    <t>+6d6 Sneak</t>
  </si>
  <si>
    <t>Instant</t>
  </si>
  <si>
    <t>Personal</t>
  </si>
  <si>
    <t>60’</t>
  </si>
  <si>
    <t>24 hours</t>
  </si>
  <si>
    <t>Duration</t>
  </si>
  <si>
    <t>Range</t>
  </si>
  <si>
    <t>Armored Mage</t>
  </si>
  <si>
    <t>Warlock</t>
  </si>
  <si>
    <t>Warlock 1</t>
  </si>
  <si>
    <t>15th:  Point Blank Shot</t>
  </si>
  <si>
    <t>See the Unseen</t>
  </si>
  <si>
    <t>Invocations</t>
  </si>
  <si>
    <t>Grade</t>
  </si>
  <si>
    <t>ESP</t>
  </si>
  <si>
    <t>Eldritch Blast</t>
  </si>
  <si>
    <t>n/a</t>
  </si>
  <si>
    <t>Least</t>
  </si>
  <si>
    <t>Darkvision &amp; See Invisibility</t>
  </si>
  <si>
    <t>1d6, x2 on 20</t>
  </si>
  <si>
    <t>Neuter</t>
  </si>
  <si>
    <t>STOLEN!</t>
  </si>
  <si>
    <t>Trapsmith 5</t>
  </si>
  <si>
    <r>
      <t xml:space="preserve">+2 vs. Sleep/Charm, +2 if Lucky; </t>
    </r>
    <r>
      <rPr>
        <sz val="13"/>
        <color theme="0" tint="-0.14999847407452621"/>
        <rFont val="Times New Roman"/>
        <family val="1"/>
      </rPr>
      <t>+3 vs. mind-affecting spells (from crystal)</t>
    </r>
  </si>
  <si>
    <t>Gloves of Manual Prowess</t>
  </si>
  <si>
    <t>Flechettes</t>
  </si>
  <si>
    <t>Arcane Thieves’ Tools</t>
  </si>
  <si>
    <t>GAVE TO ALLISA</t>
  </si>
  <si>
    <t>3.4K</t>
  </si>
  <si>
    <t>Rogue 10</t>
  </si>
  <si>
    <r>
      <t>F</t>
    </r>
    <r>
      <rPr>
        <vertAlign val="subscript"/>
        <sz val="13"/>
        <rFont val="Times New Roman"/>
        <family val="1"/>
      </rPr>
      <t>1 - 3</t>
    </r>
  </si>
  <si>
    <r>
      <t>F</t>
    </r>
    <r>
      <rPr>
        <vertAlign val="subscript"/>
        <sz val="13"/>
        <rFont val="Times New Roman"/>
        <family val="1"/>
      </rPr>
      <t>1</t>
    </r>
  </si>
  <si>
    <t>Special Ability:  ????</t>
  </si>
  <si>
    <t>Onyx Shard</t>
  </si>
  <si>
    <t>Rogue 10: Special Ability:  Crippling Strike</t>
  </si>
  <si>
    <t>1d4</t>
  </si>
  <si>
    <t>1d4 subd.</t>
  </si>
  <si>
    <t>1d4+1</t>
  </si>
  <si>
    <t>Victor’s Luck</t>
  </si>
  <si>
    <t>Amulet of Tears</t>
  </si>
  <si>
    <t>SLOT CONFLICT</t>
  </si>
  <si>
    <t>ten</t>
  </si>
  <si>
    <r>
      <t xml:space="preserve">Eternal Wand of </t>
    </r>
    <r>
      <rPr>
        <i/>
        <sz val="12"/>
        <rFont val="Times New Roman"/>
        <family val="1"/>
      </rPr>
      <t>Knock</t>
    </r>
  </si>
  <si>
    <t>32 charges</t>
  </si>
  <si>
    <t>NOT CURRENTLY WORN</t>
  </si>
  <si>
    <t>Leaps and Bounds</t>
  </si>
  <si>
    <t>S</t>
  </si>
  <si>
    <t>1 SA</t>
  </si>
  <si>
    <t>See Skills tab</t>
  </si>
  <si>
    <t>Invocation</t>
  </si>
  <si>
    <t>Components</t>
  </si>
  <si>
    <t>Casting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</si>
</sst>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 [$₲-474]"/>
  </numFmts>
  <fonts count="68">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sz val="13"/>
      <color rgb="FF009900"/>
      <name val="Times New Roman"/>
      <family val="1"/>
    </font>
    <font>
      <b/>
      <sz val="13"/>
      <color rgb="FFFF0000"/>
      <name val="Times New Roman"/>
      <family val="1"/>
    </font>
    <font>
      <sz val="13"/>
      <color rgb="FFFFC000"/>
      <name val="Times New Roman"/>
      <family val="1"/>
    </font>
    <font>
      <b/>
      <sz val="13"/>
      <color rgb="FF7030A0"/>
      <name val="Times New Roman"/>
      <family val="1"/>
    </font>
    <font>
      <b/>
      <sz val="13"/>
      <color rgb="FF0000FF"/>
      <name val="Times New Roman"/>
      <family val="1"/>
    </font>
    <font>
      <b/>
      <sz val="13"/>
      <color rgb="FFFFC000"/>
      <name val="Times New Roman"/>
      <family val="1"/>
    </font>
    <font>
      <i/>
      <sz val="22"/>
      <color theme="7" tint="0.39997558519241921"/>
      <name val="Times New Roman"/>
      <family val="1"/>
    </font>
    <font>
      <b/>
      <sz val="12"/>
      <color rgb="FFFFC000"/>
      <name val="Times New Roman"/>
      <family val="1"/>
    </font>
    <font>
      <sz val="12"/>
      <color rgb="FFFFC000"/>
      <name val="Times New Roman"/>
      <family val="1"/>
    </font>
    <font>
      <sz val="13"/>
      <color rgb="FF7030A0"/>
      <name val="Times New Roman"/>
      <family val="1"/>
    </font>
    <font>
      <i/>
      <sz val="12"/>
      <color indexed="81"/>
      <name val="Times New Roman"/>
      <family val="1"/>
    </font>
    <font>
      <i/>
      <sz val="16"/>
      <color indexed="53"/>
      <name val="Times New Roman"/>
      <family val="1"/>
    </font>
    <font>
      <i/>
      <sz val="16"/>
      <color indexed="57"/>
      <name val="Times New Roman"/>
      <family val="1"/>
    </font>
    <font>
      <sz val="12"/>
      <name val="Times New Roman"/>
      <family val="1"/>
    </font>
    <font>
      <sz val="13"/>
      <color rgb="FF0000FF"/>
      <name val="Times New Roman"/>
      <family val="1"/>
    </font>
    <font>
      <i/>
      <sz val="22"/>
      <color theme="6" tint="-0.249977111117893"/>
      <name val="Times New Roman"/>
      <family val="1"/>
    </font>
    <font>
      <sz val="13"/>
      <color theme="1" tint="0.34998626667073579"/>
      <name val="Times New Roman"/>
      <family val="1"/>
    </font>
    <font>
      <i/>
      <sz val="12"/>
      <name val="Times New Roman"/>
      <family val="1"/>
    </font>
    <font>
      <sz val="13"/>
      <color rgb="FF008000"/>
      <name val="Wingdings"/>
      <charset val="2"/>
    </font>
    <font>
      <vertAlign val="subscript"/>
      <sz val="13"/>
      <name val="Times New Roman"/>
      <family val="1"/>
    </font>
    <font>
      <i/>
      <sz val="16"/>
      <color indexed="10"/>
      <name val="Times New Roman"/>
      <family val="1"/>
    </font>
    <font>
      <b/>
      <sz val="13"/>
      <color rgb="FF9933FF"/>
      <name val="Times New Roman"/>
      <family val="1"/>
    </font>
    <font>
      <i/>
      <sz val="13"/>
      <name val="Times New Roman"/>
      <family val="1"/>
    </font>
    <font>
      <b/>
      <i/>
      <sz val="13"/>
      <color indexed="17"/>
      <name val="Times New Roman"/>
      <family val="1"/>
    </font>
    <font>
      <sz val="13"/>
      <color indexed="20"/>
      <name val="Times New Roman"/>
      <family val="1"/>
    </font>
    <font>
      <i/>
      <sz val="18"/>
      <color indexed="20"/>
      <name val="Times New Roman"/>
      <family val="1"/>
    </font>
    <font>
      <sz val="12"/>
      <color rgb="FFFF0000"/>
      <name val="Times New Roman"/>
      <family val="1"/>
    </font>
    <font>
      <sz val="13"/>
      <color theme="0" tint="-0.14999847407452621"/>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64"/>
      </patternFill>
    </fill>
    <fill>
      <patternFill patternType="solid">
        <fgColor rgb="FF66FFFF"/>
        <bgColor indexed="64"/>
      </patternFill>
    </fill>
    <fill>
      <patternFill patternType="solid">
        <fgColor rgb="FF00FF00"/>
        <bgColor indexed="64"/>
      </patternFill>
    </fill>
    <fill>
      <patternFill patternType="solid">
        <fgColor theme="1"/>
        <bgColor indexed="64"/>
      </patternFill>
    </fill>
    <fill>
      <patternFill patternType="solid">
        <fgColor rgb="FFCC66FF"/>
        <bgColor indexed="64"/>
      </patternFill>
    </fill>
    <fill>
      <patternFill patternType="solid">
        <fgColor indexed="46"/>
        <bgColor indexed="64"/>
      </patternFill>
    </fill>
    <fill>
      <patternFill patternType="solid">
        <fgColor rgb="FF9999FF"/>
        <bgColor indexed="64"/>
      </patternFill>
    </fill>
    <fill>
      <patternFill patternType="solid">
        <fgColor rgb="FFFFFF00"/>
        <bgColor indexed="64"/>
      </patternFill>
    </fill>
  </fills>
  <borders count="14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double">
        <color indexed="64"/>
      </right>
      <top/>
      <bottom style="thin">
        <color indexed="64"/>
      </bottom>
      <diagonal/>
    </border>
    <border>
      <left/>
      <right style="thin">
        <color indexed="64"/>
      </right>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double">
        <color indexed="64"/>
      </top>
      <bottom style="medium">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thin">
        <color indexed="64"/>
      </right>
      <top style="thin">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style="hair">
        <color indexed="64"/>
      </top>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diagonal/>
    </border>
    <border>
      <left style="double">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style="hair">
        <color indexed="64"/>
      </top>
      <bottom style="thin">
        <color indexed="64"/>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double">
        <color indexed="64"/>
      </right>
      <top style="hair">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hair">
        <color indexed="64"/>
      </bottom>
      <diagonal/>
    </border>
    <border>
      <left/>
      <right style="thin">
        <color auto="1"/>
      </right>
      <top/>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style="medium">
        <color auto="1"/>
      </right>
      <top/>
      <bottom/>
      <diagonal/>
    </border>
    <border>
      <left style="hair">
        <color indexed="64"/>
      </left>
      <right style="hair">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right style="hair">
        <color indexed="64"/>
      </right>
      <top style="double">
        <color indexed="64"/>
      </top>
      <bottom style="medium">
        <color indexed="64"/>
      </bottom>
      <diagonal/>
    </border>
    <border>
      <left/>
      <right style="hair">
        <color indexed="64"/>
      </right>
      <top/>
      <bottom/>
      <diagonal/>
    </border>
    <border>
      <left/>
      <right style="hair">
        <color indexed="64"/>
      </right>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hair">
        <color indexed="64"/>
      </bottom>
      <diagonal/>
    </border>
    <border>
      <left/>
      <right style="double">
        <color indexed="64"/>
      </right>
      <top/>
      <bottom style="hair">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right/>
      <top/>
      <bottom style="hair">
        <color indexed="64"/>
      </bottom>
      <diagonal/>
    </border>
    <border>
      <left style="thin">
        <color auto="1"/>
      </left>
      <right style="medium">
        <color auto="1"/>
      </right>
      <top style="thin">
        <color auto="1"/>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hair">
        <color indexed="64"/>
      </left>
      <right/>
      <top style="hair">
        <color indexed="64"/>
      </top>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s>
  <cellStyleXfs count="10">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9" fontId="1" fillId="0" borderId="0" applyFont="0" applyFill="0" applyBorder="0" applyAlignment="0" applyProtection="0"/>
    <xf numFmtId="0" fontId="1" fillId="0" borderId="0"/>
    <xf numFmtId="43" fontId="53" fillId="0" borderId="0" applyFont="0" applyFill="0" applyBorder="0" applyAlignment="0" applyProtection="0"/>
  </cellStyleXfs>
  <cellXfs count="561">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164" fontId="4" fillId="0" borderId="0" xfId="0" applyNumberFormat="1" applyFont="1" applyBorder="1" applyAlignment="1">
      <alignment horizontal="center"/>
    </xf>
    <xf numFmtId="0" fontId="9" fillId="2" borderId="4" xfId="0" applyFont="1" applyFill="1" applyBorder="1" applyAlignment="1">
      <alignment horizontal="right"/>
    </xf>
    <xf numFmtId="0" fontId="21" fillId="2" borderId="4" xfId="0" applyFont="1" applyFill="1" applyBorder="1" applyAlignment="1">
      <alignment horizontal="right"/>
    </xf>
    <xf numFmtId="0" fontId="7" fillId="2" borderId="13" xfId="0" applyFont="1" applyFill="1" applyBorder="1" applyAlignment="1">
      <alignment horizontal="right"/>
    </xf>
    <xf numFmtId="0" fontId="13" fillId="2" borderId="15" xfId="0" applyFont="1" applyFill="1" applyBorder="1" applyAlignment="1">
      <alignment horizontal="right"/>
    </xf>
    <xf numFmtId="0" fontId="24" fillId="0" borderId="22" xfId="0" applyFont="1" applyBorder="1" applyAlignment="1">
      <alignment horizontal="centerContinuous"/>
    </xf>
    <xf numFmtId="0" fontId="6" fillId="0" borderId="0" xfId="0" applyFont="1" applyBorder="1" applyAlignment="1">
      <alignment horizontal="centerContinuous"/>
    </xf>
    <xf numFmtId="49" fontId="25" fillId="0" borderId="3" xfId="0" applyNumberFormat="1" applyFont="1" applyBorder="1" applyAlignment="1">
      <alignment horizontal="center"/>
    </xf>
    <xf numFmtId="49" fontId="25" fillId="0" borderId="23" xfId="0" applyNumberFormat="1" applyFont="1" applyBorder="1" applyAlignment="1">
      <alignment horizontal="center"/>
    </xf>
    <xf numFmtId="0" fontId="19"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49" fontId="25" fillId="0" borderId="14" xfId="0" applyNumberFormat="1" applyFont="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49" fontId="6" fillId="0" borderId="12" xfId="0" applyNumberFormat="1" applyFont="1" applyBorder="1" applyAlignment="1">
      <alignment horizontal="center"/>
    </xf>
    <xf numFmtId="164" fontId="5" fillId="5" borderId="28" xfId="0" applyNumberFormat="1" applyFont="1" applyFill="1" applyBorder="1" applyAlignment="1">
      <alignment horizontal="center"/>
    </xf>
    <xf numFmtId="0" fontId="3" fillId="0" borderId="0" xfId="0" applyFont="1" applyBorder="1" applyAlignment="1">
      <alignment horizontal="center"/>
    </xf>
    <xf numFmtId="0" fontId="6" fillId="0" borderId="24" xfId="0" applyNumberFormat="1" applyFont="1" applyFill="1" applyBorder="1" applyAlignment="1">
      <alignment horizontal="center"/>
    </xf>
    <xf numFmtId="49" fontId="6" fillId="0" borderId="25" xfId="0" applyNumberFormat="1" applyFont="1" applyFill="1" applyBorder="1" applyAlignment="1">
      <alignment horizontal="center"/>
    </xf>
    <xf numFmtId="0" fontId="6" fillId="0" borderId="26"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164" fontId="2" fillId="0" borderId="0" xfId="0" applyNumberFormat="1" applyFont="1" applyBorder="1" applyAlignment="1">
      <alignment horizontal="centerContinuous"/>
    </xf>
    <xf numFmtId="0" fontId="20" fillId="3" borderId="33" xfId="0" applyFont="1" applyFill="1" applyBorder="1" applyAlignment="1">
      <alignment horizontal="center"/>
    </xf>
    <xf numFmtId="164" fontId="20" fillId="3" borderId="34" xfId="0" applyNumberFormat="1" applyFont="1" applyFill="1" applyBorder="1" applyAlignment="1">
      <alignment horizontal="center"/>
    </xf>
    <xf numFmtId="0" fontId="20" fillId="3" borderId="33" xfId="0" applyFont="1" applyFill="1" applyBorder="1" applyAlignment="1">
      <alignment horizontal="right"/>
    </xf>
    <xf numFmtId="0" fontId="20" fillId="3" borderId="35" xfId="0" applyFont="1" applyFill="1" applyBorder="1" applyAlignment="1"/>
    <xf numFmtId="164" fontId="4" fillId="0" borderId="36" xfId="0" applyNumberFormat="1" applyFont="1" applyBorder="1" applyAlignment="1">
      <alignment horizontal="center" shrinkToFit="1"/>
    </xf>
    <xf numFmtId="0" fontId="4" fillId="0" borderId="37" xfId="0" applyFont="1" applyBorder="1" applyAlignment="1">
      <alignment horizontal="left" shrinkToFit="1"/>
    </xf>
    <xf numFmtId="164" fontId="4" fillId="0" borderId="38" xfId="0" applyNumberFormat="1" applyFont="1" applyBorder="1" applyAlignment="1">
      <alignment horizontal="center" shrinkToFit="1"/>
    </xf>
    <xf numFmtId="0" fontId="4" fillId="0" borderId="39"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4" fillId="0" borderId="40" xfId="0" applyFont="1" applyBorder="1" applyAlignment="1">
      <alignment horizontal="left" shrinkToFit="1"/>
    </xf>
    <xf numFmtId="164" fontId="4" fillId="0" borderId="41" xfId="0" applyNumberFormat="1" applyFont="1" applyBorder="1" applyAlignment="1">
      <alignment horizontal="center" shrinkToFit="1"/>
    </xf>
    <xf numFmtId="0" fontId="7" fillId="4" borderId="47" xfId="0" applyFont="1" applyFill="1" applyBorder="1" applyAlignment="1">
      <alignment horizontal="right"/>
    </xf>
    <xf numFmtId="0" fontId="7" fillId="4" borderId="46" xfId="0" applyFont="1" applyFill="1" applyBorder="1" applyAlignment="1">
      <alignment horizontal="right"/>
    </xf>
    <xf numFmtId="0" fontId="13" fillId="6" borderId="1" xfId="0" applyFont="1" applyFill="1" applyBorder="1" applyAlignment="1"/>
    <xf numFmtId="0" fontId="6" fillId="6" borderId="24" xfId="0" applyNumberFormat="1" applyFont="1" applyFill="1" applyBorder="1" applyAlignment="1">
      <alignment horizontal="center"/>
    </xf>
    <xf numFmtId="49" fontId="22" fillId="6" borderId="24" xfId="0" applyNumberFormat="1" applyFont="1" applyFill="1" applyBorder="1" applyAlignment="1">
      <alignment horizontal="center"/>
    </xf>
    <xf numFmtId="0" fontId="22" fillId="6" borderId="25" xfId="0" applyNumberFormat="1" applyFont="1" applyFill="1" applyBorder="1" applyAlignment="1">
      <alignment horizontal="center"/>
    </xf>
    <xf numFmtId="49" fontId="6" fillId="6" borderId="25" xfId="0" applyNumberFormat="1" applyFont="1" applyFill="1" applyBorder="1" applyAlignment="1">
      <alignment horizontal="center"/>
    </xf>
    <xf numFmtId="0" fontId="6" fillId="6" borderId="26" xfId="0" applyNumberFormat="1" applyFont="1" applyFill="1" applyBorder="1" applyAlignment="1">
      <alignment horizontal="center"/>
    </xf>
    <xf numFmtId="164" fontId="1" fillId="0" borderId="36" xfId="0" applyNumberFormat="1" applyFont="1" applyBorder="1" applyAlignment="1">
      <alignment horizontal="center" shrinkToFit="1"/>
    </xf>
    <xf numFmtId="0" fontId="37" fillId="2" borderId="4" xfId="0" applyFont="1" applyFill="1" applyBorder="1" applyAlignment="1">
      <alignment horizontal="right"/>
    </xf>
    <xf numFmtId="0" fontId="13" fillId="6" borderId="25" xfId="0" applyNumberFormat="1" applyFont="1" applyFill="1" applyBorder="1" applyAlignment="1">
      <alignment horizontal="center"/>
    </xf>
    <xf numFmtId="0" fontId="1" fillId="0" borderId="0" xfId="0" applyFont="1" applyBorder="1" applyAlignment="1">
      <alignment horizontal="center"/>
    </xf>
    <xf numFmtId="0" fontId="10" fillId="6" borderId="1" xfId="0" applyFont="1" applyFill="1" applyBorder="1" applyAlignment="1"/>
    <xf numFmtId="49" fontId="16" fillId="6" borderId="24" xfId="0" applyNumberFormat="1" applyFont="1" applyFill="1" applyBorder="1" applyAlignment="1">
      <alignment horizontal="center"/>
    </xf>
    <xf numFmtId="0" fontId="16" fillId="6" borderId="25" xfId="0" applyNumberFormat="1" applyFont="1" applyFill="1" applyBorder="1" applyAlignment="1">
      <alignment horizontal="center"/>
    </xf>
    <xf numFmtId="0" fontId="10" fillId="6" borderId="25" xfId="0" applyNumberFormat="1" applyFont="1" applyFill="1" applyBorder="1" applyAlignment="1">
      <alignment horizontal="center"/>
    </xf>
    <xf numFmtId="0" fontId="12" fillId="6" borderId="1" xfId="0" applyFont="1" applyFill="1" applyBorder="1" applyAlignment="1"/>
    <xf numFmtId="49" fontId="23" fillId="6" borderId="24" xfId="0" applyNumberFormat="1" applyFont="1" applyFill="1" applyBorder="1" applyAlignment="1">
      <alignment horizontal="center"/>
    </xf>
    <xf numFmtId="0" fontId="23" fillId="6" borderId="25" xfId="0" applyNumberFormat="1" applyFont="1" applyFill="1" applyBorder="1" applyAlignment="1">
      <alignment horizontal="center"/>
    </xf>
    <xf numFmtId="0" fontId="12" fillId="6" borderId="25" xfId="0" applyNumberFormat="1" applyFont="1" applyFill="1" applyBorder="1" applyAlignment="1">
      <alignment horizontal="center"/>
    </xf>
    <xf numFmtId="0" fontId="21" fillId="6" borderId="1" xfId="0" applyFont="1" applyFill="1" applyBorder="1" applyAlignment="1"/>
    <xf numFmtId="49" fontId="27" fillId="6" borderId="24" xfId="0" applyNumberFormat="1" applyFont="1" applyFill="1" applyBorder="1" applyAlignment="1">
      <alignment horizontal="center"/>
    </xf>
    <xf numFmtId="0" fontId="27" fillId="6" borderId="25" xfId="0" applyNumberFormat="1" applyFont="1" applyFill="1" applyBorder="1" applyAlignment="1">
      <alignment horizontal="center"/>
    </xf>
    <xf numFmtId="0" fontId="21" fillId="6" borderId="25" xfId="0" applyNumberFormat="1" applyFont="1" applyFill="1" applyBorder="1" applyAlignment="1">
      <alignment horizontal="center"/>
    </xf>
    <xf numFmtId="0" fontId="9" fillId="0" borderId="1" xfId="0" applyFont="1" applyFill="1" applyBorder="1" applyAlignment="1"/>
    <xf numFmtId="49" fontId="26" fillId="0" borderId="24" xfId="0" applyNumberFormat="1" applyFont="1" applyFill="1" applyBorder="1" applyAlignment="1">
      <alignment horizontal="center"/>
    </xf>
    <xf numFmtId="0" fontId="26" fillId="0" borderId="25" xfId="0" applyNumberFormat="1" applyFont="1" applyFill="1" applyBorder="1" applyAlignment="1">
      <alignment horizontal="center"/>
    </xf>
    <xf numFmtId="0" fontId="9" fillId="0" borderId="25" xfId="0" applyNumberFormat="1" applyFont="1" applyFill="1" applyBorder="1" applyAlignment="1">
      <alignment horizontal="center"/>
    </xf>
    <xf numFmtId="0" fontId="6" fillId="0" borderId="0" xfId="0" applyFont="1" applyFill="1" applyBorder="1" applyAlignment="1">
      <alignment wrapText="1"/>
    </xf>
    <xf numFmtId="0" fontId="38" fillId="0" borderId="32" xfId="0" applyFont="1" applyFill="1" applyBorder="1" applyAlignment="1">
      <alignment horizontal="center" shrinkToFit="1"/>
    </xf>
    <xf numFmtId="0" fontId="6" fillId="0" borderId="0" xfId="0" applyFont="1" applyFill="1" applyBorder="1" applyAlignment="1">
      <alignment horizontal="left" wrapText="1"/>
    </xf>
    <xf numFmtId="0" fontId="5" fillId="0" borderId="0" xfId="0" applyFont="1" applyFill="1" applyBorder="1" applyAlignment="1">
      <alignment horizontal="right" wrapText="1"/>
    </xf>
    <xf numFmtId="0" fontId="25" fillId="0" borderId="14" xfId="0" applyNumberFormat="1" applyFont="1" applyBorder="1" applyAlignment="1">
      <alignment horizontal="center"/>
    </xf>
    <xf numFmtId="0" fontId="13" fillId="0" borderId="1" xfId="0" applyFont="1" applyFill="1" applyBorder="1" applyAlignment="1"/>
    <xf numFmtId="49" fontId="22" fillId="0" borderId="24" xfId="0" applyNumberFormat="1" applyFont="1" applyFill="1" applyBorder="1" applyAlignment="1">
      <alignment horizontal="center"/>
    </xf>
    <xf numFmtId="0" fontId="22" fillId="0" borderId="25" xfId="0" applyNumberFormat="1" applyFont="1" applyFill="1" applyBorder="1" applyAlignment="1">
      <alignment horizontal="center"/>
    </xf>
    <xf numFmtId="0" fontId="13" fillId="0" borderId="25" xfId="0" applyNumberFormat="1" applyFont="1" applyFill="1" applyBorder="1" applyAlignment="1">
      <alignment horizontal="center"/>
    </xf>
    <xf numFmtId="0" fontId="12" fillId="0" borderId="1" xfId="0" applyFont="1" applyFill="1" applyBorder="1" applyAlignment="1"/>
    <xf numFmtId="49" fontId="23" fillId="0" borderId="24" xfId="0" applyNumberFormat="1" applyFont="1" applyFill="1" applyBorder="1" applyAlignment="1">
      <alignment horizontal="center"/>
    </xf>
    <xf numFmtId="0" fontId="23" fillId="0" borderId="25" xfId="0" applyNumberFormat="1" applyFont="1" applyFill="1" applyBorder="1" applyAlignment="1">
      <alignment horizontal="center"/>
    </xf>
    <xf numFmtId="0" fontId="12" fillId="0" borderId="25" xfId="0" applyNumberFormat="1" applyFont="1" applyFill="1" applyBorder="1" applyAlignment="1">
      <alignment horizontal="center"/>
    </xf>
    <xf numFmtId="0" fontId="21" fillId="0" borderId="1" xfId="0" applyFont="1" applyFill="1" applyBorder="1" applyAlignment="1"/>
    <xf numFmtId="49" fontId="27" fillId="0" borderId="24" xfId="0" applyNumberFormat="1" applyFont="1" applyFill="1" applyBorder="1" applyAlignment="1">
      <alignment horizontal="center"/>
    </xf>
    <xf numFmtId="0" fontId="27" fillId="0" borderId="25" xfId="0" applyNumberFormat="1" applyFont="1" applyFill="1" applyBorder="1" applyAlignment="1">
      <alignment horizontal="center"/>
    </xf>
    <xf numFmtId="0" fontId="21" fillId="0" borderId="25" xfId="0" applyNumberFormat="1" applyFont="1" applyFill="1" applyBorder="1" applyAlignment="1">
      <alignment horizontal="center"/>
    </xf>
    <xf numFmtId="0" fontId="7" fillId="0" borderId="1" xfId="0" applyFont="1" applyFill="1" applyBorder="1" applyAlignment="1"/>
    <xf numFmtId="49" fontId="17" fillId="0" borderId="24" xfId="0" applyNumberFormat="1" applyFont="1" applyFill="1" applyBorder="1" applyAlignment="1">
      <alignment horizontal="center"/>
    </xf>
    <xf numFmtId="0" fontId="17" fillId="0" borderId="25" xfId="0" applyNumberFormat="1" applyFont="1" applyFill="1" applyBorder="1" applyAlignment="1">
      <alignment horizontal="center"/>
    </xf>
    <xf numFmtId="0" fontId="7" fillId="0" borderId="25" xfId="0" applyNumberFormat="1" applyFont="1" applyFill="1" applyBorder="1" applyAlignment="1">
      <alignment horizontal="center"/>
    </xf>
    <xf numFmtId="0" fontId="3" fillId="0" borderId="0" xfId="0" applyFont="1" applyBorder="1" applyAlignment="1">
      <alignment horizontal="left"/>
    </xf>
    <xf numFmtId="0" fontId="1" fillId="0" borderId="51" xfId="0" applyFont="1" applyBorder="1" applyAlignment="1">
      <alignment horizontal="center" shrinkToFit="1"/>
    </xf>
    <xf numFmtId="0" fontId="40" fillId="0" borderId="32" xfId="0" applyFont="1" applyFill="1" applyBorder="1" applyAlignment="1">
      <alignment horizontal="centerContinuous"/>
    </xf>
    <xf numFmtId="0" fontId="3" fillId="2" borderId="53" xfId="0" applyFont="1" applyFill="1" applyBorder="1" applyAlignment="1">
      <alignment horizontal="centerContinuous"/>
    </xf>
    <xf numFmtId="0" fontId="41" fillId="0" borderId="1" xfId="0" applyFont="1" applyFill="1" applyBorder="1" applyAlignment="1"/>
    <xf numFmtId="0" fontId="5" fillId="0" borderId="24" xfId="0" applyFont="1" applyFill="1" applyBorder="1" applyAlignment="1">
      <alignment horizontal="center"/>
    </xf>
    <xf numFmtId="0" fontId="6" fillId="0" borderId="24" xfId="0" applyFont="1" applyFill="1" applyBorder="1" applyAlignment="1">
      <alignment horizontal="center"/>
    </xf>
    <xf numFmtId="1" fontId="6" fillId="0" borderId="24" xfId="0" applyNumberFormat="1" applyFont="1" applyFill="1" applyBorder="1" applyAlignment="1">
      <alignment horizontal="center" wrapText="1"/>
    </xf>
    <xf numFmtId="0" fontId="42" fillId="8" borderId="25" xfId="0" applyNumberFormat="1" applyFont="1" applyFill="1" applyBorder="1" applyAlignment="1">
      <alignment horizontal="center"/>
    </xf>
    <xf numFmtId="49" fontId="6" fillId="0" borderId="24" xfId="0" applyNumberFormat="1" applyFont="1" applyFill="1" applyBorder="1" applyAlignment="1">
      <alignment horizontal="center" wrapText="1"/>
    </xf>
    <xf numFmtId="0" fontId="43" fillId="0" borderId="1" xfId="0" applyFont="1" applyFill="1" applyBorder="1" applyAlignment="1"/>
    <xf numFmtId="0" fontId="44" fillId="0" borderId="57" xfId="0" applyFont="1" applyFill="1" applyBorder="1" applyAlignment="1"/>
    <xf numFmtId="0" fontId="5" fillId="0" borderId="58" xfId="0" applyFont="1" applyFill="1" applyBorder="1" applyAlignment="1">
      <alignment horizontal="center"/>
    </xf>
    <xf numFmtId="0" fontId="6" fillId="0" borderId="58" xfId="0" applyFont="1" applyFill="1" applyBorder="1" applyAlignment="1">
      <alignment horizontal="center"/>
    </xf>
    <xf numFmtId="1" fontId="6" fillId="0" borderId="58" xfId="0" applyNumberFormat="1" applyFont="1" applyFill="1" applyBorder="1" applyAlignment="1">
      <alignment horizontal="center" wrapText="1"/>
    </xf>
    <xf numFmtId="0" fontId="42" fillId="8" borderId="58" xfId="0" applyNumberFormat="1" applyFont="1" applyFill="1" applyBorder="1" applyAlignment="1">
      <alignment horizontal="center"/>
    </xf>
    <xf numFmtId="49" fontId="6" fillId="0" borderId="58" xfId="0" applyNumberFormat="1" applyFont="1" applyFill="1" applyBorder="1" applyAlignment="1">
      <alignment horizontal="center" wrapText="1"/>
    </xf>
    <xf numFmtId="0" fontId="44" fillId="0" borderId="24" xfId="0" applyFont="1" applyFill="1" applyBorder="1" applyAlignment="1">
      <alignment horizontal="center" wrapText="1"/>
    </xf>
    <xf numFmtId="0" fontId="45" fillId="0" borderId="58" xfId="0" applyFont="1" applyFill="1" applyBorder="1" applyAlignment="1">
      <alignment horizontal="center" wrapText="1"/>
    </xf>
    <xf numFmtId="0" fontId="5" fillId="4" borderId="59" xfId="0" applyFont="1" applyFill="1" applyBorder="1" applyAlignment="1">
      <alignment horizontal="right"/>
    </xf>
    <xf numFmtId="0" fontId="5" fillId="4" borderId="60" xfId="0" applyFont="1" applyFill="1" applyBorder="1" applyAlignment="1">
      <alignment horizontal="right"/>
    </xf>
    <xf numFmtId="0" fontId="46" fillId="2" borderId="53" xfId="0" applyFont="1" applyFill="1" applyBorder="1" applyAlignment="1">
      <alignment horizontal="left"/>
    </xf>
    <xf numFmtId="0" fontId="6" fillId="0" borderId="62" xfId="0" quotePrefix="1" applyFont="1" applyFill="1" applyBorder="1" applyAlignment="1">
      <alignment horizontal="center"/>
    </xf>
    <xf numFmtId="0" fontId="10" fillId="0" borderId="1" xfId="0" applyFont="1" applyFill="1" applyBorder="1" applyAlignment="1"/>
    <xf numFmtId="49" fontId="16" fillId="0" borderId="24" xfId="0" applyNumberFormat="1" applyFont="1" applyFill="1" applyBorder="1" applyAlignment="1">
      <alignment horizontal="center"/>
    </xf>
    <xf numFmtId="0" fontId="16" fillId="0" borderId="25" xfId="0" applyNumberFormat="1" applyFont="1" applyFill="1" applyBorder="1" applyAlignment="1">
      <alignment horizontal="center"/>
    </xf>
    <xf numFmtId="0" fontId="10" fillId="0" borderId="25" xfId="0" applyNumberFormat="1" applyFont="1" applyFill="1" applyBorder="1" applyAlignment="1">
      <alignment horizontal="center"/>
    </xf>
    <xf numFmtId="0" fontId="42" fillId="8" borderId="42" xfId="0" applyNumberFormat="1" applyFont="1" applyFill="1" applyBorder="1" applyAlignment="1">
      <alignment horizontal="center"/>
    </xf>
    <xf numFmtId="0" fontId="1" fillId="0" borderId="69" xfId="0" applyFont="1" applyBorder="1" applyAlignment="1">
      <alignment horizontal="center" shrinkToFit="1"/>
    </xf>
    <xf numFmtId="0" fontId="4" fillId="0" borderId="41" xfId="0" applyFont="1" applyBorder="1" applyAlignment="1">
      <alignment horizontal="left"/>
    </xf>
    <xf numFmtId="0" fontId="4" fillId="0" borderId="36" xfId="0" applyFont="1" applyBorder="1" applyAlignment="1">
      <alignment horizontal="left"/>
    </xf>
    <xf numFmtId="0" fontId="4" fillId="0" borderId="51" xfId="0" applyFont="1" applyBorder="1" applyAlignment="1">
      <alignment horizontal="center" shrinkToFit="1"/>
    </xf>
    <xf numFmtId="0" fontId="4" fillId="0" borderId="70" xfId="0" applyFont="1" applyBorder="1" applyAlignment="1">
      <alignment horizontal="center" shrinkToFit="1"/>
    </xf>
    <xf numFmtId="0" fontId="1" fillId="0" borderId="36" xfId="0" applyFont="1" applyBorder="1" applyAlignment="1">
      <alignment horizontal="left"/>
    </xf>
    <xf numFmtId="0" fontId="1" fillId="0" borderId="70" xfId="0" applyFont="1" applyBorder="1" applyAlignment="1">
      <alignment horizontal="center" shrinkToFit="1"/>
    </xf>
    <xf numFmtId="0" fontId="1" fillId="0" borderId="38" xfId="0" applyFont="1" applyBorder="1" applyAlignment="1">
      <alignment horizontal="left"/>
    </xf>
    <xf numFmtId="0" fontId="1" fillId="0" borderId="67"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1" fillId="3" borderId="55" xfId="0" applyFont="1" applyFill="1" applyBorder="1" applyAlignment="1">
      <alignment horizontal="centerContinuous" vertical="center"/>
    </xf>
    <xf numFmtId="0" fontId="11" fillId="3" borderId="34" xfId="0" applyFont="1" applyFill="1" applyBorder="1" applyAlignment="1">
      <alignment horizontal="center" vertical="center"/>
    </xf>
    <xf numFmtId="0" fontId="11" fillId="3" borderId="34" xfId="0" applyFont="1" applyFill="1" applyBorder="1" applyAlignment="1">
      <alignment horizontal="center" vertical="center" wrapText="1"/>
    </xf>
    <xf numFmtId="0" fontId="11" fillId="3" borderId="34" xfId="0" applyNumberFormat="1" applyFont="1" applyFill="1" applyBorder="1" applyAlignment="1">
      <alignment horizontal="center" vertical="center" wrapText="1"/>
    </xf>
    <xf numFmtId="0" fontId="45" fillId="8" borderId="33" xfId="0" applyNumberFormat="1" applyFont="1" applyFill="1" applyBorder="1" applyAlignment="1">
      <alignment horizontal="center" vertical="center" wrapText="1"/>
    </xf>
    <xf numFmtId="0" fontId="11" fillId="3" borderId="34" xfId="0" applyNumberFormat="1" applyFont="1" applyFill="1" applyBorder="1" applyAlignment="1">
      <alignment horizontal="center" vertical="center"/>
    </xf>
    <xf numFmtId="0" fontId="11" fillId="3" borderId="56" xfId="0" applyFont="1" applyFill="1" applyBorder="1" applyAlignment="1">
      <alignment horizontal="center" vertical="center"/>
    </xf>
    <xf numFmtId="0" fontId="3" fillId="0" borderId="0" xfId="0" applyFont="1" applyBorder="1" applyAlignment="1">
      <alignment vertical="center"/>
    </xf>
    <xf numFmtId="0" fontId="10" fillId="9" borderId="1" xfId="0" applyFont="1" applyFill="1" applyBorder="1" applyAlignment="1"/>
    <xf numFmtId="0" fontId="6" fillId="9" borderId="24" xfId="0" applyNumberFormat="1" applyFont="1" applyFill="1" applyBorder="1" applyAlignment="1">
      <alignment horizontal="center"/>
    </xf>
    <xf numFmtId="49" fontId="16" fillId="9" borderId="24" xfId="0" applyNumberFormat="1" applyFont="1" applyFill="1" applyBorder="1" applyAlignment="1">
      <alignment horizontal="center"/>
    </xf>
    <xf numFmtId="0" fontId="16" fillId="9" borderId="25" xfId="0" applyNumberFormat="1" applyFont="1" applyFill="1" applyBorder="1" applyAlignment="1">
      <alignment horizontal="center"/>
    </xf>
    <xf numFmtId="0" fontId="10" fillId="9" borderId="25" xfId="0" applyNumberFormat="1" applyFont="1" applyFill="1" applyBorder="1" applyAlignment="1">
      <alignment horizontal="center"/>
    </xf>
    <xf numFmtId="49" fontId="6" fillId="9" borderId="25" xfId="0" applyNumberFormat="1" applyFont="1" applyFill="1" applyBorder="1" applyAlignment="1">
      <alignment horizontal="center"/>
    </xf>
    <xf numFmtId="0" fontId="6" fillId="9" borderId="26" xfId="0" quotePrefix="1" applyNumberFormat="1" applyFont="1" applyFill="1" applyBorder="1" applyAlignment="1">
      <alignment horizontal="center"/>
    </xf>
    <xf numFmtId="0" fontId="6" fillId="9" borderId="26" xfId="0" applyNumberFormat="1" applyFont="1" applyFill="1" applyBorder="1" applyAlignment="1">
      <alignment horizontal="center"/>
    </xf>
    <xf numFmtId="0" fontId="13" fillId="9" borderId="1" xfId="0" applyFont="1" applyFill="1" applyBorder="1" applyAlignment="1"/>
    <xf numFmtId="49" fontId="27" fillId="9" borderId="24" xfId="0" applyNumberFormat="1" applyFont="1" applyFill="1" applyBorder="1" applyAlignment="1">
      <alignment horizontal="center"/>
    </xf>
    <xf numFmtId="0" fontId="27" fillId="9" borderId="25" xfId="0" applyNumberFormat="1" applyFont="1" applyFill="1" applyBorder="1" applyAlignment="1">
      <alignment horizontal="center"/>
    </xf>
    <xf numFmtId="0" fontId="21" fillId="9" borderId="25" xfId="0" applyNumberFormat="1" applyFont="1" applyFill="1" applyBorder="1" applyAlignment="1">
      <alignment horizontal="center"/>
    </xf>
    <xf numFmtId="0" fontId="1" fillId="0" borderId="84" xfId="0" applyFont="1" applyBorder="1" applyAlignment="1">
      <alignment horizontal="center" shrinkToFit="1"/>
    </xf>
    <xf numFmtId="0" fontId="1" fillId="0" borderId="85" xfId="0" applyFont="1" applyBorder="1" applyAlignment="1">
      <alignment horizontal="center" shrinkToFit="1"/>
    </xf>
    <xf numFmtId="0" fontId="4" fillId="0" borderId="84" xfId="0" applyFont="1" applyBorder="1" applyAlignment="1">
      <alignment horizontal="center" shrinkToFit="1"/>
    </xf>
    <xf numFmtId="0" fontId="4" fillId="0" borderId="85" xfId="0" applyFont="1" applyBorder="1" applyAlignment="1">
      <alignment horizontal="center" shrinkToFit="1"/>
    </xf>
    <xf numFmtId="0" fontId="20" fillId="3" borderId="34" xfId="0" applyFont="1" applyFill="1" applyBorder="1" applyAlignment="1">
      <alignment horizontal="center"/>
    </xf>
    <xf numFmtId="0" fontId="10" fillId="4" borderId="87" xfId="0" applyFont="1" applyFill="1" applyBorder="1" applyAlignment="1">
      <alignment horizontal="right"/>
    </xf>
    <xf numFmtId="0" fontId="10" fillId="4" borderId="88" xfId="0" applyFont="1" applyFill="1" applyBorder="1" applyAlignment="1">
      <alignment horizontal="right"/>
    </xf>
    <xf numFmtId="0" fontId="2" fillId="0" borderId="0" xfId="0" applyFont="1" applyBorder="1" applyAlignment="1">
      <alignment horizontal="centerContinuous" vertical="center"/>
    </xf>
    <xf numFmtId="0" fontId="4" fillId="0" borderId="0" xfId="0" applyFont="1" applyBorder="1" applyAlignment="1">
      <alignment vertical="center"/>
    </xf>
    <xf numFmtId="0" fontId="20" fillId="7" borderId="16" xfId="0" applyFont="1" applyFill="1" applyBorder="1" applyAlignment="1">
      <alignment horizontal="center" vertical="center"/>
    </xf>
    <xf numFmtId="0" fontId="20" fillId="7" borderId="17" xfId="0" applyFont="1" applyFill="1" applyBorder="1" applyAlignment="1">
      <alignment horizontal="center" vertical="center"/>
    </xf>
    <xf numFmtId="49" fontId="20" fillId="7" borderId="17" xfId="0" applyNumberFormat="1" applyFont="1" applyFill="1" applyBorder="1" applyAlignment="1">
      <alignment horizontal="center" vertical="center"/>
    </xf>
    <xf numFmtId="0" fontId="20" fillId="7" borderId="21" xfId="0" applyFont="1" applyFill="1" applyBorder="1" applyAlignment="1">
      <alignment horizontal="center" vertical="center"/>
    </xf>
    <xf numFmtId="0" fontId="47" fillId="8" borderId="21" xfId="0" applyFont="1" applyFill="1" applyBorder="1" applyAlignment="1">
      <alignment horizontal="center" vertical="center"/>
    </xf>
    <xf numFmtId="0" fontId="20" fillId="7" borderId="18" xfId="0" applyFont="1" applyFill="1" applyBorder="1" applyAlignment="1">
      <alignment horizontal="center" vertical="center"/>
    </xf>
    <xf numFmtId="0" fontId="4" fillId="0" borderId="0" xfId="0" applyFont="1" applyBorder="1" applyAlignment="1">
      <alignment horizontal="center" vertical="center"/>
    </xf>
    <xf numFmtId="0" fontId="1" fillId="0" borderId="67" xfId="0" applyFont="1" applyBorder="1" applyAlignment="1">
      <alignment horizontal="center" vertical="center"/>
    </xf>
    <xf numFmtId="0" fontId="1" fillId="10" borderId="15" xfId="0" applyFont="1" applyFill="1" applyBorder="1" applyAlignment="1">
      <alignment horizontal="center" vertical="center"/>
    </xf>
    <xf numFmtId="0" fontId="1" fillId="10" borderId="42" xfId="0" applyFont="1" applyFill="1" applyBorder="1" applyAlignment="1">
      <alignment horizontal="center" vertical="center"/>
    </xf>
    <xf numFmtId="49" fontId="1" fillId="10" borderId="42" xfId="0" applyNumberFormat="1" applyFont="1" applyFill="1" applyBorder="1" applyAlignment="1">
      <alignment horizontal="center" vertical="center"/>
    </xf>
    <xf numFmtId="164" fontId="1" fillId="10" borderId="42" xfId="0" applyNumberFormat="1" applyFont="1" applyFill="1" applyBorder="1" applyAlignment="1">
      <alignment horizontal="center" vertical="center"/>
    </xf>
    <xf numFmtId="164" fontId="1" fillId="10" borderId="43" xfId="0" applyNumberFormat="1" applyFont="1" applyFill="1" applyBorder="1" applyAlignment="1">
      <alignment horizontal="center" vertical="center"/>
    </xf>
    <xf numFmtId="1" fontId="48" fillId="8" borderId="43" xfId="0" applyNumberFormat="1" applyFont="1" applyFill="1" applyBorder="1" applyAlignment="1">
      <alignment horizontal="center" vertical="center"/>
    </xf>
    <xf numFmtId="1" fontId="1" fillId="10" borderId="43" xfId="0" applyNumberFormat="1" applyFont="1" applyFill="1" applyBorder="1" applyAlignment="1">
      <alignment horizontal="center" vertical="center"/>
    </xf>
    <xf numFmtId="0" fontId="1" fillId="10" borderId="31" xfId="0" quotePrefix="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7" borderId="21" xfId="0" applyFont="1" applyFill="1" applyBorder="1" applyAlignment="1">
      <alignment horizontal="centerContinuous" vertical="center"/>
    </xf>
    <xf numFmtId="0" fontId="20" fillId="7" borderId="68" xfId="0" applyFont="1" applyFill="1" applyBorder="1" applyAlignment="1">
      <alignment horizontal="centerContinuous" vertical="center"/>
    </xf>
    <xf numFmtId="0" fontId="20" fillId="7" borderId="45" xfId="0" applyFont="1" applyFill="1" applyBorder="1" applyAlignment="1">
      <alignment horizontal="centerContinuous" vertical="center"/>
    </xf>
    <xf numFmtId="0" fontId="1" fillId="0" borderId="67" xfId="0" quotePrefix="1" applyFont="1" applyBorder="1" applyAlignment="1">
      <alignment horizontal="center" vertical="center"/>
    </xf>
    <xf numFmtId="9" fontId="1" fillId="0" borderId="67" xfId="0" applyNumberFormat="1" applyFont="1" applyBorder="1" applyAlignment="1">
      <alignment horizontal="center" vertical="center"/>
    </xf>
    <xf numFmtId="49" fontId="1" fillId="0" borderId="67" xfId="0" quotePrefix="1" applyNumberFormat="1" applyFont="1" applyBorder="1" applyAlignment="1">
      <alignment horizontal="center" vertical="center"/>
    </xf>
    <xf numFmtId="164" fontId="4" fillId="0" borderId="67" xfId="0" applyNumberFormat="1" applyFont="1" applyFill="1" applyBorder="1" applyAlignment="1">
      <alignment horizontal="center" vertical="center"/>
    </xf>
    <xf numFmtId="164" fontId="1" fillId="0" borderId="66" xfId="0" applyNumberFormat="1" applyFont="1" applyFill="1" applyBorder="1" applyAlignment="1">
      <alignment horizontal="centerContinuous" vertical="center"/>
    </xf>
    <xf numFmtId="164" fontId="1" fillId="0" borderId="76" xfId="0" applyNumberFormat="1" applyFont="1" applyFill="1" applyBorder="1" applyAlignment="1">
      <alignment horizontal="centerContinuous" vertical="center"/>
    </xf>
    <xf numFmtId="0" fontId="4" fillId="0" borderId="77" xfId="0" quotePrefix="1" applyFont="1" applyBorder="1" applyAlignment="1">
      <alignment horizontal="centerContinuous" vertical="center"/>
    </xf>
    <xf numFmtId="164" fontId="4" fillId="0" borderId="78" xfId="0" applyNumberFormat="1" applyFont="1" applyBorder="1" applyAlignment="1">
      <alignment horizontal="centerContinuous" vertical="center"/>
    </xf>
    <xf numFmtId="0" fontId="4" fillId="0" borderId="79" xfId="0" applyFont="1" applyBorder="1" applyAlignment="1">
      <alignment horizontal="centerContinuous" vertical="center"/>
    </xf>
    <xf numFmtId="0" fontId="18" fillId="0" borderId="0" xfId="0" applyFont="1" applyBorder="1" applyAlignment="1">
      <alignment horizontal="right" vertical="center"/>
    </xf>
    <xf numFmtId="0" fontId="20" fillId="7" borderId="19" xfId="0" applyFont="1" applyFill="1" applyBorder="1" applyAlignment="1">
      <alignment horizontal="centerContinuous" vertical="center"/>
    </xf>
    <xf numFmtId="0" fontId="20" fillId="7" borderId="20" xfId="0" applyFont="1" applyFill="1" applyBorder="1" applyAlignment="1">
      <alignment horizontal="centerContinuous" vertical="center"/>
    </xf>
    <xf numFmtId="0" fontId="1" fillId="0" borderId="64" xfId="0" applyFont="1" applyFill="1" applyBorder="1" applyAlignment="1">
      <alignment horizontal="centerContinuous" vertical="center"/>
    </xf>
    <xf numFmtId="0" fontId="4" fillId="0" borderId="65" xfId="0" applyFont="1" applyFill="1" applyBorder="1" applyAlignment="1">
      <alignment horizontal="centerContinuous" vertical="center"/>
    </xf>
    <xf numFmtId="0" fontId="4" fillId="0" borderId="66" xfId="0" applyFont="1" applyFill="1" applyBorder="1" applyAlignment="1">
      <alignment horizontal="centerContinuous" vertical="center"/>
    </xf>
    <xf numFmtId="49" fontId="1" fillId="0" borderId="67" xfId="0" applyNumberFormat="1" applyFont="1" applyFill="1" applyBorder="1" applyAlignment="1">
      <alignment horizontal="center" vertical="center"/>
    </xf>
    <xf numFmtId="49" fontId="1" fillId="0" borderId="66" xfId="0" applyNumberFormat="1" applyFont="1" applyFill="1" applyBorder="1" applyAlignment="1">
      <alignment horizontal="centerContinuous" vertical="center"/>
    </xf>
    <xf numFmtId="49" fontId="1" fillId="0" borderId="76" xfId="0" applyNumberFormat="1" applyFont="1" applyFill="1" applyBorder="1" applyAlignment="1">
      <alignment horizontal="centerContinuous" vertical="center"/>
    </xf>
    <xf numFmtId="0" fontId="4" fillId="0" borderId="77" xfId="0" applyFont="1" applyFill="1" applyBorder="1" applyAlignment="1">
      <alignment horizontal="centerContinuous" vertical="center"/>
    </xf>
    <xf numFmtId="0" fontId="1" fillId="0" borderId="8" xfId="0" applyFont="1" applyFill="1" applyBorder="1" applyAlignment="1">
      <alignment horizontal="centerContinuous" vertical="center"/>
    </xf>
    <xf numFmtId="0" fontId="4" fillId="0" borderId="63" xfId="0" applyFont="1" applyFill="1" applyBorder="1" applyAlignment="1">
      <alignment horizontal="centerContinuous" vertical="center"/>
    </xf>
    <xf numFmtId="0" fontId="4" fillId="0" borderId="43" xfId="0" applyFont="1" applyFill="1" applyBorder="1" applyAlignment="1">
      <alignment horizontal="centerContinuous" vertical="center"/>
    </xf>
    <xf numFmtId="164" fontId="4" fillId="0" borderId="42" xfId="0" applyNumberFormat="1" applyFont="1" applyFill="1" applyBorder="1" applyAlignment="1">
      <alignment horizontal="center" vertical="center"/>
    </xf>
    <xf numFmtId="49" fontId="1" fillId="0" borderId="42" xfId="0" applyNumberFormat="1" applyFont="1" applyFill="1" applyBorder="1" applyAlignment="1">
      <alignment horizontal="center" vertical="center"/>
    </xf>
    <xf numFmtId="49" fontId="1" fillId="0" borderId="43" xfId="0" applyNumberFormat="1" applyFont="1" applyFill="1" applyBorder="1" applyAlignment="1">
      <alignment horizontal="centerContinuous" vertical="center"/>
    </xf>
    <xf numFmtId="49" fontId="1" fillId="0" borderId="9" xfId="0" applyNumberFormat="1" applyFont="1" applyFill="1" applyBorder="1" applyAlignment="1">
      <alignment horizontal="centerContinuous" vertical="center"/>
    </xf>
    <xf numFmtId="0" fontId="1" fillId="0" borderId="10" xfId="0" applyFont="1" applyFill="1" applyBorder="1" applyAlignment="1">
      <alignment horizontal="centerContinuous" vertical="center"/>
    </xf>
    <xf numFmtId="0" fontId="34" fillId="2" borderId="54" xfId="1" applyFont="1" applyFill="1" applyBorder="1" applyAlignment="1" applyProtection="1">
      <alignment horizontal="right" vertical="center"/>
    </xf>
    <xf numFmtId="0" fontId="6" fillId="6" borderId="26" xfId="0" quotePrefix="1" applyNumberFormat="1" applyFont="1" applyFill="1" applyBorder="1" applyAlignment="1">
      <alignment horizontal="center"/>
    </xf>
    <xf numFmtId="1" fontId="1" fillId="0" borderId="0" xfId="0" applyNumberFormat="1" applyFont="1" applyBorder="1" applyAlignment="1">
      <alignment horizontal="center"/>
    </xf>
    <xf numFmtId="1" fontId="3" fillId="0" borderId="0" xfId="0" applyNumberFormat="1" applyFont="1" applyBorder="1" applyAlignment="1">
      <alignment horizontal="center"/>
    </xf>
    <xf numFmtId="1" fontId="4" fillId="0" borderId="0" xfId="0" applyNumberFormat="1" applyFont="1" applyBorder="1" applyAlignment="1">
      <alignment horizontal="center"/>
    </xf>
    <xf numFmtId="0" fontId="1" fillId="0" borderId="71" xfId="0" applyFont="1" applyBorder="1" applyAlignment="1">
      <alignment horizontal="center" vertical="center" shrinkToFit="1"/>
    </xf>
    <xf numFmtId="0" fontId="20" fillId="7" borderId="29" xfId="0" applyFont="1" applyFill="1" applyBorder="1" applyAlignment="1">
      <alignment horizontal="center" vertical="center"/>
    </xf>
    <xf numFmtId="1" fontId="1" fillId="0" borderId="97" xfId="0" applyNumberFormat="1" applyFont="1" applyFill="1" applyBorder="1" applyAlignment="1">
      <alignment horizontal="center" vertical="center"/>
    </xf>
    <xf numFmtId="1" fontId="1" fillId="0" borderId="32" xfId="0" applyNumberFormat="1" applyFont="1" applyFill="1" applyBorder="1" applyAlignment="1">
      <alignment horizontal="center" vertical="center"/>
    </xf>
    <xf numFmtId="1" fontId="1" fillId="0" borderId="44" xfId="0" applyNumberFormat="1" applyFont="1" applyFill="1" applyBorder="1" applyAlignment="1">
      <alignment horizontal="center" vertical="center"/>
    </xf>
    <xf numFmtId="0" fontId="1" fillId="0" borderId="74" xfId="0" quotePrefix="1" applyFont="1" applyBorder="1" applyAlignment="1">
      <alignment horizontal="center" vertical="center"/>
    </xf>
    <xf numFmtId="9" fontId="1" fillId="0" borderId="74" xfId="0" applyNumberFormat="1" applyFont="1" applyBorder="1" applyAlignment="1">
      <alignment horizontal="center" vertical="center"/>
    </xf>
    <xf numFmtId="0" fontId="1" fillId="0" borderId="74" xfId="0" applyNumberFormat="1" applyFont="1" applyBorder="1" applyAlignment="1">
      <alignment horizontal="center" vertical="center"/>
    </xf>
    <xf numFmtId="0" fontId="3" fillId="0" borderId="51" xfId="0" applyFont="1" applyFill="1" applyBorder="1" applyAlignment="1">
      <alignment shrinkToFit="1"/>
    </xf>
    <xf numFmtId="0" fontId="1" fillId="0" borderId="84" xfId="0" applyFont="1" applyFill="1" applyBorder="1" applyAlignment="1">
      <alignment horizontal="center" shrinkToFit="1"/>
    </xf>
    <xf numFmtId="164" fontId="4" fillId="0" borderId="36" xfId="0" applyNumberFormat="1" applyFont="1" applyFill="1" applyBorder="1" applyAlignment="1">
      <alignment horizontal="center" shrinkToFit="1"/>
    </xf>
    <xf numFmtId="0" fontId="1" fillId="0" borderId="36" xfId="0" quotePrefix="1" applyFont="1" applyFill="1" applyBorder="1" applyAlignment="1">
      <alignment horizontal="left"/>
    </xf>
    <xf numFmtId="0" fontId="1" fillId="0" borderId="37" xfId="0" applyFont="1" applyFill="1" applyBorder="1" applyAlignment="1">
      <alignment horizontal="center" shrinkToFit="1"/>
    </xf>
    <xf numFmtId="0" fontId="1" fillId="0" borderId="51" xfId="0" applyFont="1" applyFill="1" applyBorder="1" applyAlignment="1">
      <alignment horizontal="center" shrinkToFit="1"/>
    </xf>
    <xf numFmtId="0" fontId="1" fillId="0" borderId="82" xfId="0" applyFont="1" applyFill="1" applyBorder="1" applyAlignment="1">
      <alignment horizontal="center" shrinkToFit="1"/>
    </xf>
    <xf numFmtId="164" fontId="1" fillId="0" borderId="36" xfId="0" applyNumberFormat="1" applyFont="1" applyFill="1" applyBorder="1" applyAlignment="1">
      <alignment horizontal="center" shrinkToFit="1"/>
    </xf>
    <xf numFmtId="0" fontId="1" fillId="0" borderId="93" xfId="0" applyFont="1" applyFill="1" applyBorder="1" applyAlignment="1">
      <alignment horizontal="center" shrinkToFit="1"/>
    </xf>
    <xf numFmtId="0" fontId="1" fillId="0" borderId="94" xfId="0" applyFont="1" applyFill="1" applyBorder="1" applyAlignment="1">
      <alignment horizontal="center" shrinkToFit="1"/>
    </xf>
    <xf numFmtId="164" fontId="4" fillId="0" borderId="95" xfId="0" applyNumberFormat="1" applyFont="1" applyFill="1" applyBorder="1" applyAlignment="1">
      <alignment horizontal="center" shrinkToFit="1"/>
    </xf>
    <xf numFmtId="0" fontId="4" fillId="0" borderId="95" xfId="0" applyFont="1" applyFill="1" applyBorder="1" applyAlignment="1">
      <alignment horizontal="left"/>
    </xf>
    <xf numFmtId="0" fontId="1" fillId="0" borderId="96" xfId="0" applyFont="1" applyFill="1" applyBorder="1" applyAlignment="1">
      <alignment horizontal="center" shrinkToFit="1"/>
    </xf>
    <xf numFmtId="0" fontId="3" fillId="0" borderId="89" xfId="0" applyFont="1" applyFill="1" applyBorder="1" applyAlignment="1">
      <alignment shrinkToFit="1"/>
    </xf>
    <xf numFmtId="0" fontId="1" fillId="0" borderId="90" xfId="0" applyFont="1" applyFill="1" applyBorder="1" applyAlignment="1">
      <alignment horizontal="center" shrinkToFit="1"/>
    </xf>
    <xf numFmtId="164" fontId="4" fillId="0" borderId="91" xfId="0" applyNumberFormat="1" applyFont="1" applyFill="1" applyBorder="1" applyAlignment="1">
      <alignment horizontal="center" shrinkToFit="1"/>
    </xf>
    <xf numFmtId="0" fontId="1" fillId="0" borderId="91" xfId="0" applyFont="1" applyFill="1" applyBorder="1" applyAlignment="1">
      <alignment horizontal="left"/>
    </xf>
    <xf numFmtId="0" fontId="1" fillId="0" borderId="92" xfId="0" applyFont="1" applyFill="1" applyBorder="1" applyAlignment="1">
      <alignment horizontal="center" shrinkToFit="1"/>
    </xf>
    <xf numFmtId="0" fontId="1" fillId="0" borderId="80" xfId="0" applyFont="1" applyFill="1" applyBorder="1" applyAlignment="1">
      <alignment horizontal="center" shrinkToFit="1"/>
    </xf>
    <xf numFmtId="0" fontId="1" fillId="0" borderId="86" xfId="0" applyFont="1" applyFill="1" applyBorder="1" applyAlignment="1">
      <alignment horizontal="center" shrinkToFit="1"/>
    </xf>
    <xf numFmtId="164" fontId="4" fillId="0" borderId="81" xfId="0" applyNumberFormat="1" applyFont="1" applyFill="1" applyBorder="1" applyAlignment="1">
      <alignment horizontal="center" shrinkToFit="1"/>
    </xf>
    <xf numFmtId="0" fontId="4" fillId="0" borderId="81" xfId="0" applyFont="1" applyFill="1" applyBorder="1" applyAlignment="1">
      <alignment horizontal="left"/>
    </xf>
    <xf numFmtId="0" fontId="1" fillId="0" borderId="70" xfId="0" applyFont="1" applyFill="1" applyBorder="1" applyAlignment="1">
      <alignment horizontal="center" shrinkToFit="1"/>
    </xf>
    <xf numFmtId="0" fontId="1" fillId="0" borderId="85" xfId="0" applyFont="1" applyFill="1" applyBorder="1" applyAlignment="1">
      <alignment horizontal="center" shrinkToFit="1"/>
    </xf>
    <xf numFmtId="164" fontId="4" fillId="0" borderId="38" xfId="0" applyNumberFormat="1" applyFont="1" applyFill="1" applyBorder="1" applyAlignment="1">
      <alignment horizontal="center" shrinkToFit="1"/>
    </xf>
    <xf numFmtId="0" fontId="4" fillId="0" borderId="38" xfId="0" applyFont="1" applyFill="1" applyBorder="1" applyAlignment="1">
      <alignment horizontal="left"/>
    </xf>
    <xf numFmtId="0" fontId="1" fillId="0" borderId="39" xfId="0" applyFont="1" applyFill="1" applyBorder="1" applyAlignment="1">
      <alignment horizontal="center" shrinkToFit="1"/>
    </xf>
    <xf numFmtId="1" fontId="20" fillId="3" borderId="29" xfId="0" applyNumberFormat="1" applyFont="1" applyFill="1" applyBorder="1" applyAlignment="1">
      <alignment horizontal="center" vertical="center"/>
    </xf>
    <xf numFmtId="1" fontId="1" fillId="0" borderId="48" xfId="0" applyNumberFormat="1" applyFont="1" applyBorder="1" applyAlignment="1">
      <alignment horizontal="center" vertical="center" shrinkToFit="1"/>
    </xf>
    <xf numFmtId="1" fontId="1" fillId="0" borderId="32" xfId="0" applyNumberFormat="1" applyFont="1" applyBorder="1" applyAlignment="1">
      <alignment horizontal="center" vertical="center" shrinkToFit="1"/>
    </xf>
    <xf numFmtId="1" fontId="1" fillId="0" borderId="44" xfId="0" applyNumberFormat="1" applyFont="1" applyBorder="1" applyAlignment="1">
      <alignment horizontal="center" vertical="center" shrinkToFit="1"/>
    </xf>
    <xf numFmtId="164" fontId="1" fillId="0" borderId="91" xfId="0" applyNumberFormat="1" applyFont="1" applyFill="1" applyBorder="1" applyAlignment="1">
      <alignment horizontal="center" shrinkToFit="1"/>
    </xf>
    <xf numFmtId="0" fontId="1" fillId="0" borderId="91" xfId="0" quotePrefix="1" applyFont="1" applyFill="1" applyBorder="1" applyAlignment="1">
      <alignment horizontal="left"/>
    </xf>
    <xf numFmtId="164" fontId="1" fillId="0" borderId="95" xfId="0" applyNumberFormat="1" applyFont="1" applyFill="1" applyBorder="1" applyAlignment="1">
      <alignment horizontal="center" shrinkToFit="1"/>
    </xf>
    <xf numFmtId="0" fontId="1" fillId="0" borderId="95" xfId="0" quotePrefix="1" applyFont="1" applyFill="1" applyBorder="1" applyAlignment="1">
      <alignment horizontal="left"/>
    </xf>
    <xf numFmtId="1" fontId="1" fillId="0" borderId="50" xfId="0" applyNumberFormat="1" applyFont="1" applyBorder="1" applyAlignment="1">
      <alignment horizontal="center" vertical="center" shrinkToFit="1"/>
    </xf>
    <xf numFmtId="1" fontId="1" fillId="0" borderId="98" xfId="0" applyNumberFormat="1" applyFont="1" applyBorder="1" applyAlignment="1">
      <alignment horizontal="center" vertical="center" shrinkToFit="1"/>
    </xf>
    <xf numFmtId="2" fontId="1" fillId="0" borderId="32" xfId="0" applyNumberFormat="1" applyFont="1" applyBorder="1" applyAlignment="1">
      <alignment horizontal="center" vertical="center" shrinkToFit="1"/>
    </xf>
    <xf numFmtId="0" fontId="20" fillId="7" borderId="99" xfId="0" applyFont="1" applyFill="1" applyBorder="1" applyAlignment="1">
      <alignment horizontal="center" vertical="center"/>
    </xf>
    <xf numFmtId="0" fontId="1" fillId="0" borderId="0" xfId="0" applyFont="1" applyBorder="1" applyAlignment="1">
      <alignment vertical="center"/>
    </xf>
    <xf numFmtId="0" fontId="1" fillId="0" borderId="64" xfId="0" applyFont="1" applyFill="1" applyBorder="1" applyAlignment="1">
      <alignment horizontal="centerContinuous" vertical="center" shrinkToFit="1"/>
    </xf>
    <xf numFmtId="0" fontId="20" fillId="0" borderId="76" xfId="0" applyFont="1" applyFill="1" applyBorder="1" applyAlignment="1">
      <alignment horizontal="centerContinuous" vertical="center"/>
    </xf>
    <xf numFmtId="0" fontId="1" fillId="0" borderId="77" xfId="0" applyFont="1" applyFill="1" applyBorder="1" applyAlignment="1">
      <alignment horizontal="centerContinuous" vertical="center"/>
    </xf>
    <xf numFmtId="0" fontId="1" fillId="0" borderId="100" xfId="0" applyFont="1" applyFill="1" applyBorder="1" applyAlignment="1">
      <alignment horizontal="centerContinuous" vertical="center" shrinkToFit="1"/>
    </xf>
    <xf numFmtId="0" fontId="20" fillId="0" borderId="101" xfId="0" applyFont="1" applyFill="1" applyBorder="1" applyAlignment="1">
      <alignment horizontal="centerContinuous" vertical="center"/>
    </xf>
    <xf numFmtId="0" fontId="1" fillId="0" borderId="102" xfId="0" applyFont="1" applyFill="1" applyBorder="1" applyAlignment="1">
      <alignment horizontal="centerContinuous" vertical="center"/>
    </xf>
    <xf numFmtId="0" fontId="1" fillId="0" borderId="103" xfId="0" applyFont="1" applyFill="1" applyBorder="1" applyAlignment="1">
      <alignment horizontal="centerContinuous" vertical="center" shrinkToFit="1"/>
    </xf>
    <xf numFmtId="0" fontId="20" fillId="0" borderId="78" xfId="0" applyFont="1" applyFill="1" applyBorder="1" applyAlignment="1">
      <alignment horizontal="centerContinuous" vertical="center"/>
    </xf>
    <xf numFmtId="0" fontId="1" fillId="0" borderId="74" xfId="0" applyFont="1" applyFill="1" applyBorder="1" applyAlignment="1">
      <alignment horizontal="center" vertical="center"/>
    </xf>
    <xf numFmtId="164" fontId="1" fillId="0" borderId="75" xfId="0" quotePrefix="1" applyNumberFormat="1" applyFont="1" applyBorder="1" applyAlignment="1">
      <alignment horizontal="centerContinuous" vertical="center"/>
    </xf>
    <xf numFmtId="0" fontId="3" fillId="0" borderId="0" xfId="0" applyFont="1" applyBorder="1" applyAlignment="1">
      <alignment horizontal="right" vertical="center"/>
    </xf>
    <xf numFmtId="165" fontId="1" fillId="0" borderId="0" xfId="0" applyNumberFormat="1" applyFont="1" applyBorder="1" applyAlignment="1">
      <alignment horizontal="center" vertical="center"/>
    </xf>
    <xf numFmtId="0" fontId="1" fillId="0" borderId="13" xfId="0" applyFont="1" applyBorder="1" applyAlignment="1">
      <alignment horizontal="center" vertical="center" shrinkToFit="1"/>
    </xf>
    <xf numFmtId="0" fontId="1" fillId="0" borderId="24" xfId="0" quotePrefix="1" applyFont="1" applyBorder="1" applyAlignment="1">
      <alignment horizontal="center" vertical="center"/>
    </xf>
    <xf numFmtId="0" fontId="1" fillId="0" borderId="24" xfId="0" applyFont="1" applyBorder="1" applyAlignment="1">
      <alignment horizontal="center" vertical="center"/>
    </xf>
    <xf numFmtId="9" fontId="1" fillId="0" borderId="24" xfId="0" applyNumberFormat="1" applyFont="1" applyBorder="1" applyAlignment="1">
      <alignment horizontal="center" vertical="center"/>
    </xf>
    <xf numFmtId="49" fontId="1" fillId="0" borderId="24" xfId="0" quotePrefix="1" applyNumberFormat="1" applyFont="1" applyBorder="1" applyAlignment="1">
      <alignment horizontal="center" vertical="center"/>
    </xf>
    <xf numFmtId="164" fontId="4" fillId="0" borderId="24" xfId="0" applyNumberFormat="1" applyFont="1" applyFill="1" applyBorder="1" applyAlignment="1">
      <alignment horizontal="center" vertical="center"/>
    </xf>
    <xf numFmtId="164" fontId="1" fillId="0" borderId="25" xfId="0" applyNumberFormat="1" applyFont="1" applyFill="1" applyBorder="1" applyAlignment="1">
      <alignment horizontal="centerContinuous" vertical="center"/>
    </xf>
    <xf numFmtId="164" fontId="1" fillId="0" borderId="0" xfId="0" applyNumberFormat="1" applyFont="1" applyFill="1" applyBorder="1" applyAlignment="1">
      <alignment horizontal="centerContinuous" vertical="center"/>
    </xf>
    <xf numFmtId="0" fontId="4" fillId="0" borderId="2" xfId="0" quotePrefix="1" applyFont="1" applyBorder="1" applyAlignment="1">
      <alignment horizontal="centerContinuous" vertical="center"/>
    </xf>
    <xf numFmtId="1" fontId="1" fillId="0" borderId="104" xfId="0" applyNumberFormat="1" applyFont="1" applyFill="1" applyBorder="1" applyAlignment="1">
      <alignment horizontal="center" vertical="center"/>
    </xf>
    <xf numFmtId="0" fontId="38" fillId="0" borderId="48" xfId="0" applyFont="1" applyFill="1" applyBorder="1" applyAlignment="1">
      <alignment horizontal="center" shrinkToFit="1"/>
    </xf>
    <xf numFmtId="0" fontId="49" fillId="0" borderId="32" xfId="0" applyFont="1" applyFill="1" applyBorder="1" applyAlignment="1">
      <alignment horizontal="center" shrinkToFit="1"/>
    </xf>
    <xf numFmtId="0" fontId="51" fillId="0" borderId="29" xfId="0" applyFont="1" applyFill="1" applyBorder="1" applyAlignment="1">
      <alignment horizontal="centerContinuous"/>
    </xf>
    <xf numFmtId="0" fontId="1" fillId="0" borderId="0" xfId="0" applyFont="1" applyAlignment="1">
      <alignment horizontal="center" vertical="center"/>
    </xf>
    <xf numFmtId="0" fontId="3" fillId="4" borderId="11" xfId="0" applyFont="1" applyFill="1" applyBorder="1" applyAlignment="1">
      <alignment horizontal="right" vertical="center"/>
    </xf>
    <xf numFmtId="0" fontId="38" fillId="0" borderId="44" xfId="0" applyFont="1" applyFill="1" applyBorder="1" applyAlignment="1">
      <alignment horizontal="center" shrinkToFit="1"/>
    </xf>
    <xf numFmtId="2" fontId="1" fillId="0" borderId="98" xfId="0" applyNumberFormat="1" applyFont="1" applyBorder="1" applyAlignment="1">
      <alignment horizontal="center" vertical="center" shrinkToFit="1"/>
    </xf>
    <xf numFmtId="0" fontId="5" fillId="0" borderId="27" xfId="0" applyFont="1" applyBorder="1" applyAlignment="1">
      <alignment horizontal="center" vertical="center"/>
    </xf>
    <xf numFmtId="0" fontId="6" fillId="0" borderId="0" xfId="0" applyFont="1" applyFill="1" applyBorder="1" applyAlignment="1"/>
    <xf numFmtId="1" fontId="1" fillId="0" borderId="48" xfId="0" applyNumberFormat="1" applyFont="1" applyFill="1" applyBorder="1" applyAlignment="1">
      <alignment horizontal="center" vertical="center"/>
    </xf>
    <xf numFmtId="0" fontId="1" fillId="0" borderId="80" xfId="0" applyFont="1" applyBorder="1" applyAlignment="1">
      <alignment horizontal="center" shrinkToFit="1"/>
    </xf>
    <xf numFmtId="0" fontId="1" fillId="0" borderId="86" xfId="0" applyFont="1" applyBorder="1" applyAlignment="1">
      <alignment horizontal="center" shrinkToFit="1"/>
    </xf>
    <xf numFmtId="164" fontId="4" fillId="0" borderId="81" xfId="0" applyNumberFormat="1" applyFont="1" applyBorder="1" applyAlignment="1">
      <alignment horizontal="center" shrinkToFit="1"/>
    </xf>
    <xf numFmtId="0" fontId="4" fillId="0" borderId="82" xfId="0" applyFont="1" applyBorder="1" applyAlignment="1">
      <alignment horizontal="left" shrinkToFit="1"/>
    </xf>
    <xf numFmtId="1" fontId="1" fillId="0" borderId="105" xfId="0" applyNumberFormat="1" applyFont="1" applyBorder="1" applyAlignment="1">
      <alignment horizontal="center" vertical="center" shrinkToFit="1"/>
    </xf>
    <xf numFmtId="0" fontId="1" fillId="0" borderId="81" xfId="0" quotePrefix="1" applyFont="1" applyBorder="1" applyAlignment="1">
      <alignment horizontal="left"/>
    </xf>
    <xf numFmtId="0" fontId="1" fillId="0" borderId="81" xfId="0" applyFont="1" applyBorder="1" applyAlignment="1">
      <alignment horizontal="left"/>
    </xf>
    <xf numFmtId="0" fontId="1" fillId="0" borderId="106" xfId="0" applyFont="1" applyFill="1" applyBorder="1" applyAlignment="1">
      <alignment horizontal="center" vertical="center"/>
    </xf>
    <xf numFmtId="0" fontId="1" fillId="0" borderId="107" xfId="0" applyFont="1" applyFill="1" applyBorder="1" applyAlignment="1">
      <alignment horizontal="center" vertical="center"/>
    </xf>
    <xf numFmtId="0" fontId="1" fillId="0" borderId="107" xfId="0" quotePrefix="1" applyFont="1" applyFill="1" applyBorder="1" applyAlignment="1">
      <alignment horizontal="center" vertical="center" wrapText="1"/>
    </xf>
    <xf numFmtId="49" fontId="1" fillId="0" borderId="107" xfId="2" applyNumberFormat="1" applyFont="1" applyFill="1" applyBorder="1" applyAlignment="1">
      <alignment horizontal="center" vertical="center"/>
    </xf>
    <xf numFmtId="0" fontId="1" fillId="0" borderId="107" xfId="0" applyFont="1" applyFill="1" applyBorder="1" applyAlignment="1">
      <alignment horizontal="center" vertical="center" shrinkToFit="1"/>
    </xf>
    <xf numFmtId="164" fontId="4" fillId="0" borderId="108" xfId="0" applyNumberFormat="1" applyFont="1" applyBorder="1" applyAlignment="1">
      <alignment horizontal="center" vertical="center"/>
    </xf>
    <xf numFmtId="1" fontId="48" fillId="8" borderId="108" xfId="0" applyNumberFormat="1" applyFont="1" applyFill="1" applyBorder="1" applyAlignment="1">
      <alignment horizontal="center" vertical="center"/>
    </xf>
    <xf numFmtId="1" fontId="1" fillId="0" borderId="108" xfId="0" applyNumberFormat="1" applyFont="1" applyBorder="1" applyAlignment="1">
      <alignment horizontal="center" vertical="center"/>
    </xf>
    <xf numFmtId="0" fontId="1" fillId="0" borderId="26" xfId="0" quotePrefix="1" applyFont="1" applyBorder="1" applyAlignment="1">
      <alignment horizontal="center" vertical="center"/>
    </xf>
    <xf numFmtId="0" fontId="1" fillId="0" borderId="109" xfId="0" applyFont="1" applyFill="1" applyBorder="1" applyAlignment="1">
      <alignment horizontal="center" vertical="center" shrinkToFit="1"/>
    </xf>
    <xf numFmtId="164" fontId="1" fillId="0" borderId="109" xfId="0" applyNumberFormat="1" applyFont="1" applyFill="1" applyBorder="1" applyAlignment="1">
      <alignment horizontal="center" vertical="center"/>
    </xf>
    <xf numFmtId="164" fontId="4" fillId="0" borderId="110" xfId="0" applyNumberFormat="1" applyFont="1" applyBorder="1" applyAlignment="1">
      <alignment horizontal="center" vertical="center"/>
    </xf>
    <xf numFmtId="1" fontId="48" fillId="8" borderId="110" xfId="0" applyNumberFormat="1" applyFont="1" applyFill="1" applyBorder="1" applyAlignment="1">
      <alignment horizontal="center" vertical="center"/>
    </xf>
    <xf numFmtId="1" fontId="1" fillId="0" borderId="110" xfId="0" applyNumberFormat="1" applyFont="1" applyBorder="1" applyAlignment="1">
      <alignment horizontal="center" vertical="center"/>
    </xf>
    <xf numFmtId="0" fontId="1" fillId="0" borderId="111" xfId="0" applyFont="1" applyBorder="1" applyAlignment="1">
      <alignment horizontal="center" vertical="center"/>
    </xf>
    <xf numFmtId="1" fontId="1" fillId="0" borderId="105" xfId="0" applyNumberFormat="1" applyFont="1" applyFill="1" applyBorder="1" applyAlignment="1">
      <alignment horizontal="center" vertical="center"/>
    </xf>
    <xf numFmtId="1" fontId="1" fillId="0" borderId="50" xfId="0" applyNumberFormat="1" applyFont="1" applyFill="1" applyBorder="1" applyAlignment="1">
      <alignment horizontal="center" vertical="center"/>
    </xf>
    <xf numFmtId="164" fontId="1" fillId="9" borderId="107" xfId="0" applyNumberFormat="1" applyFont="1" applyFill="1" applyBorder="1" applyAlignment="1">
      <alignment horizontal="center" vertical="center"/>
    </xf>
    <xf numFmtId="0" fontId="1" fillId="0" borderId="112" xfId="0" applyFont="1" applyFill="1" applyBorder="1" applyAlignment="1">
      <alignment horizontal="center" vertical="center"/>
    </xf>
    <xf numFmtId="0" fontId="1" fillId="0" borderId="113" xfId="0" applyFont="1" applyFill="1" applyBorder="1" applyAlignment="1">
      <alignment horizontal="center" vertical="center"/>
    </xf>
    <xf numFmtId="0" fontId="1" fillId="0" borderId="113" xfId="0" quotePrefix="1" applyFont="1" applyFill="1" applyBorder="1" applyAlignment="1">
      <alignment horizontal="center" vertical="center" wrapText="1"/>
    </xf>
    <xf numFmtId="49" fontId="1" fillId="0" borderId="113" xfId="2" applyNumberFormat="1" applyFont="1" applyFill="1" applyBorder="1" applyAlignment="1">
      <alignment horizontal="center" vertical="center"/>
    </xf>
    <xf numFmtId="0" fontId="1" fillId="0" borderId="113" xfId="0" applyFont="1" applyFill="1" applyBorder="1" applyAlignment="1">
      <alignment horizontal="center" vertical="center" shrinkToFit="1"/>
    </xf>
    <xf numFmtId="164" fontId="4" fillId="0" borderId="114" xfId="0" applyNumberFormat="1" applyFont="1" applyBorder="1" applyAlignment="1">
      <alignment horizontal="center" vertical="center"/>
    </xf>
    <xf numFmtId="1" fontId="48" fillId="8" borderId="114" xfId="0" applyNumberFormat="1" applyFont="1" applyFill="1" applyBorder="1" applyAlignment="1">
      <alignment horizontal="center" vertical="center"/>
    </xf>
    <xf numFmtId="1" fontId="1" fillId="0" borderId="114" xfId="0" applyNumberFormat="1" applyFont="1" applyBorder="1" applyAlignment="1">
      <alignment horizontal="center" vertical="center"/>
    </xf>
    <xf numFmtId="0" fontId="1" fillId="0" borderId="115" xfId="0" quotePrefix="1" applyFont="1" applyBorder="1" applyAlignment="1">
      <alignment horizontal="center" vertical="center"/>
    </xf>
    <xf numFmtId="0" fontId="1" fillId="0" borderId="1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4" xfId="0" quotePrefix="1" applyFont="1" applyFill="1" applyBorder="1" applyAlignment="1">
      <alignment horizontal="center" vertical="center" wrapText="1"/>
    </xf>
    <xf numFmtId="49" fontId="1" fillId="0" borderId="24" xfId="2" applyNumberFormat="1" applyFont="1" applyFill="1" applyBorder="1" applyAlignment="1">
      <alignment horizontal="center" vertical="center"/>
    </xf>
    <xf numFmtId="0" fontId="1" fillId="0" borderId="24" xfId="0" applyFont="1" applyFill="1" applyBorder="1" applyAlignment="1">
      <alignment horizontal="center" vertical="center" shrinkToFit="1"/>
    </xf>
    <xf numFmtId="164" fontId="4" fillId="0" borderId="25" xfId="0" applyNumberFormat="1" applyFont="1" applyBorder="1" applyAlignment="1">
      <alignment horizontal="center" vertical="center"/>
    </xf>
    <xf numFmtId="1" fontId="48" fillId="8" borderId="25" xfId="0" applyNumberFormat="1" applyFont="1" applyFill="1" applyBorder="1" applyAlignment="1">
      <alignment horizontal="center" vertical="center"/>
    </xf>
    <xf numFmtId="1" fontId="1" fillId="0" borderId="25" xfId="0" applyNumberFormat="1" applyFont="1" applyBorder="1" applyAlignment="1">
      <alignment horizontal="center" vertical="center"/>
    </xf>
    <xf numFmtId="0" fontId="1" fillId="0" borderId="116" xfId="0" applyFont="1" applyBorder="1" applyAlignment="1">
      <alignment horizontal="center" vertical="center"/>
    </xf>
    <xf numFmtId="0" fontId="1" fillId="0" borderId="26" xfId="0" applyFont="1" applyBorder="1" applyAlignment="1">
      <alignment horizontal="center" vertical="center"/>
    </xf>
    <xf numFmtId="0" fontId="1" fillId="0" borderId="42" xfId="0" applyFont="1" applyBorder="1" applyAlignment="1">
      <alignment horizontal="center" vertical="center"/>
    </xf>
    <xf numFmtId="0" fontId="4" fillId="0" borderId="42" xfId="0" quotePrefix="1" applyFont="1" applyBorder="1" applyAlignment="1">
      <alignment horizontal="center" vertical="center" wrapText="1"/>
    </xf>
    <xf numFmtId="49" fontId="1" fillId="0" borderId="42" xfId="2" applyNumberFormat="1" applyFont="1" applyBorder="1" applyAlignment="1">
      <alignment horizontal="center" vertical="center"/>
    </xf>
    <xf numFmtId="0" fontId="1" fillId="0" borderId="42" xfId="0" applyFont="1" applyBorder="1" applyAlignment="1">
      <alignment horizontal="center" vertical="center" shrinkToFit="1"/>
    </xf>
    <xf numFmtId="164" fontId="4" fillId="0" borderId="43" xfId="0" applyNumberFormat="1" applyFont="1" applyBorder="1" applyAlignment="1">
      <alignment horizontal="center" vertical="center"/>
    </xf>
    <xf numFmtId="1" fontId="1" fillId="0" borderId="43" xfId="0" applyNumberFormat="1" applyFont="1" applyFill="1" applyBorder="1" applyAlignment="1">
      <alignment horizontal="center" vertical="center"/>
    </xf>
    <xf numFmtId="164" fontId="1" fillId="9" borderId="42" xfId="0" applyNumberFormat="1" applyFont="1" applyFill="1" applyBorder="1" applyAlignment="1">
      <alignment horizontal="center" vertical="center"/>
    </xf>
    <xf numFmtId="0" fontId="54" fillId="0" borderId="32" xfId="0" applyFont="1" applyFill="1" applyBorder="1" applyAlignment="1">
      <alignment horizontal="center" vertical="center" shrinkToFit="1"/>
    </xf>
    <xf numFmtId="0" fontId="1" fillId="9" borderId="107" xfId="0" applyFont="1" applyFill="1" applyBorder="1" applyAlignment="1">
      <alignment horizontal="center" vertical="center"/>
    </xf>
    <xf numFmtId="49" fontId="1" fillId="9" borderId="107" xfId="2" applyNumberFormat="1" applyFont="1" applyFill="1" applyBorder="1" applyAlignment="1">
      <alignment horizontal="center" vertical="center"/>
    </xf>
    <xf numFmtId="0" fontId="1" fillId="9" borderId="107" xfId="0" applyFont="1" applyFill="1" applyBorder="1" applyAlignment="1">
      <alignment horizontal="center" vertical="center" shrinkToFit="1"/>
    </xf>
    <xf numFmtId="0" fontId="1" fillId="9" borderId="116" xfId="0" quotePrefix="1" applyFont="1" applyFill="1" applyBorder="1" applyAlignment="1">
      <alignment horizontal="center" vertical="center"/>
    </xf>
    <xf numFmtId="0" fontId="55" fillId="2" borderId="52" xfId="0" applyFont="1" applyFill="1" applyBorder="1" applyAlignment="1">
      <alignment horizontal="right"/>
    </xf>
    <xf numFmtId="0" fontId="55" fillId="2" borderId="53" xfId="0" applyFont="1" applyFill="1" applyBorder="1" applyAlignment="1">
      <alignment horizontal="left"/>
    </xf>
    <xf numFmtId="49" fontId="15" fillId="0" borderId="0" xfId="0" applyNumberFormat="1" applyFont="1" applyBorder="1" applyAlignment="1"/>
    <xf numFmtId="49" fontId="16" fillId="0" borderId="30" xfId="0" applyNumberFormat="1" applyFont="1" applyBorder="1" applyAlignment="1">
      <alignment horizontal="center" shrinkToFit="1"/>
    </xf>
    <xf numFmtId="0" fontId="5" fillId="4" borderId="13" xfId="0" applyFont="1" applyFill="1" applyBorder="1" applyAlignment="1">
      <alignment horizontal="right"/>
    </xf>
    <xf numFmtId="0" fontId="5" fillId="4" borderId="117" xfId="0" applyFont="1" applyFill="1" applyBorder="1" applyAlignment="1">
      <alignment horizontal="right"/>
    </xf>
    <xf numFmtId="49" fontId="6" fillId="0" borderId="26" xfId="0" applyNumberFormat="1" applyFont="1" applyFill="1" applyBorder="1" applyAlignment="1">
      <alignment horizontal="center"/>
    </xf>
    <xf numFmtId="1" fontId="6" fillId="0" borderId="61" xfId="0" applyNumberFormat="1" applyFont="1" applyFill="1" applyBorder="1" applyAlignment="1">
      <alignment horizontal="center"/>
    </xf>
    <xf numFmtId="1" fontId="6" fillId="0" borderId="25" xfId="0" applyNumberFormat="1" applyFont="1" applyFill="1" applyBorder="1" applyAlignment="1">
      <alignment horizontal="centerContinuous"/>
    </xf>
    <xf numFmtId="1" fontId="1" fillId="0" borderId="120" xfId="0" applyNumberFormat="1" applyFont="1" applyFill="1" applyBorder="1" applyAlignment="1">
      <alignment horizontal="centerContinuous"/>
    </xf>
    <xf numFmtId="0" fontId="1" fillId="0" borderId="15" xfId="0" applyFont="1" applyFill="1" applyBorder="1" applyAlignment="1">
      <alignment horizontal="center" vertical="center"/>
    </xf>
    <xf numFmtId="0" fontId="1" fillId="0" borderId="31" xfId="0" applyFont="1" applyFill="1" applyBorder="1" applyAlignment="1">
      <alignment horizontal="center" vertical="center"/>
    </xf>
    <xf numFmtId="49" fontId="56" fillId="12" borderId="27" xfId="0" applyNumberFormat="1" applyFont="1" applyFill="1" applyBorder="1" applyAlignment="1">
      <alignment horizontal="center"/>
    </xf>
    <xf numFmtId="164" fontId="1" fillId="9" borderId="24" xfId="0" applyNumberFormat="1" applyFont="1" applyFill="1" applyBorder="1" applyAlignment="1">
      <alignment horizontal="center" vertical="center"/>
    </xf>
    <xf numFmtId="1" fontId="1" fillId="9" borderId="104" xfId="0" applyNumberFormat="1" applyFont="1" applyFill="1" applyBorder="1" applyAlignment="1">
      <alignment horizontal="center" vertical="center"/>
    </xf>
    <xf numFmtId="1" fontId="1" fillId="9" borderId="50" xfId="0" applyNumberFormat="1" applyFont="1" applyFill="1" applyBorder="1" applyAlignment="1">
      <alignment horizontal="center" vertical="center"/>
    </xf>
    <xf numFmtId="1" fontId="1" fillId="9" borderId="49" xfId="0" applyNumberFormat="1" applyFont="1" applyFill="1" applyBorder="1" applyAlignment="1">
      <alignment horizontal="center" vertical="center"/>
    </xf>
    <xf numFmtId="164" fontId="1" fillId="9" borderId="109" xfId="0" applyNumberFormat="1" applyFont="1" applyFill="1" applyBorder="1" applyAlignment="1">
      <alignment horizontal="center" vertical="center"/>
    </xf>
    <xf numFmtId="0" fontId="1" fillId="0" borderId="13" xfId="0" applyFont="1" applyBorder="1" applyAlignment="1">
      <alignment horizontal="center" vertical="center"/>
    </xf>
    <xf numFmtId="49" fontId="1" fillId="0" borderId="24" xfId="0" applyNumberFormat="1" applyFont="1" applyBorder="1" applyAlignment="1">
      <alignment horizontal="center" vertical="center"/>
    </xf>
    <xf numFmtId="0" fontId="38" fillId="0" borderId="32" xfId="0" applyFont="1" applyFill="1" applyBorder="1" applyAlignment="1">
      <alignment horizontal="centerContinuous"/>
    </xf>
    <xf numFmtId="0" fontId="2" fillId="0" borderId="0" xfId="0" applyFont="1" applyBorder="1" applyAlignment="1">
      <alignment vertical="center"/>
    </xf>
    <xf numFmtId="0" fontId="43" fillId="4" borderId="83" xfId="0" applyFont="1" applyFill="1" applyBorder="1" applyAlignment="1">
      <alignment horizontal="right" vertical="center"/>
    </xf>
    <xf numFmtId="49" fontId="6" fillId="0" borderId="12" xfId="0" applyNumberFormat="1" applyFont="1" applyFill="1" applyBorder="1" applyAlignment="1">
      <alignment horizontal="center" vertical="center"/>
    </xf>
    <xf numFmtId="0" fontId="1" fillId="0" borderId="80" xfId="0" applyFont="1" applyBorder="1" applyAlignment="1">
      <alignment horizontal="center" vertical="center" shrinkToFit="1"/>
    </xf>
    <xf numFmtId="0" fontId="1" fillId="0" borderId="81" xfId="0" applyFont="1" applyBorder="1" applyAlignment="1">
      <alignment horizontal="center" vertical="center" shrinkToFit="1"/>
    </xf>
    <xf numFmtId="164" fontId="1" fillId="0" borderId="81" xfId="0" applyNumberFormat="1" applyFont="1" applyBorder="1" applyAlignment="1">
      <alignment horizontal="center" vertical="center" shrinkToFit="1"/>
    </xf>
    <xf numFmtId="0" fontId="1" fillId="0" borderId="81" xfId="0" applyFont="1" applyBorder="1" applyAlignment="1">
      <alignment horizontal="left" vertical="center"/>
    </xf>
    <xf numFmtId="0" fontId="1" fillId="0" borderId="82" xfId="0" applyFont="1" applyBorder="1" applyAlignment="1">
      <alignment horizontal="left" vertical="center" shrinkToFit="1"/>
    </xf>
    <xf numFmtId="0" fontId="1" fillId="0" borderId="0" xfId="0" applyFont="1" applyBorder="1" applyAlignment="1">
      <alignment horizontal="center" vertical="center"/>
    </xf>
    <xf numFmtId="49" fontId="6" fillId="0" borderId="25" xfId="0" applyNumberFormat="1" applyFont="1" applyFill="1" applyBorder="1" applyAlignment="1">
      <alignment horizontal="center" wrapText="1"/>
    </xf>
    <xf numFmtId="49" fontId="6" fillId="6" borderId="25" xfId="0" applyNumberFormat="1" applyFont="1" applyFill="1" applyBorder="1" applyAlignment="1">
      <alignment horizontal="center" wrapText="1"/>
    </xf>
    <xf numFmtId="49" fontId="6" fillId="9" borderId="25" xfId="0" applyNumberFormat="1" applyFont="1" applyFill="1" applyBorder="1" applyAlignment="1">
      <alignment horizontal="center" wrapText="1"/>
    </xf>
    <xf numFmtId="0" fontId="6" fillId="6" borderId="25" xfId="0" applyNumberFormat="1" applyFont="1" applyFill="1" applyBorder="1" applyAlignment="1">
      <alignment horizontal="center" wrapText="1"/>
    </xf>
    <xf numFmtId="1" fontId="6" fillId="6" borderId="25" xfId="0" applyNumberFormat="1" applyFont="1" applyFill="1" applyBorder="1" applyAlignment="1">
      <alignment horizontal="center" wrapText="1"/>
    </xf>
    <xf numFmtId="0" fontId="6" fillId="0" borderId="0" xfId="0" applyFont="1" applyFill="1" applyBorder="1" applyAlignment="1">
      <alignment horizontal="center"/>
    </xf>
    <xf numFmtId="0" fontId="58" fillId="0" borderId="0" xfId="0" applyFont="1" applyFill="1" applyBorder="1" applyAlignment="1">
      <alignment horizontal="right"/>
    </xf>
    <xf numFmtId="0" fontId="58" fillId="0" borderId="123" xfId="0" applyFont="1" applyFill="1" applyBorder="1" applyAlignment="1">
      <alignment horizontal="center"/>
    </xf>
    <xf numFmtId="0" fontId="6" fillId="0" borderId="92" xfId="0" applyFont="1" applyFill="1" applyBorder="1" applyAlignment="1">
      <alignment horizontal="center"/>
    </xf>
    <xf numFmtId="0" fontId="6" fillId="0" borderId="124" xfId="0" applyFont="1" applyFill="1" applyBorder="1" applyAlignment="1">
      <alignment horizontal="center"/>
    </xf>
    <xf numFmtId="0" fontId="6" fillId="0" borderId="125" xfId="0" applyFont="1" applyFill="1" applyBorder="1" applyAlignment="1">
      <alignment horizontal="center"/>
    </xf>
    <xf numFmtId="0" fontId="6" fillId="0" borderId="127" xfId="0" applyFont="1" applyFill="1" applyBorder="1" applyAlignment="1">
      <alignment horizontal="center"/>
    </xf>
    <xf numFmtId="0" fontId="6" fillId="0" borderId="128" xfId="0" applyFont="1" applyFill="1" applyBorder="1" applyAlignment="1">
      <alignment horizontal="center"/>
    </xf>
    <xf numFmtId="0" fontId="6" fillId="0" borderId="13" xfId="0" applyFont="1" applyFill="1" applyBorder="1" applyAlignment="1">
      <alignment horizontal="center"/>
    </xf>
    <xf numFmtId="0" fontId="6" fillId="0" borderId="15" xfId="0" applyFont="1" applyFill="1" applyBorder="1" applyAlignment="1">
      <alignment horizontal="center"/>
    </xf>
    <xf numFmtId="0" fontId="1" fillId="0" borderId="130" xfId="0" applyFont="1" applyFill="1" applyBorder="1" applyAlignment="1">
      <alignment horizontal="centerContinuous" vertical="center" shrinkToFit="1"/>
    </xf>
    <xf numFmtId="0" fontId="20" fillId="0" borderId="131" xfId="0" applyFont="1" applyFill="1" applyBorder="1" applyAlignment="1">
      <alignment horizontal="centerContinuous" vertical="center"/>
    </xf>
    <xf numFmtId="0" fontId="1" fillId="0" borderId="109" xfId="0" applyFont="1" applyFill="1" applyBorder="1" applyAlignment="1">
      <alignment horizontal="center" vertical="center"/>
    </xf>
    <xf numFmtId="0" fontId="1" fillId="0" borderId="132" xfId="0" applyFont="1" applyFill="1" applyBorder="1" applyAlignment="1">
      <alignment horizontal="centerContinuous" vertical="center" shrinkToFit="1"/>
    </xf>
    <xf numFmtId="0" fontId="1" fillId="0" borderId="79" xfId="0" applyFont="1" applyFill="1" applyBorder="1" applyAlignment="1">
      <alignment horizontal="centerContinuous" vertical="center" shrinkToFit="1"/>
    </xf>
    <xf numFmtId="0" fontId="6" fillId="9" borderId="13" xfId="0" applyFont="1" applyFill="1" applyBorder="1" applyAlignment="1">
      <alignment horizontal="center"/>
    </xf>
    <xf numFmtId="0" fontId="6" fillId="9" borderId="127" xfId="0" applyFont="1" applyFill="1" applyBorder="1" applyAlignment="1">
      <alignment horizontal="center"/>
    </xf>
    <xf numFmtId="0" fontId="58" fillId="9" borderId="123" xfId="0" applyFont="1" applyFill="1" applyBorder="1" applyAlignment="1">
      <alignment horizontal="center"/>
    </xf>
    <xf numFmtId="0" fontId="6" fillId="9" borderId="92" xfId="0" applyFont="1" applyFill="1" applyBorder="1" applyAlignment="1">
      <alignment horizontal="center"/>
    </xf>
    <xf numFmtId="0" fontId="52" fillId="0" borderId="19" xfId="0" applyFont="1" applyFill="1" applyBorder="1" applyAlignment="1">
      <alignment horizontal="centerContinuous" vertical="center" wrapText="1"/>
    </xf>
    <xf numFmtId="0" fontId="52" fillId="0" borderId="45" xfId="0" applyFont="1" applyFill="1" applyBorder="1" applyAlignment="1">
      <alignment horizontal="centerContinuous" vertical="center" wrapText="1"/>
    </xf>
    <xf numFmtId="0" fontId="6" fillId="0" borderId="64" xfId="0" applyFont="1" applyFill="1" applyBorder="1" applyAlignment="1">
      <alignment horizontal="centerContinuous"/>
    </xf>
    <xf numFmtId="0" fontId="6" fillId="0" borderId="77" xfId="0" applyFont="1" applyFill="1" applyBorder="1" applyAlignment="1">
      <alignment horizontal="centerContinuous"/>
    </xf>
    <xf numFmtId="0" fontId="6" fillId="0" borderId="8" xfId="0" applyFont="1" applyFill="1" applyBorder="1" applyAlignment="1">
      <alignment horizontal="centerContinuous"/>
    </xf>
    <xf numFmtId="0" fontId="6" fillId="0" borderId="10" xfId="0" applyFont="1" applyFill="1" applyBorder="1" applyAlignment="1">
      <alignment horizontal="centerContinuous"/>
    </xf>
    <xf numFmtId="0" fontId="6" fillId="0" borderId="133" xfId="0" applyFont="1" applyFill="1" applyBorder="1" applyAlignment="1">
      <alignment horizontal="centerContinuous"/>
    </xf>
    <xf numFmtId="0" fontId="6" fillId="0" borderId="134" xfId="0" applyFont="1" applyFill="1" applyBorder="1" applyAlignment="1">
      <alignment horizontal="centerContinuous"/>
    </xf>
    <xf numFmtId="0" fontId="6" fillId="0" borderId="100" xfId="0" applyFont="1" applyFill="1" applyBorder="1" applyAlignment="1">
      <alignment horizontal="centerContinuous"/>
    </xf>
    <xf numFmtId="0" fontId="6" fillId="0" borderId="102" xfId="0" applyFont="1" applyFill="1" applyBorder="1" applyAlignment="1">
      <alignment horizontal="centerContinuous"/>
    </xf>
    <xf numFmtId="0" fontId="6" fillId="0" borderId="103" xfId="0" applyFont="1" applyFill="1" applyBorder="1" applyAlignment="1">
      <alignment horizontal="centerContinuous"/>
    </xf>
    <xf numFmtId="0" fontId="6" fillId="0" borderId="79" xfId="0" applyFont="1" applyFill="1" applyBorder="1" applyAlignment="1">
      <alignment horizontal="centerContinuous"/>
    </xf>
    <xf numFmtId="0" fontId="60" fillId="0" borderId="19" xfId="0" applyFont="1" applyFill="1" applyBorder="1" applyAlignment="1">
      <alignment horizontal="centerContinuous" vertical="center" wrapText="1"/>
    </xf>
    <xf numFmtId="0" fontId="60" fillId="0" borderId="45" xfId="0" applyFont="1" applyFill="1" applyBorder="1" applyAlignment="1">
      <alignment horizontal="centerContinuous" vertical="center" wrapText="1"/>
    </xf>
    <xf numFmtId="0" fontId="58" fillId="9" borderId="92" xfId="0" applyFont="1" applyFill="1" applyBorder="1" applyAlignment="1">
      <alignment horizontal="center"/>
    </xf>
    <xf numFmtId="0" fontId="58" fillId="0" borderId="92" xfId="0" applyFont="1" applyFill="1" applyBorder="1" applyAlignment="1">
      <alignment horizontal="center"/>
    </xf>
    <xf numFmtId="0" fontId="61" fillId="0" borderId="129" xfId="0" applyFont="1" applyFill="1" applyBorder="1" applyAlignment="1">
      <alignment horizontal="center" vertical="center"/>
    </xf>
    <xf numFmtId="0" fontId="61" fillId="0" borderId="126" xfId="0" applyFont="1" applyFill="1" applyBorder="1" applyAlignment="1">
      <alignment horizontal="center" vertical="center"/>
    </xf>
    <xf numFmtId="0" fontId="61" fillId="0" borderId="121" xfId="0" applyFont="1" applyFill="1" applyBorder="1" applyAlignment="1">
      <alignment horizontal="center" vertical="center"/>
    </xf>
    <xf numFmtId="0" fontId="61" fillId="0" borderId="122" xfId="0" applyFont="1" applyFill="1" applyBorder="1" applyAlignment="1">
      <alignment horizontal="center" vertical="center" wrapText="1"/>
    </xf>
    <xf numFmtId="0" fontId="1" fillId="11" borderId="107" xfId="0" quotePrefix="1" applyFont="1" applyFill="1" applyBorder="1" applyAlignment="1">
      <alignment horizontal="center" vertical="center" wrapText="1"/>
    </xf>
    <xf numFmtId="1" fontId="1" fillId="9" borderId="107" xfId="0" applyNumberFormat="1" applyFont="1" applyFill="1" applyBorder="1" applyAlignment="1">
      <alignment horizontal="center" vertical="center"/>
    </xf>
    <xf numFmtId="0" fontId="6" fillId="13" borderId="25" xfId="0" applyNumberFormat="1" applyFont="1" applyFill="1" applyBorder="1" applyAlignment="1">
      <alignment horizontal="center"/>
    </xf>
    <xf numFmtId="0" fontId="8" fillId="0" borderId="3" xfId="0" quotePrefix="1" applyFont="1" applyFill="1" applyBorder="1" applyAlignment="1">
      <alignment horizontal="center"/>
    </xf>
    <xf numFmtId="0" fontId="8" fillId="0" borderId="3" xfId="0" applyFont="1" applyFill="1" applyBorder="1" applyAlignment="1">
      <alignment horizontal="center"/>
    </xf>
    <xf numFmtId="0" fontId="6" fillId="0" borderId="23" xfId="0" quotePrefix="1" applyFont="1" applyFill="1" applyBorder="1" applyAlignment="1">
      <alignment horizontal="center"/>
    </xf>
    <xf numFmtId="0" fontId="1" fillId="0" borderId="136" xfId="0" applyFont="1" applyFill="1" applyBorder="1" applyAlignment="1">
      <alignment horizontal="center" vertical="center"/>
    </xf>
    <xf numFmtId="0" fontId="1" fillId="9" borderId="58" xfId="0" applyFont="1" applyFill="1" applyBorder="1" applyAlignment="1">
      <alignment horizontal="center" vertical="center"/>
    </xf>
    <xf numFmtId="49" fontId="1" fillId="9" borderId="58" xfId="2" applyNumberFormat="1" applyFont="1" applyFill="1" applyBorder="1" applyAlignment="1">
      <alignment horizontal="center" vertical="center"/>
    </xf>
    <xf numFmtId="0" fontId="1" fillId="9" borderId="58" xfId="0" applyFont="1" applyFill="1" applyBorder="1" applyAlignment="1">
      <alignment horizontal="center" vertical="center" shrinkToFit="1"/>
    </xf>
    <xf numFmtId="164" fontId="1" fillId="9" borderId="58" xfId="0" applyNumberFormat="1" applyFont="1" applyFill="1" applyBorder="1" applyAlignment="1">
      <alignment horizontal="center" vertical="center"/>
    </xf>
    <xf numFmtId="164" fontId="1" fillId="9" borderId="14" xfId="0" applyNumberFormat="1" applyFont="1" applyFill="1" applyBorder="1" applyAlignment="1">
      <alignment horizontal="center" vertical="center"/>
    </xf>
    <xf numFmtId="1" fontId="1" fillId="9" borderId="14" xfId="0" applyNumberFormat="1" applyFont="1" applyFill="1" applyBorder="1" applyAlignment="1">
      <alignment horizontal="center" vertical="center"/>
    </xf>
    <xf numFmtId="0" fontId="1" fillId="9" borderId="30" xfId="0" quotePrefix="1" applyFont="1" applyFill="1" applyBorder="1" applyAlignment="1">
      <alignment horizontal="center" vertical="center"/>
    </xf>
    <xf numFmtId="1" fontId="1" fillId="0" borderId="135" xfId="0" applyNumberFormat="1" applyFont="1" applyFill="1" applyBorder="1" applyAlignment="1">
      <alignment horizontal="center" vertical="center"/>
    </xf>
    <xf numFmtId="0" fontId="1" fillId="0" borderId="136" xfId="0" applyFont="1" applyBorder="1" applyAlignment="1">
      <alignment horizontal="center" vertical="center"/>
    </xf>
    <xf numFmtId="0" fontId="1" fillId="0" borderId="58" xfId="0" applyFont="1" applyBorder="1" applyAlignment="1">
      <alignment horizontal="center" vertical="center"/>
    </xf>
    <xf numFmtId="49" fontId="1" fillId="0" borderId="58" xfId="0" applyNumberFormat="1" applyFont="1" applyBorder="1" applyAlignment="1">
      <alignment horizontal="center" vertical="center"/>
    </xf>
    <xf numFmtId="1" fontId="48" fillId="8" borderId="14" xfId="0" applyNumberFormat="1" applyFont="1" applyFill="1" applyBorder="1" applyAlignment="1">
      <alignment horizontal="center" vertical="center"/>
    </xf>
    <xf numFmtId="1" fontId="1" fillId="0" borderId="14" xfId="0" applyNumberFormat="1" applyFont="1" applyBorder="1" applyAlignment="1">
      <alignment horizontal="center" vertical="center"/>
    </xf>
    <xf numFmtId="1" fontId="1" fillId="0" borderId="49"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0" fontId="1" fillId="0" borderId="30" xfId="0" quotePrefix="1" applyFont="1" applyBorder="1" applyAlignment="1">
      <alignment horizontal="center" vertical="center"/>
    </xf>
    <xf numFmtId="1" fontId="1" fillId="9" borderId="135" xfId="0" applyNumberFormat="1" applyFont="1" applyFill="1" applyBorder="1" applyAlignment="1">
      <alignment horizontal="center" vertical="center"/>
    </xf>
    <xf numFmtId="164" fontId="1" fillId="0" borderId="24" xfId="0" applyNumberFormat="1" applyFont="1" applyBorder="1" applyAlignment="1">
      <alignment horizontal="center" vertical="center"/>
    </xf>
    <xf numFmtId="164" fontId="1" fillId="0" borderId="25" xfId="0"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1" fillId="0" borderId="133" xfId="0" applyFont="1" applyFill="1" applyBorder="1" applyAlignment="1">
      <alignment horizontal="centerContinuous" vertical="center" shrinkToFit="1"/>
    </xf>
    <xf numFmtId="0" fontId="20" fillId="0" borderId="137" xfId="0" applyFont="1" applyFill="1" applyBorder="1" applyAlignment="1">
      <alignment horizontal="centerContinuous" vertical="center"/>
    </xf>
    <xf numFmtId="0" fontId="1" fillId="0" borderId="134" xfId="0" applyFont="1" applyFill="1" applyBorder="1" applyAlignment="1">
      <alignment horizontal="centerContinuous" vertical="center"/>
    </xf>
    <xf numFmtId="0" fontId="12" fillId="0" borderId="8" xfId="0" applyFont="1" applyFill="1" applyBorder="1" applyAlignment="1"/>
    <xf numFmtId="0" fontId="6" fillId="0" borderId="42" xfId="0" applyNumberFormat="1" applyFont="1" applyFill="1" applyBorder="1" applyAlignment="1">
      <alignment horizontal="center"/>
    </xf>
    <xf numFmtId="49" fontId="23" fillId="0" borderId="42" xfId="0" applyNumberFormat="1" applyFont="1" applyFill="1" applyBorder="1" applyAlignment="1">
      <alignment horizontal="center"/>
    </xf>
    <xf numFmtId="0" fontId="23" fillId="0" borderId="43" xfId="0" applyNumberFormat="1" applyFont="1" applyFill="1" applyBorder="1" applyAlignment="1">
      <alignment horizontal="center"/>
    </xf>
    <xf numFmtId="0" fontId="12" fillId="0" borderId="43" xfId="0" applyNumberFormat="1" applyFont="1" applyFill="1" applyBorder="1" applyAlignment="1">
      <alignment horizontal="center"/>
    </xf>
    <xf numFmtId="49" fontId="6" fillId="0" borderId="43" xfId="0" applyNumberFormat="1" applyFont="1" applyFill="1" applyBorder="1" applyAlignment="1">
      <alignment horizontal="center" wrapText="1"/>
    </xf>
    <xf numFmtId="49" fontId="6" fillId="0" borderId="43" xfId="0" applyNumberFormat="1" applyFont="1" applyFill="1" applyBorder="1" applyAlignment="1">
      <alignment horizontal="center"/>
    </xf>
    <xf numFmtId="0" fontId="6" fillId="0" borderId="31" xfId="0" applyNumberFormat="1" applyFont="1" applyFill="1" applyBorder="1" applyAlignment="1">
      <alignment horizontal="center"/>
    </xf>
    <xf numFmtId="1" fontId="6" fillId="0" borderId="118" xfId="0" applyNumberFormat="1" applyFont="1" applyFill="1" applyBorder="1" applyAlignment="1">
      <alignment horizontal="centerContinuous"/>
    </xf>
    <xf numFmtId="1" fontId="1" fillId="0" borderId="119" xfId="0" applyNumberFormat="1" applyFont="1" applyFill="1" applyBorder="1" applyAlignment="1">
      <alignment horizontal="centerContinuous"/>
    </xf>
    <xf numFmtId="49" fontId="6" fillId="0" borderId="27" xfId="0" applyNumberFormat="1" applyFont="1" applyFill="1" applyBorder="1" applyAlignment="1">
      <alignment horizontal="center"/>
    </xf>
    <xf numFmtId="0" fontId="6" fillId="0" borderId="26" xfId="0" quotePrefix="1" applyNumberFormat="1" applyFont="1" applyFill="1" applyBorder="1" applyAlignment="1">
      <alignment horizontal="center"/>
    </xf>
    <xf numFmtId="0" fontId="20" fillId="3" borderId="33" xfId="0" applyFont="1" applyFill="1" applyBorder="1" applyAlignment="1">
      <alignment horizontal="center" vertical="center"/>
    </xf>
    <xf numFmtId="0" fontId="20" fillId="3" borderId="35" xfId="0" applyFont="1" applyFill="1" applyBorder="1" applyAlignment="1">
      <alignment vertical="center"/>
    </xf>
    <xf numFmtId="0" fontId="1" fillId="0" borderId="36" xfId="0" applyFont="1" applyBorder="1" applyAlignment="1">
      <alignment horizontal="center" vertical="center"/>
    </xf>
    <xf numFmtId="0" fontId="1" fillId="0" borderId="37" xfId="0" applyFont="1" applyBorder="1" applyAlignment="1">
      <alignment horizontal="left" vertical="center" shrinkToFit="1"/>
    </xf>
    <xf numFmtId="0" fontId="4" fillId="0" borderId="36" xfId="0" applyFont="1" applyBorder="1" applyAlignment="1">
      <alignment horizontal="center"/>
    </xf>
    <xf numFmtId="0" fontId="1" fillId="0" borderId="36" xfId="0" quotePrefix="1" applyFont="1" applyBorder="1" applyAlignment="1">
      <alignment horizontal="center"/>
    </xf>
    <xf numFmtId="0" fontId="1" fillId="0" borderId="36" xfId="0" applyFont="1" applyBorder="1" applyAlignment="1">
      <alignment horizontal="center"/>
    </xf>
    <xf numFmtId="0" fontId="4" fillId="0" borderId="38" xfId="0" applyFont="1" applyBorder="1" applyAlignment="1">
      <alignment horizontal="center"/>
    </xf>
    <xf numFmtId="37" fontId="6" fillId="0" borderId="139" xfId="9" applyNumberFormat="1" applyFont="1" applyFill="1" applyBorder="1" applyAlignment="1">
      <alignment horizontal="centerContinuous" vertical="center"/>
    </xf>
    <xf numFmtId="0" fontId="6" fillId="0" borderId="138" xfId="0" applyFont="1" applyFill="1" applyBorder="1" applyAlignment="1">
      <alignment horizontal="centerContinuous" vertical="center"/>
    </xf>
    <xf numFmtId="0" fontId="6" fillId="0" borderId="25" xfId="2" applyNumberFormat="1" applyFont="1" applyBorder="1" applyAlignment="1">
      <alignment horizontal="center" vertical="center" shrinkToFit="1"/>
    </xf>
    <xf numFmtId="9" fontId="6" fillId="0" borderId="25" xfId="2" applyFont="1" applyBorder="1" applyAlignment="1">
      <alignment horizontal="center" vertical="center" shrinkToFit="1"/>
    </xf>
    <xf numFmtId="0" fontId="40" fillId="0" borderId="44" xfId="0" applyFont="1" applyFill="1" applyBorder="1" applyAlignment="1">
      <alignment horizontal="center" shrinkToFit="1"/>
    </xf>
    <xf numFmtId="0" fontId="38" fillId="0" borderId="105" xfId="0" applyFont="1" applyFill="1" applyBorder="1" applyAlignment="1">
      <alignment horizontal="centerContinuous"/>
    </xf>
    <xf numFmtId="0" fontId="65" fillId="0" borderId="22" xfId="0" applyFont="1" applyBorder="1" applyAlignment="1">
      <alignment horizontal="centerContinuous" wrapText="1"/>
    </xf>
    <xf numFmtId="0" fontId="15" fillId="0" borderId="0" xfId="0" applyFont="1" applyBorder="1" applyAlignment="1">
      <alignment horizontal="centerContinuous" wrapText="1"/>
    </xf>
    <xf numFmtId="0" fontId="1" fillId="0" borderId="0" xfId="0" applyFont="1" applyBorder="1" applyAlignment="1">
      <alignment wrapText="1"/>
    </xf>
    <xf numFmtId="0" fontId="3" fillId="0" borderId="0" xfId="0" applyFont="1" applyBorder="1" applyAlignment="1">
      <alignment wrapText="1"/>
    </xf>
    <xf numFmtId="0" fontId="64" fillId="0" borderId="1" xfId="0" applyFont="1" applyBorder="1" applyAlignment="1">
      <alignment horizontal="center" vertical="center" shrinkToFit="1"/>
    </xf>
    <xf numFmtId="0" fontId="6" fillId="0" borderId="24" xfId="0" applyFont="1" applyBorder="1" applyAlignment="1">
      <alignment horizontal="center" vertical="center" wrapText="1"/>
    </xf>
    <xf numFmtId="0" fontId="6" fillId="0" borderId="24" xfId="0" applyNumberFormat="1" applyFont="1" applyBorder="1" applyAlignment="1">
      <alignment horizontal="center" vertical="center" shrinkToFit="1"/>
    </xf>
    <xf numFmtId="49" fontId="6" fillId="0" borderId="26" xfId="0" applyNumberFormat="1" applyFont="1" applyBorder="1" applyAlignment="1">
      <alignment horizontal="center" vertical="center" wrapText="1"/>
    </xf>
    <xf numFmtId="0" fontId="63" fillId="0" borderId="0" xfId="0" applyFont="1" applyFill="1" applyBorder="1" applyAlignment="1">
      <alignment wrapText="1"/>
    </xf>
    <xf numFmtId="0" fontId="6" fillId="0" borderId="0" xfId="0" applyFont="1" applyFill="1" applyBorder="1" applyAlignment="1">
      <alignment horizontal="center" wrapText="1"/>
    </xf>
    <xf numFmtId="9" fontId="6" fillId="0" borderId="0" xfId="2" applyFont="1" applyFill="1" applyBorder="1" applyAlignment="1">
      <alignment horizontal="center" wrapText="1"/>
    </xf>
    <xf numFmtId="0" fontId="6" fillId="0" borderId="0" xfId="0" applyNumberFormat="1" applyFont="1" applyFill="1" applyBorder="1" applyAlignment="1">
      <alignment wrapText="1"/>
    </xf>
    <xf numFmtId="0" fontId="3" fillId="0" borderId="0" xfId="0" applyFont="1" applyBorder="1" applyAlignment="1">
      <alignment horizontal="right" wrapText="1"/>
    </xf>
    <xf numFmtId="0" fontId="1" fillId="0" borderId="0" xfId="0" applyFont="1" applyBorder="1" applyAlignment="1">
      <alignment horizontal="left" wrapText="1"/>
    </xf>
    <xf numFmtId="0" fontId="66" fillId="0" borderId="0" xfId="0" applyFont="1" applyBorder="1" applyAlignment="1">
      <alignment horizontal="center" vertical="center"/>
    </xf>
    <xf numFmtId="0" fontId="64" fillId="0" borderId="8" xfId="0" applyFont="1" applyFill="1" applyBorder="1" applyAlignment="1">
      <alignment horizontal="center" vertical="center" shrinkToFit="1"/>
    </xf>
    <xf numFmtId="0" fontId="6" fillId="0" borderId="42" xfId="0" applyFont="1" applyFill="1" applyBorder="1" applyAlignment="1">
      <alignment horizontal="center" vertical="center" wrapText="1"/>
    </xf>
    <xf numFmtId="0" fontId="6" fillId="0" borderId="42" xfId="2" applyNumberFormat="1" applyFont="1" applyFill="1" applyBorder="1" applyAlignment="1">
      <alignment horizontal="center" vertical="center" shrinkToFit="1"/>
    </xf>
    <xf numFmtId="9" fontId="6" fillId="0" borderId="43" xfId="2" applyFont="1" applyFill="1" applyBorder="1" applyAlignment="1">
      <alignment horizontal="center" vertical="center" shrinkToFit="1"/>
    </xf>
    <xf numFmtId="0" fontId="6" fillId="0" borderId="43" xfId="2" applyNumberFormat="1" applyFont="1" applyFill="1" applyBorder="1" applyAlignment="1">
      <alignment horizontal="center" vertical="center" shrinkToFit="1"/>
    </xf>
    <xf numFmtId="0" fontId="6" fillId="0" borderId="31" xfId="0" quotePrefix="1" applyNumberFormat="1" applyFont="1" applyFill="1" applyBorder="1" applyAlignment="1">
      <alignment horizontal="center" vertical="center" wrapText="1"/>
    </xf>
    <xf numFmtId="0" fontId="1" fillId="0" borderId="0" xfId="0" applyFont="1" applyBorder="1" applyAlignment="1">
      <alignment horizontal="right" vertical="center"/>
    </xf>
    <xf numFmtId="0" fontId="1" fillId="9" borderId="51" xfId="0" applyFont="1" applyFill="1" applyBorder="1" applyAlignment="1">
      <alignment horizontal="center" shrinkToFit="1"/>
    </xf>
    <xf numFmtId="0" fontId="1" fillId="9" borderId="84" xfId="0" applyFont="1" applyFill="1" applyBorder="1" applyAlignment="1">
      <alignment horizontal="center" shrinkToFit="1"/>
    </xf>
    <xf numFmtId="164" fontId="1" fillId="9" borderId="36" xfId="0" applyNumberFormat="1" applyFont="1" applyFill="1" applyBorder="1" applyAlignment="1">
      <alignment horizontal="center" shrinkToFit="1"/>
    </xf>
    <xf numFmtId="0" fontId="1" fillId="9" borderId="36" xfId="0" applyFont="1" applyFill="1" applyBorder="1" applyAlignment="1">
      <alignment horizontal="left"/>
    </xf>
    <xf numFmtId="0" fontId="4" fillId="9" borderId="37" xfId="0" applyFont="1" applyFill="1" applyBorder="1" applyAlignment="1">
      <alignment horizontal="left" shrinkToFit="1"/>
    </xf>
    <xf numFmtId="0" fontId="4" fillId="9" borderId="0" xfId="0" applyFont="1" applyFill="1" applyBorder="1" applyAlignment="1">
      <alignment horizontal="center"/>
    </xf>
    <xf numFmtId="1" fontId="1" fillId="9" borderId="32" xfId="0" applyNumberFormat="1" applyFont="1" applyFill="1" applyBorder="1" applyAlignment="1">
      <alignment horizontal="center" vertical="center" shrinkToFit="1"/>
    </xf>
    <xf numFmtId="0" fontId="66" fillId="2" borderId="53" xfId="0" applyFont="1" applyFill="1" applyBorder="1" applyAlignment="1">
      <alignment horizontal="center"/>
    </xf>
    <xf numFmtId="0" fontId="49" fillId="0" borderId="105" xfId="0" applyFont="1" applyFill="1" applyBorder="1" applyAlignment="1">
      <alignment horizontal="center" shrinkToFit="1"/>
    </xf>
    <xf numFmtId="2" fontId="4" fillId="0" borderId="81" xfId="0" applyNumberFormat="1" applyFont="1" applyFill="1" applyBorder="1" applyAlignment="1">
      <alignment horizontal="center" shrinkToFit="1"/>
    </xf>
    <xf numFmtId="0" fontId="1" fillId="15" borderId="140" xfId="0" applyFont="1" applyFill="1" applyBorder="1" applyAlignment="1">
      <alignment horizontal="center" vertical="center"/>
    </xf>
    <xf numFmtId="0" fontId="1" fillId="15" borderId="141" xfId="0" applyFont="1" applyFill="1" applyBorder="1" applyAlignment="1">
      <alignment horizontal="center" vertical="center"/>
    </xf>
    <xf numFmtId="49" fontId="1" fillId="15" borderId="141" xfId="0" applyNumberFormat="1" applyFont="1" applyFill="1" applyBorder="1" applyAlignment="1">
      <alignment horizontal="center" vertical="center"/>
    </xf>
    <xf numFmtId="164" fontId="1" fillId="15" borderId="141" xfId="0" applyNumberFormat="1" applyFont="1" applyFill="1" applyBorder="1" applyAlignment="1">
      <alignment horizontal="center" vertical="center"/>
    </xf>
    <xf numFmtId="164" fontId="1" fillId="15" borderId="142" xfId="0" applyNumberFormat="1" applyFont="1" applyFill="1" applyBorder="1" applyAlignment="1">
      <alignment horizontal="center" vertical="center"/>
    </xf>
    <xf numFmtId="1" fontId="1" fillId="15" borderId="142" xfId="0" applyNumberFormat="1" applyFont="1" applyFill="1" applyBorder="1" applyAlignment="1">
      <alignment horizontal="center" vertical="center"/>
    </xf>
    <xf numFmtId="0" fontId="1" fillId="15" borderId="143" xfId="0" quotePrefix="1" applyFont="1" applyFill="1" applyBorder="1" applyAlignment="1">
      <alignment horizontal="center" vertical="center"/>
    </xf>
    <xf numFmtId="1" fontId="1" fillId="15" borderId="144" xfId="0" applyNumberFormat="1" applyFont="1" applyFill="1" applyBorder="1" applyAlignment="1">
      <alignment horizontal="center" vertical="center"/>
    </xf>
    <xf numFmtId="0" fontId="40" fillId="9" borderId="32" xfId="0" applyFont="1" applyFill="1" applyBorder="1" applyAlignment="1">
      <alignment horizontal="centerContinuous"/>
    </xf>
    <xf numFmtId="0" fontId="1" fillId="0" borderId="130" xfId="0" applyFont="1" applyBorder="1" applyAlignment="1">
      <alignment horizontal="center" vertical="center" shrinkToFit="1"/>
    </xf>
    <xf numFmtId="1" fontId="1" fillId="0" borderId="81" xfId="0" applyNumberFormat="1" applyFont="1" applyBorder="1" applyAlignment="1">
      <alignment horizontal="center" vertical="center" shrinkToFit="1"/>
    </xf>
    <xf numFmtId="0" fontId="1" fillId="16" borderId="145" xfId="0" applyFont="1" applyFill="1" applyBorder="1" applyAlignment="1">
      <alignment horizontal="left" vertical="center"/>
    </xf>
    <xf numFmtId="0" fontId="1" fillId="16" borderId="36" xfId="0" applyFont="1" applyFill="1" applyBorder="1" applyAlignment="1">
      <alignment horizontal="left"/>
    </xf>
    <xf numFmtId="164" fontId="1" fillId="16" borderId="67" xfId="0" applyNumberFormat="1" applyFont="1" applyFill="1" applyBorder="1" applyAlignment="1">
      <alignment horizontal="center" vertical="center"/>
    </xf>
    <xf numFmtId="0" fontId="1" fillId="16" borderId="67" xfId="0" applyFont="1" applyFill="1" applyBorder="1" applyAlignment="1">
      <alignment horizontal="center" vertical="center"/>
    </xf>
    <xf numFmtId="164" fontId="1" fillId="0" borderId="74" xfId="0" applyNumberFormat="1" applyFont="1" applyFill="1" applyBorder="1" applyAlignment="1">
      <alignment horizontal="center" vertical="center"/>
    </xf>
    <xf numFmtId="164" fontId="1" fillId="0" borderId="113" xfId="0" applyNumberFormat="1" applyFont="1" applyFill="1" applyBorder="1" applyAlignment="1">
      <alignment horizontal="center" vertical="center"/>
    </xf>
    <xf numFmtId="0" fontId="1" fillId="16" borderId="37" xfId="0" applyFont="1" applyFill="1" applyBorder="1" applyAlignment="1">
      <alignment horizontal="left" shrinkToFit="1"/>
    </xf>
    <xf numFmtId="0" fontId="64" fillId="0" borderId="1" xfId="5" applyFont="1" applyBorder="1" applyAlignment="1">
      <alignment horizontal="center" vertical="center" shrinkToFit="1"/>
    </xf>
    <xf numFmtId="0" fontId="6" fillId="0" borderId="24" xfId="5" applyFont="1" applyBorder="1" applyAlignment="1">
      <alignment horizontal="center" vertical="center" wrapText="1"/>
    </xf>
    <xf numFmtId="0" fontId="6" fillId="0" borderId="24" xfId="5" applyFont="1" applyBorder="1" applyAlignment="1">
      <alignment horizontal="center" vertical="center" shrinkToFit="1"/>
    </xf>
    <xf numFmtId="49" fontId="6" fillId="0" borderId="26" xfId="5" applyNumberFormat="1" applyFont="1" applyBorder="1" applyAlignment="1">
      <alignment horizontal="center" vertical="center" wrapText="1"/>
    </xf>
    <xf numFmtId="0" fontId="11" fillId="14" borderId="146" xfId="5" applyFont="1" applyFill="1" applyBorder="1" applyAlignment="1">
      <alignment horizontal="centerContinuous" vertical="center"/>
    </xf>
    <xf numFmtId="0" fontId="11" fillId="14" borderId="147" xfId="5" applyFont="1" applyFill="1" applyBorder="1" applyAlignment="1">
      <alignment horizontal="center" vertical="center"/>
    </xf>
    <xf numFmtId="0" fontId="20" fillId="14" borderId="147" xfId="5" applyFont="1" applyFill="1" applyBorder="1" applyAlignment="1">
      <alignment horizontal="center" vertical="center"/>
    </xf>
    <xf numFmtId="0" fontId="11" fillId="14" borderId="148" xfId="5" applyFont="1" applyFill="1" applyBorder="1" applyAlignment="1">
      <alignment horizontal="centerContinuous" vertical="center"/>
    </xf>
    <xf numFmtId="1" fontId="6" fillId="0" borderId="25" xfId="0" applyNumberFormat="1" applyFont="1" applyBorder="1" applyAlignment="1">
      <alignment horizontal="center" vertical="center"/>
    </xf>
    <xf numFmtId="0" fontId="38" fillId="16" borderId="14" xfId="0" applyFont="1" applyFill="1" applyBorder="1" applyAlignment="1">
      <alignment horizontal="center" vertical="center"/>
    </xf>
    <xf numFmtId="0" fontId="38" fillId="16" borderId="3" xfId="0" quotePrefix="1" applyFont="1" applyFill="1" applyBorder="1" applyAlignment="1">
      <alignment horizontal="center"/>
    </xf>
  </cellXfs>
  <cellStyles count="10">
    <cellStyle name="Comma" xfId="9" builtinId="3"/>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4" xfId="8" xr:uid="{00000000-0005-0000-0000-000006000000}"/>
    <cellStyle name="Percent" xfId="2" builtinId="5"/>
    <cellStyle name="Percent 2" xfId="3" xr:uid="{00000000-0005-0000-0000-000008000000}"/>
    <cellStyle name="Percent 2 2" xfId="7" xr:uid="{00000000-0005-0000-0000-000009000000}"/>
  </cellStyles>
  <dxfs count="6">
    <dxf>
      <font>
        <color rgb="FFFF0000"/>
      </font>
    </dxf>
    <dxf>
      <fill>
        <patternFill>
          <bgColor rgb="FF00FF00"/>
        </patternFill>
      </fill>
    </dxf>
    <dxf>
      <font>
        <b/>
        <i val="0"/>
        <color theme="1"/>
      </font>
      <fill>
        <patternFill>
          <bgColor rgb="FF66FF33"/>
        </patternFill>
      </fill>
    </dxf>
    <dxf>
      <font>
        <b/>
        <i val="0"/>
        <color theme="1"/>
      </font>
      <fill>
        <patternFill>
          <bgColor rgb="FF66FF33"/>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FF00"/>
      <color rgb="FFCC66FF"/>
      <color rgb="FF009900"/>
      <color rgb="FF9933FF"/>
      <color rgb="FF008000"/>
      <color rgb="FF66FF33"/>
      <color rgb="FFCCFFCC"/>
      <color rgb="FFCCFF99"/>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79927</xdr:colOff>
      <xdr:row>1</xdr:row>
      <xdr:rowOff>114300</xdr:rowOff>
    </xdr:from>
    <xdr:to>
      <xdr:col>6</xdr:col>
      <xdr:colOff>861061</xdr:colOff>
      <xdr:row>15</xdr:row>
      <xdr:rowOff>140429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339507" y="487680"/>
          <a:ext cx="1703154" cy="3051269"/>
        </a:xfrm>
        <a:prstGeom prst="rect">
          <a:avLst/>
        </a:prstGeom>
      </xdr:spPr>
    </xdr:pic>
    <xdr:clientData/>
  </xdr:twoCellAnchor>
  <xdr:twoCellAnchor>
    <xdr:from>
      <xdr:col>0</xdr:col>
      <xdr:colOff>57150</xdr:colOff>
      <xdr:row>18</xdr:row>
      <xdr:rowOff>57150</xdr:rowOff>
    </xdr:from>
    <xdr:to>
      <xdr:col>6</xdr:col>
      <xdr:colOff>1276350</xdr:colOff>
      <xdr:row>26</xdr:row>
      <xdr:rowOff>171450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52875"/>
          <a:ext cx="6962775" cy="3057525"/>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83821</xdr:colOff>
      <xdr:row>16</xdr:row>
      <xdr:rowOff>53340</xdr:rowOff>
    </xdr:from>
    <xdr:to>
      <xdr:col>6</xdr:col>
      <xdr:colOff>845821</xdr:colOff>
      <xdr:row>17</xdr:row>
      <xdr:rowOff>272414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343401" y="3451860"/>
          <a:ext cx="1684020" cy="44005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anose="02020603050405020304" pitchFamily="18" charset="0"/>
              <a:ea typeface="+mn-ea"/>
              <a:cs typeface="Times New Roman" panose="02020603050405020304" pitchFamily="18" charset="0"/>
            </a:rPr>
            <a:t>Current form</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200" b="0" i="0" baseline="0">
              <a:effectLst/>
              <a:latin typeface="Times New Roman" panose="02020603050405020304" pitchFamily="18" charset="0"/>
              <a:ea typeface="+mn-ea"/>
              <a:cs typeface="Times New Roman" panose="02020603050405020304" pitchFamily="18" charset="0"/>
            </a:rPr>
            <a:t>Human male</a:t>
          </a:r>
          <a:endParaRPr lang="en-US" sz="1200">
            <a:effectLst/>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5120640" y="0"/>
          <a:ext cx="204978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7</xdr:col>
      <xdr:colOff>15240</xdr:colOff>
      <xdr:row>0</xdr:row>
      <xdr:rowOff>0</xdr:rowOff>
    </xdr:from>
    <xdr:to>
      <xdr:col>13</xdr:col>
      <xdr:colOff>380531</xdr:colOff>
      <xdr:row>22</xdr:row>
      <xdr:rowOff>53340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738360" y="0"/>
          <a:ext cx="4342931" cy="5219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177165</xdr:colOff>
      <xdr:row>1</xdr:row>
      <xdr:rowOff>123825</xdr:rowOff>
    </xdr:from>
    <xdr:to>
      <xdr:col>2</xdr:col>
      <xdr:colOff>217170</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MadProf@aol.com?subject=Dungeons%20of%20Waterdee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showGridLines="0" tabSelected="1" zoomScaleNormal="100" workbookViewId="0"/>
  </sheetViews>
  <sheetFormatPr defaultColWidth="13" defaultRowHeight="15.6"/>
  <cols>
    <col min="1" max="1" width="15" style="19" customWidth="1"/>
    <col min="2" max="2" width="11" style="20" customWidth="1"/>
    <col min="3" max="3" width="6.296875" style="20" customWidth="1"/>
    <col min="4" max="4" width="13.69921875" style="19" bestFit="1" customWidth="1"/>
    <col min="5" max="5" width="9.8984375" style="20" bestFit="1" customWidth="1"/>
    <col min="6" max="6" width="12.09765625" style="19" customWidth="1"/>
    <col min="7" max="7" width="12.09765625" style="20" customWidth="1"/>
    <col min="8" max="16384" width="13" style="1"/>
  </cols>
  <sheetData>
    <row r="1" spans="1:7" ht="29.4" thickTop="1" thickBot="1">
      <c r="A1" s="370" t="s">
        <v>140</v>
      </c>
      <c r="B1" s="371" t="s">
        <v>141</v>
      </c>
      <c r="C1" s="133"/>
      <c r="D1" s="115"/>
      <c r="E1" s="529"/>
      <c r="F1" s="115"/>
      <c r="G1" s="229" t="s">
        <v>181</v>
      </c>
    </row>
    <row r="2" spans="1:7" ht="17.399999999999999" thickTop="1">
      <c r="A2" s="2" t="s">
        <v>266</v>
      </c>
      <c r="B2" s="30" t="s">
        <v>142</v>
      </c>
      <c r="C2" s="30"/>
      <c r="D2" s="4" t="s">
        <v>274</v>
      </c>
      <c r="E2" s="41" t="s">
        <v>315</v>
      </c>
      <c r="F2"/>
      <c r="G2" s="5"/>
    </row>
    <row r="3" spans="1:7" ht="16.8">
      <c r="A3" s="2" t="s">
        <v>267</v>
      </c>
      <c r="B3" s="30" t="s">
        <v>72</v>
      </c>
      <c r="C3" s="30"/>
      <c r="D3" s="4" t="s">
        <v>159</v>
      </c>
      <c r="E3" s="41">
        <v>10</v>
      </c>
      <c r="F3" s="4"/>
      <c r="G3" s="5"/>
    </row>
    <row r="4" spans="1:7" ht="16.8">
      <c r="A4" s="2" t="s">
        <v>267</v>
      </c>
      <c r="B4" s="30" t="s">
        <v>303</v>
      </c>
      <c r="C4" s="30"/>
      <c r="D4" s="4" t="s">
        <v>159</v>
      </c>
      <c r="E4" s="41">
        <v>2</v>
      </c>
      <c r="F4" s="4"/>
      <c r="G4" s="5"/>
    </row>
    <row r="5" spans="1:7" ht="16.8">
      <c r="A5" s="2" t="s">
        <v>267</v>
      </c>
      <c r="B5" s="30" t="s">
        <v>293</v>
      </c>
      <c r="C5" s="30"/>
      <c r="D5" s="4" t="s">
        <v>159</v>
      </c>
      <c r="E5" s="41">
        <v>5</v>
      </c>
      <c r="F5" s="4"/>
      <c r="G5" s="5"/>
    </row>
    <row r="6" spans="1:7" ht="16.8">
      <c r="A6" s="2" t="s">
        <v>268</v>
      </c>
      <c r="B6" s="30" t="s">
        <v>151</v>
      </c>
      <c r="C6" s="30"/>
      <c r="D6" s="4" t="s">
        <v>275</v>
      </c>
      <c r="E6" s="41">
        <v>27</v>
      </c>
      <c r="F6" s="4"/>
      <c r="G6" s="5"/>
    </row>
    <row r="7" spans="1:7" ht="16.8">
      <c r="A7" s="2" t="s">
        <v>269</v>
      </c>
      <c r="B7" s="30" t="s">
        <v>225</v>
      </c>
      <c r="C7" s="30"/>
      <c r="D7" s="4" t="s">
        <v>276</v>
      </c>
      <c r="E7" s="41" t="s">
        <v>180</v>
      </c>
      <c r="F7" s="4"/>
      <c r="G7" s="5"/>
    </row>
    <row r="8" spans="1:7" ht="17.399999999999999" thickBot="1">
      <c r="A8" s="2" t="s">
        <v>270</v>
      </c>
      <c r="B8" s="30" t="s">
        <v>83</v>
      </c>
      <c r="C8" s="30"/>
      <c r="D8" s="4" t="s">
        <v>277</v>
      </c>
      <c r="E8" s="41" t="s">
        <v>180</v>
      </c>
      <c r="F8" s="4"/>
      <c r="G8" s="5"/>
    </row>
    <row r="9" spans="1:7" ht="17.399999999999999" thickTop="1">
      <c r="A9" s="131" t="s">
        <v>271</v>
      </c>
      <c r="B9" s="482">
        <f>7+1+3</f>
        <v>11</v>
      </c>
      <c r="C9" s="483"/>
      <c r="D9" s="132" t="s">
        <v>278</v>
      </c>
      <c r="E9" s="377" t="s">
        <v>136</v>
      </c>
      <c r="F9" s="3"/>
      <c r="G9" s="5"/>
    </row>
    <row r="10" spans="1:7" ht="16.8">
      <c r="A10" s="374" t="s">
        <v>272</v>
      </c>
      <c r="B10" s="378" t="str">
        <f>C13</f>
        <v>+3</v>
      </c>
      <c r="C10" s="379"/>
      <c r="D10" s="375" t="s">
        <v>279</v>
      </c>
      <c r="E10" s="376" t="s">
        <v>136</v>
      </c>
      <c r="F10" s="3"/>
      <c r="G10" s="5"/>
    </row>
    <row r="11" spans="1:7" ht="17.399999999999999" thickBot="1">
      <c r="A11" s="308" t="s">
        <v>273</v>
      </c>
      <c r="B11" s="494">
        <v>136000</v>
      </c>
      <c r="C11" s="495"/>
      <c r="D11" s="392" t="s">
        <v>280</v>
      </c>
      <c r="E11" s="393">
        <f>E3+E4+E5+C17+2+1</f>
        <v>22</v>
      </c>
      <c r="F11" s="3"/>
      <c r="G11" s="5"/>
    </row>
    <row r="12" spans="1:7" ht="17.399999999999999" thickTop="1">
      <c r="A12" s="27" t="s">
        <v>265</v>
      </c>
      <c r="B12" s="559">
        <f>11-2</f>
        <v>9</v>
      </c>
      <c r="C12" s="95">
        <f t="shared" ref="C12:C17" si="0">IF(B12&gt;9.9,CONCATENATE("+",ROUNDDOWN((B12-10)/2,0)),ROUNDUP((B12-10)/2,0))</f>
        <v>-1</v>
      </c>
      <c r="D12" s="63" t="s">
        <v>281</v>
      </c>
      <c r="E12" s="373" t="s">
        <v>208</v>
      </c>
      <c r="F12" s="3"/>
      <c r="G12" s="5"/>
    </row>
    <row r="13" spans="1:7" ht="16.8">
      <c r="A13" s="6" t="s">
        <v>261</v>
      </c>
      <c r="B13" s="560">
        <f>18-2</f>
        <v>16</v>
      </c>
      <c r="C13" s="38" t="str">
        <f t="shared" si="0"/>
        <v>+3</v>
      </c>
      <c r="D13" s="64" t="s">
        <v>282</v>
      </c>
      <c r="E13" s="43">
        <f>SUM(Martial!G3:G38)+SUM(Equipment!C3:C32)-SUM(Equipment!C16:C32)</f>
        <v>17.150000000000002</v>
      </c>
      <c r="F13" s="3"/>
      <c r="G13" s="5"/>
    </row>
    <row r="14" spans="1:7" ht="16.8">
      <c r="A14" s="25" t="s">
        <v>260</v>
      </c>
      <c r="B14" s="447">
        <f>12</f>
        <v>12</v>
      </c>
      <c r="C14" s="31" t="str">
        <f t="shared" si="0"/>
        <v>+1</v>
      </c>
      <c r="D14" s="64" t="s">
        <v>283</v>
      </c>
      <c r="E14" s="311">
        <f>ROUNDUP(((E3*6)*0.75)+((E4*6)*0.75)+((E5*6)*0.75)+((E3+E5)*C14),0)</f>
        <v>92</v>
      </c>
      <c r="F14" s="3"/>
      <c r="G14" s="5"/>
    </row>
    <row r="15" spans="1:7" ht="16.8">
      <c r="A15" s="72" t="s">
        <v>263</v>
      </c>
      <c r="B15" s="447">
        <f>14</f>
        <v>14</v>
      </c>
      <c r="C15" s="38" t="str">
        <f t="shared" si="0"/>
        <v>+2</v>
      </c>
      <c r="D15" s="177" t="s">
        <v>284</v>
      </c>
      <c r="E15" s="484">
        <f>10+C13+4</f>
        <v>17</v>
      </c>
      <c r="F15" s="2"/>
      <c r="G15" s="5"/>
    </row>
    <row r="16" spans="1:7" ht="16.8">
      <c r="A16" s="26" t="s">
        <v>262</v>
      </c>
      <c r="B16" s="448">
        <v>14</v>
      </c>
      <c r="C16" s="38" t="str">
        <f t="shared" si="0"/>
        <v>+2</v>
      </c>
      <c r="D16" s="177" t="s">
        <v>285</v>
      </c>
      <c r="E16" s="382">
        <f>E17-C13</f>
        <v>14</v>
      </c>
      <c r="F16" s="3"/>
      <c r="G16" s="5"/>
    </row>
    <row r="17" spans="1:7" ht="17.399999999999999" thickBot="1">
      <c r="A17" s="28" t="s">
        <v>264</v>
      </c>
      <c r="B17" s="449">
        <v>14</v>
      </c>
      <c r="C17" s="32" t="str">
        <f t="shared" si="0"/>
        <v>+2</v>
      </c>
      <c r="D17" s="178" t="s">
        <v>286</v>
      </c>
      <c r="E17" s="42">
        <f>E15+SUM(Martial!B32:B34)</f>
        <v>17</v>
      </c>
      <c r="F17" s="3"/>
      <c r="G17" s="5"/>
    </row>
    <row r="18" spans="1:7" ht="24" thickTop="1" thickBot="1">
      <c r="A18" s="7" t="s">
        <v>16</v>
      </c>
      <c r="B18" s="8"/>
      <c r="C18" s="8"/>
      <c r="D18" s="9"/>
      <c r="E18" s="372"/>
      <c r="F18" s="9"/>
      <c r="G18" s="10"/>
    </row>
    <row r="19" spans="1:7" s="14" customFormat="1" ht="17.399999999999999" thickTop="1">
      <c r="A19" s="11"/>
      <c r="B19" s="12"/>
      <c r="C19" s="12"/>
      <c r="D19" s="12"/>
      <c r="E19" s="12"/>
      <c r="F19" s="12"/>
      <c r="G19" s="13"/>
    </row>
    <row r="20" spans="1:7" s="14" customFormat="1" ht="16.8">
      <c r="A20" s="48"/>
      <c r="B20" s="15"/>
      <c r="C20" s="15"/>
      <c r="D20" s="15"/>
      <c r="E20" s="15"/>
      <c r="F20" s="15"/>
      <c r="G20" s="49"/>
    </row>
    <row r="21" spans="1:7" s="14" customFormat="1" ht="16.8">
      <c r="A21" s="48"/>
      <c r="B21" s="15"/>
      <c r="C21" s="15"/>
      <c r="D21" s="15"/>
      <c r="E21" s="15"/>
      <c r="F21" s="15"/>
      <c r="G21" s="49"/>
    </row>
    <row r="22" spans="1:7" s="14" customFormat="1" ht="16.8">
      <c r="A22" s="48"/>
      <c r="B22" s="15"/>
      <c r="C22" s="15"/>
      <c r="D22" s="15"/>
      <c r="E22" s="15"/>
      <c r="F22" s="15"/>
      <c r="G22" s="49"/>
    </row>
    <row r="23" spans="1:7" s="14" customFormat="1" ht="16.8">
      <c r="A23" s="48"/>
      <c r="B23" s="15"/>
      <c r="C23" s="15"/>
      <c r="D23" s="15"/>
      <c r="E23" s="15"/>
      <c r="F23" s="15"/>
      <c r="G23" s="49"/>
    </row>
    <row r="24" spans="1:7" s="14" customFormat="1" ht="16.8">
      <c r="A24" s="48"/>
      <c r="B24" s="15"/>
      <c r="C24" s="15"/>
      <c r="D24" s="15"/>
      <c r="E24" s="15"/>
      <c r="F24" s="15"/>
      <c r="G24" s="49"/>
    </row>
    <row r="25" spans="1:7" s="14" customFormat="1" ht="16.8">
      <c r="A25" s="48"/>
      <c r="B25" s="15"/>
      <c r="C25" s="15"/>
      <c r="D25" s="15"/>
      <c r="E25" s="15"/>
      <c r="F25" s="15"/>
      <c r="G25" s="49"/>
    </row>
    <row r="26" spans="1:7" s="14" customFormat="1" ht="16.8">
      <c r="A26" s="48"/>
      <c r="B26" s="15"/>
      <c r="C26" s="15"/>
      <c r="D26" s="15"/>
      <c r="E26" s="15"/>
      <c r="F26" s="15"/>
      <c r="G26" s="49"/>
    </row>
    <row r="27" spans="1:7" ht="17.399999999999999" thickBot="1">
      <c r="A27" s="16"/>
      <c r="B27" s="17"/>
      <c r="C27" s="17"/>
      <c r="D27" s="17"/>
      <c r="E27" s="17"/>
      <c r="F27" s="17"/>
      <c r="G27" s="18"/>
    </row>
    <row r="28" spans="1:7" ht="16.2" thickTop="1"/>
  </sheetData>
  <phoneticPr fontId="0" type="noConversion"/>
  <conditionalFormatting sqref="E13">
    <cfRule type="cellIs" dxfId="5" priority="4" stopIfTrue="1" operator="greaterThan">
      <formula>76</formula>
    </cfRule>
    <cfRule type="cellIs" dxfId="4" priority="5" stopIfTrue="1" operator="between">
      <formula>38</formula>
      <formula>76</formula>
    </cfRule>
  </conditionalFormatting>
  <hyperlinks>
    <hyperlink ref="G1" r:id="rId1"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1"/>
  <sheetViews>
    <sheetView showGridLines="0" workbookViewId="0">
      <pane ySplit="2" topLeftCell="A3" activePane="bottomLeft" state="frozen"/>
      <selection pane="bottomLeft" activeCell="A3" sqref="A3"/>
    </sheetView>
  </sheetViews>
  <sheetFormatPr defaultColWidth="13" defaultRowHeight="15.6"/>
  <cols>
    <col min="1" max="1" width="29" style="19" bestFit="1" customWidth="1"/>
    <col min="2" max="2" width="5.8984375" style="19" bestFit="1" customWidth="1"/>
    <col min="3" max="3" width="11.59765625" style="20" hidden="1" customWidth="1"/>
    <col min="4" max="4" width="5.796875" style="20" hidden="1" customWidth="1"/>
    <col min="5" max="5" width="9.19921875" style="20" bestFit="1" customWidth="1"/>
    <col min="6" max="6" width="7.8984375" style="20" bestFit="1" customWidth="1"/>
    <col min="7" max="7" width="6" style="40" bestFit="1" customWidth="1"/>
    <col min="8" max="8" width="5.19921875" style="40" bestFit="1" customWidth="1"/>
    <col min="9" max="9" width="6.8984375" style="40" bestFit="1" customWidth="1"/>
    <col min="10" max="10" width="70.09765625" style="19" bestFit="1" customWidth="1"/>
    <col min="11" max="16384" width="13" style="1"/>
  </cols>
  <sheetData>
    <row r="1" spans="1:10" ht="23.4" thickBot="1">
      <c r="A1" s="29" t="s">
        <v>6</v>
      </c>
      <c r="B1" s="21"/>
      <c r="C1" s="21"/>
      <c r="D1" s="21"/>
      <c r="E1" s="21"/>
      <c r="F1" s="21"/>
      <c r="G1" s="39"/>
      <c r="H1" s="39"/>
      <c r="I1" s="39"/>
      <c r="J1" s="21"/>
    </row>
    <row r="2" spans="1:10" s="159" customFormat="1" ht="34.200000000000003" thickBot="1">
      <c r="A2" s="152" t="s">
        <v>103</v>
      </c>
      <c r="B2" s="153" t="s">
        <v>21</v>
      </c>
      <c r="C2" s="153" t="s">
        <v>23</v>
      </c>
      <c r="D2" s="153" t="s">
        <v>20</v>
      </c>
      <c r="E2" s="154" t="s">
        <v>48</v>
      </c>
      <c r="F2" s="154" t="s">
        <v>24</v>
      </c>
      <c r="G2" s="155" t="s">
        <v>50</v>
      </c>
      <c r="H2" s="156" t="s">
        <v>82</v>
      </c>
      <c r="I2" s="157" t="s">
        <v>62</v>
      </c>
      <c r="J2" s="158" t="s">
        <v>61</v>
      </c>
    </row>
    <row r="3" spans="1:10" s="14" customFormat="1" ht="16.8">
      <c r="A3" s="116" t="s">
        <v>52</v>
      </c>
      <c r="B3" s="117">
        <f>3+0+4</f>
        <v>7</v>
      </c>
      <c r="C3" s="118" t="s">
        <v>260</v>
      </c>
      <c r="D3" s="118" t="str">
        <f>VLOOKUP(C3,'Personal File'!$A$12:$C$17,3,FALSE)</f>
        <v>+1</v>
      </c>
      <c r="E3" s="129" t="str">
        <f t="shared" ref="E3:E43" si="0">CONCATENATE(LEFT(C3,3)," (",D3,")")</f>
        <v>Con (+1)</v>
      </c>
      <c r="F3" s="118">
        <v>0</v>
      </c>
      <c r="G3" s="119">
        <f t="shared" ref="G3:G5" si="1">B3+D3+F3</f>
        <v>8</v>
      </c>
      <c r="H3" s="120">
        <f t="shared" ref="H3:H43" ca="1" si="2">RANDBETWEEN(1,20)</f>
        <v>5</v>
      </c>
      <c r="I3" s="121">
        <f t="shared" ref="I3:I5" ca="1" si="3">SUM(G3:H3)</f>
        <v>13</v>
      </c>
      <c r="J3" s="47"/>
    </row>
    <row r="4" spans="1:10" s="14" customFormat="1" ht="16.8">
      <c r="A4" s="122" t="s">
        <v>53</v>
      </c>
      <c r="B4" s="117">
        <f>7+0+4</f>
        <v>11</v>
      </c>
      <c r="C4" s="118" t="s">
        <v>261</v>
      </c>
      <c r="D4" s="118" t="str">
        <f>VLOOKUP(C4,'Personal File'!$A$12:$C$17,3,FALSE)</f>
        <v>+3</v>
      </c>
      <c r="E4" s="103" t="str">
        <f t="shared" si="0"/>
        <v>Dex (+3)</v>
      </c>
      <c r="F4" s="446">
        <f>1</f>
        <v>1</v>
      </c>
      <c r="G4" s="119">
        <f t="shared" si="1"/>
        <v>15</v>
      </c>
      <c r="H4" s="120">
        <f t="shared" ca="1" si="2"/>
        <v>6</v>
      </c>
      <c r="I4" s="121">
        <f t="shared" ca="1" si="3"/>
        <v>21</v>
      </c>
      <c r="J4" s="485" t="s">
        <v>252</v>
      </c>
    </row>
    <row r="5" spans="1:10" s="14" customFormat="1" ht="16.8">
      <c r="A5" s="123" t="s">
        <v>54</v>
      </c>
      <c r="B5" s="124">
        <f>3+3+1</f>
        <v>7</v>
      </c>
      <c r="C5" s="125" t="s">
        <v>262</v>
      </c>
      <c r="D5" s="125" t="str">
        <f>VLOOKUP(C5,'Personal File'!$A$12:$C$17,3,FALSE)</f>
        <v>+2</v>
      </c>
      <c r="E5" s="130" t="str">
        <f t="shared" si="0"/>
        <v>Wis (+2)</v>
      </c>
      <c r="F5" s="125">
        <f>1</f>
        <v>1</v>
      </c>
      <c r="G5" s="126">
        <f t="shared" si="1"/>
        <v>10</v>
      </c>
      <c r="H5" s="127">
        <f t="shared" ca="1" si="2"/>
        <v>1</v>
      </c>
      <c r="I5" s="128">
        <f t="shared" ca="1" si="3"/>
        <v>11</v>
      </c>
      <c r="J5" s="134" t="s">
        <v>318</v>
      </c>
    </row>
    <row r="6" spans="1:10" s="33" customFormat="1" ht="16.8">
      <c r="A6" s="135" t="s">
        <v>25</v>
      </c>
      <c r="B6" s="45">
        <v>0</v>
      </c>
      <c r="C6" s="136" t="s">
        <v>263</v>
      </c>
      <c r="D6" s="137" t="str">
        <f>VLOOKUP(C6,'Personal File'!$A$12:$C$17,3,FALSE)</f>
        <v>+2</v>
      </c>
      <c r="E6" s="138" t="str">
        <f t="shared" si="0"/>
        <v>Int (+2)</v>
      </c>
      <c r="F6" s="400" t="s">
        <v>49</v>
      </c>
      <c r="G6" s="46">
        <f t="shared" ref="G6:G43" si="4">B6+D6+F6</f>
        <v>2</v>
      </c>
      <c r="H6" s="120">
        <f t="shared" ca="1" si="2"/>
        <v>9</v>
      </c>
      <c r="I6" s="46">
        <f t="shared" ref="I6:I7" ca="1" si="5">SUM(G6:H6)</f>
        <v>11</v>
      </c>
      <c r="J6" s="47"/>
    </row>
    <row r="7" spans="1:10" s="37" customFormat="1" ht="16.8">
      <c r="A7" s="100" t="s">
        <v>26</v>
      </c>
      <c r="B7" s="45">
        <v>0</v>
      </c>
      <c r="C7" s="101" t="s">
        <v>261</v>
      </c>
      <c r="D7" s="102" t="str">
        <f>VLOOKUP(C7,'Personal File'!$A$12:$C$17,3,FALSE)</f>
        <v>+3</v>
      </c>
      <c r="E7" s="103" t="str">
        <f t="shared" si="0"/>
        <v>Dex (+3)</v>
      </c>
      <c r="F7" s="400" t="s">
        <v>77</v>
      </c>
      <c r="G7" s="46">
        <f t="shared" si="4"/>
        <v>5</v>
      </c>
      <c r="H7" s="120">
        <f t="shared" ca="1" si="2"/>
        <v>1</v>
      </c>
      <c r="I7" s="46">
        <f t="shared" ca="1" si="5"/>
        <v>6</v>
      </c>
      <c r="J7" s="47"/>
    </row>
    <row r="8" spans="1:10" s="35" customFormat="1" ht="16.8">
      <c r="A8" s="65" t="s">
        <v>27</v>
      </c>
      <c r="B8" s="66">
        <v>19</v>
      </c>
      <c r="C8" s="67" t="s">
        <v>264</v>
      </c>
      <c r="D8" s="68" t="str">
        <f>VLOOKUP(C8,'Personal File'!$A$12:$C$17,3,FALSE)</f>
        <v>+2</v>
      </c>
      <c r="E8" s="73" t="str">
        <f t="shared" si="0"/>
        <v>Cha (+2)</v>
      </c>
      <c r="F8" s="401" t="s">
        <v>49</v>
      </c>
      <c r="G8" s="69">
        <f t="shared" si="4"/>
        <v>21</v>
      </c>
      <c r="H8" s="120">
        <f t="shared" ca="1" si="2"/>
        <v>1</v>
      </c>
      <c r="I8" s="69">
        <f t="shared" ref="I8:I43" ca="1" si="6">SUM(G8:H8)</f>
        <v>22</v>
      </c>
      <c r="J8" s="70"/>
    </row>
    <row r="9" spans="1:10" s="34" customFormat="1" ht="16.8">
      <c r="A9" s="108" t="s">
        <v>28</v>
      </c>
      <c r="B9" s="45">
        <v>0</v>
      </c>
      <c r="C9" s="109" t="s">
        <v>265</v>
      </c>
      <c r="D9" s="110">
        <f>VLOOKUP(C9,'Personal File'!$A$12:$C$17,3,FALSE)</f>
        <v>-1</v>
      </c>
      <c r="E9" s="111" t="str">
        <f t="shared" si="0"/>
        <v>Str (-1)</v>
      </c>
      <c r="F9" s="400" t="s">
        <v>77</v>
      </c>
      <c r="G9" s="46">
        <f t="shared" si="4"/>
        <v>1</v>
      </c>
      <c r="H9" s="120">
        <f t="shared" ca="1" si="2"/>
        <v>20</v>
      </c>
      <c r="I9" s="46">
        <f t="shared" ca="1" si="6"/>
        <v>21</v>
      </c>
      <c r="J9" s="47"/>
    </row>
    <row r="10" spans="1:10" s="34" customFormat="1" ht="16.8">
      <c r="A10" s="87" t="s">
        <v>7</v>
      </c>
      <c r="B10" s="45">
        <v>0</v>
      </c>
      <c r="C10" s="88" t="s">
        <v>260</v>
      </c>
      <c r="D10" s="89" t="str">
        <f>VLOOKUP(C10,'Personal File'!$A$12:$C$17,3,FALSE)</f>
        <v>+1</v>
      </c>
      <c r="E10" s="90" t="str">
        <f t="shared" si="0"/>
        <v>Con (+1)</v>
      </c>
      <c r="F10" s="400" t="s">
        <v>49</v>
      </c>
      <c r="G10" s="46">
        <f t="shared" si="4"/>
        <v>1</v>
      </c>
      <c r="H10" s="120">
        <f t="shared" ca="1" si="2"/>
        <v>13</v>
      </c>
      <c r="I10" s="46">
        <f t="shared" ca="1" si="6"/>
        <v>14</v>
      </c>
      <c r="J10" s="47"/>
    </row>
    <row r="11" spans="1:10" s="33" customFormat="1" ht="16.8">
      <c r="A11" s="75" t="s">
        <v>93</v>
      </c>
      <c r="B11" s="66">
        <v>5</v>
      </c>
      <c r="C11" s="76" t="s">
        <v>263</v>
      </c>
      <c r="D11" s="77" t="str">
        <f>VLOOKUP(C11,'Personal File'!$A$12:$C$17,3,FALSE)</f>
        <v>+2</v>
      </c>
      <c r="E11" s="78" t="str">
        <f t="shared" si="0"/>
        <v>Int (+2)</v>
      </c>
      <c r="F11" s="401" t="s">
        <v>49</v>
      </c>
      <c r="G11" s="69">
        <f t="shared" si="4"/>
        <v>7</v>
      </c>
      <c r="H11" s="120">
        <f t="shared" ca="1" si="2"/>
        <v>16</v>
      </c>
      <c r="I11" s="69">
        <f t="shared" ca="1" si="6"/>
        <v>23</v>
      </c>
      <c r="J11" s="70"/>
    </row>
    <row r="12" spans="1:10" s="33" customFormat="1" ht="16.8">
      <c r="A12" s="75" t="s">
        <v>147</v>
      </c>
      <c r="B12" s="66">
        <v>19</v>
      </c>
      <c r="C12" s="76" t="s">
        <v>263</v>
      </c>
      <c r="D12" s="77" t="str">
        <f>VLOOKUP(C12,'Personal File'!$A$12:$C$17,3,FALSE)</f>
        <v>+2</v>
      </c>
      <c r="E12" s="78" t="str">
        <f t="shared" si="0"/>
        <v>Int (+2)</v>
      </c>
      <c r="F12" s="401" t="s">
        <v>174</v>
      </c>
      <c r="G12" s="69">
        <f t="shared" ref="G12" si="7">B12+D12+F12</f>
        <v>24</v>
      </c>
      <c r="H12" s="120">
        <f t="shared" ca="1" si="2"/>
        <v>11</v>
      </c>
      <c r="I12" s="69">
        <f t="shared" ref="I12" ca="1" si="8">SUM(G12:H12)</f>
        <v>35</v>
      </c>
      <c r="J12" s="70" t="s">
        <v>191</v>
      </c>
    </row>
    <row r="13" spans="1:10" s="36" customFormat="1" ht="16.8">
      <c r="A13" s="160" t="s">
        <v>29</v>
      </c>
      <c r="B13" s="161">
        <v>0</v>
      </c>
      <c r="C13" s="162" t="s">
        <v>263</v>
      </c>
      <c r="D13" s="163" t="str">
        <f>VLOOKUP(C13,'Personal File'!$A$12:$C$17,3,FALSE)</f>
        <v>+2</v>
      </c>
      <c r="E13" s="164" t="str">
        <f t="shared" si="0"/>
        <v>Int (+2)</v>
      </c>
      <c r="F13" s="402" t="s">
        <v>49</v>
      </c>
      <c r="G13" s="165">
        <f t="shared" si="4"/>
        <v>2</v>
      </c>
      <c r="H13" s="120">
        <f t="shared" ca="1" si="2"/>
        <v>14</v>
      </c>
      <c r="I13" s="165">
        <f t="shared" ca="1" si="6"/>
        <v>16</v>
      </c>
      <c r="J13" s="167"/>
    </row>
    <row r="14" spans="1:10" s="37" customFormat="1" ht="16.8">
      <c r="A14" s="96" t="s">
        <v>30</v>
      </c>
      <c r="B14" s="45">
        <v>0</v>
      </c>
      <c r="C14" s="97" t="s">
        <v>264</v>
      </c>
      <c r="D14" s="98" t="str">
        <f>VLOOKUP(C14,'Personal File'!$A$12:$C$17,3,FALSE)</f>
        <v>+2</v>
      </c>
      <c r="E14" s="99" t="str">
        <f t="shared" si="0"/>
        <v>Cha (+2)</v>
      </c>
      <c r="F14" s="400" t="s">
        <v>77</v>
      </c>
      <c r="G14" s="46">
        <f t="shared" si="4"/>
        <v>4</v>
      </c>
      <c r="H14" s="120">
        <f t="shared" ca="1" si="2"/>
        <v>1</v>
      </c>
      <c r="I14" s="46">
        <f t="shared" ca="1" si="6"/>
        <v>5</v>
      </c>
      <c r="J14" s="47"/>
    </row>
    <row r="15" spans="1:10" s="37" customFormat="1" ht="16.8">
      <c r="A15" s="75" t="s">
        <v>31</v>
      </c>
      <c r="B15" s="66">
        <v>17</v>
      </c>
      <c r="C15" s="76" t="s">
        <v>263</v>
      </c>
      <c r="D15" s="77" t="str">
        <f>VLOOKUP(C15,'Personal File'!$A$12:$C$17,3,FALSE)</f>
        <v>+2</v>
      </c>
      <c r="E15" s="78" t="str">
        <f t="shared" si="0"/>
        <v>Int (+2)</v>
      </c>
      <c r="F15" s="401" t="s">
        <v>77</v>
      </c>
      <c r="G15" s="69">
        <f t="shared" si="4"/>
        <v>21</v>
      </c>
      <c r="H15" s="120">
        <f t="shared" ca="1" si="2"/>
        <v>4</v>
      </c>
      <c r="I15" s="69">
        <f t="shared" ca="1" si="6"/>
        <v>25</v>
      </c>
      <c r="J15" s="70" t="s">
        <v>178</v>
      </c>
    </row>
    <row r="16" spans="1:10" s="37" customFormat="1" ht="16.8">
      <c r="A16" s="65" t="s">
        <v>32</v>
      </c>
      <c r="B16" s="66">
        <v>2</v>
      </c>
      <c r="C16" s="67" t="s">
        <v>264</v>
      </c>
      <c r="D16" s="68" t="str">
        <f>VLOOKUP(C16,'Personal File'!$A$12:$C$17,3,FALSE)</f>
        <v>+2</v>
      </c>
      <c r="E16" s="73" t="str">
        <f t="shared" si="0"/>
        <v>Cha (+2)</v>
      </c>
      <c r="F16" s="403">
        <f>10+2</f>
        <v>12</v>
      </c>
      <c r="G16" s="69">
        <f t="shared" si="4"/>
        <v>16</v>
      </c>
      <c r="H16" s="120">
        <f t="shared" ca="1" si="2"/>
        <v>8</v>
      </c>
      <c r="I16" s="69">
        <f t="shared" ca="1" si="6"/>
        <v>24</v>
      </c>
      <c r="J16" s="230"/>
    </row>
    <row r="17" spans="1:10" s="37" customFormat="1" ht="16.8">
      <c r="A17" s="100" t="s">
        <v>33</v>
      </c>
      <c r="B17" s="45">
        <v>0</v>
      </c>
      <c r="C17" s="101" t="s">
        <v>261</v>
      </c>
      <c r="D17" s="102" t="str">
        <f>VLOOKUP(C17,'Personal File'!$A$12:$C$17,3,FALSE)</f>
        <v>+3</v>
      </c>
      <c r="E17" s="103" t="str">
        <f t="shared" si="0"/>
        <v>Dex (+3)</v>
      </c>
      <c r="F17" s="400" t="s">
        <v>49</v>
      </c>
      <c r="G17" s="46">
        <f t="shared" si="4"/>
        <v>3</v>
      </c>
      <c r="H17" s="120">
        <f t="shared" ca="1" si="2"/>
        <v>6</v>
      </c>
      <c r="I17" s="46">
        <f t="shared" ca="1" si="6"/>
        <v>9</v>
      </c>
      <c r="J17" s="47"/>
    </row>
    <row r="18" spans="1:10" s="37" customFormat="1" ht="16.8">
      <c r="A18" s="135" t="s">
        <v>34</v>
      </c>
      <c r="B18" s="45">
        <v>0</v>
      </c>
      <c r="C18" s="136" t="s">
        <v>263</v>
      </c>
      <c r="D18" s="137" t="str">
        <f>VLOOKUP(C18,'Personal File'!$A$12:$C$17,3,FALSE)</f>
        <v>+2</v>
      </c>
      <c r="E18" s="138" t="str">
        <f t="shared" si="0"/>
        <v>Int (+2)</v>
      </c>
      <c r="F18" s="400" t="s">
        <v>49</v>
      </c>
      <c r="G18" s="46">
        <f t="shared" si="4"/>
        <v>2</v>
      </c>
      <c r="H18" s="120">
        <f t="shared" ca="1" si="2"/>
        <v>19</v>
      </c>
      <c r="I18" s="46">
        <f t="shared" ca="1" si="6"/>
        <v>21</v>
      </c>
      <c r="J18" s="47"/>
    </row>
    <row r="19" spans="1:10" s="37" customFormat="1" ht="16.8">
      <c r="A19" s="65" t="s">
        <v>35</v>
      </c>
      <c r="B19" s="66">
        <v>2</v>
      </c>
      <c r="C19" s="67" t="s">
        <v>264</v>
      </c>
      <c r="D19" s="68" t="str">
        <f>VLOOKUP(C19,'Personal File'!$A$12:$C$17,3,FALSE)</f>
        <v>+2</v>
      </c>
      <c r="E19" s="73" t="str">
        <f t="shared" si="0"/>
        <v>Cha (+2)</v>
      </c>
      <c r="F19" s="401" t="s">
        <v>77</v>
      </c>
      <c r="G19" s="69">
        <f t="shared" si="4"/>
        <v>6</v>
      </c>
      <c r="H19" s="120">
        <f t="shared" ca="1" si="2"/>
        <v>13</v>
      </c>
      <c r="I19" s="69">
        <f t="shared" ca="1" si="6"/>
        <v>19</v>
      </c>
      <c r="J19" s="70"/>
    </row>
    <row r="20" spans="1:10" s="37" customFormat="1" ht="16.8">
      <c r="A20" s="96" t="s">
        <v>9</v>
      </c>
      <c r="B20" s="45">
        <v>0</v>
      </c>
      <c r="C20" s="97" t="s">
        <v>264</v>
      </c>
      <c r="D20" s="98" t="str">
        <f>VLOOKUP(C20,'Personal File'!$A$12:$C$17,3,FALSE)</f>
        <v>+2</v>
      </c>
      <c r="E20" s="99" t="str">
        <f t="shared" si="0"/>
        <v>Cha (+2)</v>
      </c>
      <c r="F20" s="400" t="s">
        <v>49</v>
      </c>
      <c r="G20" s="46">
        <f t="shared" si="4"/>
        <v>2</v>
      </c>
      <c r="H20" s="120">
        <f t="shared" ca="1" si="2"/>
        <v>13</v>
      </c>
      <c r="I20" s="46">
        <f t="shared" ca="1" si="6"/>
        <v>15</v>
      </c>
      <c r="J20" s="47"/>
    </row>
    <row r="21" spans="1:10" s="37" customFormat="1" ht="16.8">
      <c r="A21" s="104" t="s">
        <v>36</v>
      </c>
      <c r="B21" s="45">
        <v>0</v>
      </c>
      <c r="C21" s="105" t="s">
        <v>262</v>
      </c>
      <c r="D21" s="106" t="str">
        <f>VLOOKUP(C21,'Personal File'!$A$12:$C$17,3,FALSE)</f>
        <v>+2</v>
      </c>
      <c r="E21" s="107" t="str">
        <f t="shared" si="0"/>
        <v>Wis (+2)</v>
      </c>
      <c r="F21" s="400" t="s">
        <v>49</v>
      </c>
      <c r="G21" s="46">
        <f t="shared" si="4"/>
        <v>2</v>
      </c>
      <c r="H21" s="120">
        <f t="shared" ca="1" si="2"/>
        <v>12</v>
      </c>
      <c r="I21" s="46">
        <f t="shared" ca="1" si="6"/>
        <v>14</v>
      </c>
      <c r="J21" s="47"/>
    </row>
    <row r="22" spans="1:10" s="37" customFormat="1" ht="16.8">
      <c r="A22" s="79" t="s">
        <v>37</v>
      </c>
      <c r="B22" s="66">
        <v>1</v>
      </c>
      <c r="C22" s="80" t="s">
        <v>261</v>
      </c>
      <c r="D22" s="81" t="str">
        <f>VLOOKUP(C22,'Personal File'!$A$12:$C$17,3,FALSE)</f>
        <v>+3</v>
      </c>
      <c r="E22" s="82" t="str">
        <f t="shared" si="0"/>
        <v>Dex (+3)</v>
      </c>
      <c r="F22" s="401" t="s">
        <v>49</v>
      </c>
      <c r="G22" s="69">
        <f t="shared" si="4"/>
        <v>4</v>
      </c>
      <c r="H22" s="120">
        <f t="shared" ca="1" si="2"/>
        <v>16</v>
      </c>
      <c r="I22" s="69">
        <f t="shared" ca="1" si="6"/>
        <v>20</v>
      </c>
      <c r="J22" s="230" t="s">
        <v>182</v>
      </c>
    </row>
    <row r="23" spans="1:10" s="37" customFormat="1" ht="16.8">
      <c r="A23" s="96" t="s">
        <v>38</v>
      </c>
      <c r="B23" s="45">
        <v>0</v>
      </c>
      <c r="C23" s="97" t="s">
        <v>264</v>
      </c>
      <c r="D23" s="98" t="str">
        <f>VLOOKUP(C23,'Personal File'!$A$12:$C$17,3,FALSE)</f>
        <v>+2</v>
      </c>
      <c r="E23" s="99" t="str">
        <f t="shared" si="0"/>
        <v>Cha (+2)</v>
      </c>
      <c r="F23" s="400" t="s">
        <v>77</v>
      </c>
      <c r="G23" s="46">
        <f t="shared" si="4"/>
        <v>4</v>
      </c>
      <c r="H23" s="120">
        <f t="shared" ca="1" si="2"/>
        <v>6</v>
      </c>
      <c r="I23" s="46">
        <f t="shared" ca="1" si="6"/>
        <v>10</v>
      </c>
      <c r="J23" s="47"/>
    </row>
    <row r="24" spans="1:10" s="37" customFormat="1" ht="16.8">
      <c r="A24" s="108" t="s">
        <v>39</v>
      </c>
      <c r="B24" s="45">
        <v>0</v>
      </c>
      <c r="C24" s="109" t="s">
        <v>265</v>
      </c>
      <c r="D24" s="110">
        <f>VLOOKUP(C24,'Personal File'!$A$12:$C$17,3,FALSE)</f>
        <v>-1</v>
      </c>
      <c r="E24" s="111" t="str">
        <f t="shared" si="0"/>
        <v>Str (-1)</v>
      </c>
      <c r="F24" s="558">
        <f>2+6</f>
        <v>8</v>
      </c>
      <c r="G24" s="46">
        <f t="shared" si="4"/>
        <v>7</v>
      </c>
      <c r="H24" s="120">
        <f t="shared" ca="1" si="2"/>
        <v>12</v>
      </c>
      <c r="I24" s="46">
        <f t="shared" ca="1" si="6"/>
        <v>19</v>
      </c>
      <c r="J24" s="47"/>
    </row>
    <row r="25" spans="1:10" s="37" customFormat="1" ht="16.8">
      <c r="A25" s="75" t="s">
        <v>148</v>
      </c>
      <c r="B25" s="66">
        <v>8</v>
      </c>
      <c r="C25" s="76" t="s">
        <v>263</v>
      </c>
      <c r="D25" s="77" t="str">
        <f>VLOOKUP(C25,'Personal File'!$A$12:$C$17,3,FALSE)</f>
        <v>+2</v>
      </c>
      <c r="E25" s="78" t="str">
        <f t="shared" si="0"/>
        <v>Int (+2)</v>
      </c>
      <c r="F25" s="401" t="s">
        <v>49</v>
      </c>
      <c r="G25" s="69">
        <f t="shared" si="4"/>
        <v>10</v>
      </c>
      <c r="H25" s="120">
        <f t="shared" ca="1" si="2"/>
        <v>13</v>
      </c>
      <c r="I25" s="69">
        <f t="shared" ca="1" si="6"/>
        <v>23</v>
      </c>
      <c r="J25" s="70"/>
    </row>
    <row r="26" spans="1:10" s="37" customFormat="1" ht="16.8">
      <c r="A26" s="75" t="s">
        <v>73</v>
      </c>
      <c r="B26" s="66">
        <v>5</v>
      </c>
      <c r="C26" s="76" t="s">
        <v>263</v>
      </c>
      <c r="D26" s="77" t="str">
        <f>VLOOKUP(C26,'Personal File'!$A$12:$C$17,3,FALSE)</f>
        <v>+2</v>
      </c>
      <c r="E26" s="78" t="str">
        <f t="shared" si="0"/>
        <v>Int (+2)</v>
      </c>
      <c r="F26" s="401" t="s">
        <v>49</v>
      </c>
      <c r="G26" s="69">
        <f t="shared" ref="G26" si="9">B26+D26+F26</f>
        <v>7</v>
      </c>
      <c r="H26" s="120">
        <f t="shared" ca="1" si="2"/>
        <v>4</v>
      </c>
      <c r="I26" s="69">
        <f t="shared" ref="I26" ca="1" si="10">SUM(G26:H26)</f>
        <v>11</v>
      </c>
      <c r="J26" s="70"/>
    </row>
    <row r="27" spans="1:10" s="37" customFormat="1" ht="16.8">
      <c r="A27" s="83" t="s">
        <v>40</v>
      </c>
      <c r="B27" s="66">
        <v>8</v>
      </c>
      <c r="C27" s="84" t="s">
        <v>262</v>
      </c>
      <c r="D27" s="85" t="str">
        <f>VLOOKUP(C27,'Personal File'!$A$12:$C$17,3,FALSE)</f>
        <v>+2</v>
      </c>
      <c r="E27" s="86" t="str">
        <f t="shared" si="0"/>
        <v>Wis (+2)</v>
      </c>
      <c r="F27" s="401" t="s">
        <v>49</v>
      </c>
      <c r="G27" s="69">
        <f t="shared" si="4"/>
        <v>10</v>
      </c>
      <c r="H27" s="120">
        <f t="shared" ca="1" si="2"/>
        <v>1</v>
      </c>
      <c r="I27" s="69">
        <f t="shared" ca="1" si="6"/>
        <v>11</v>
      </c>
      <c r="J27" s="70"/>
    </row>
    <row r="28" spans="1:10" s="37" customFormat="1" ht="16.8">
      <c r="A28" s="79" t="s">
        <v>10</v>
      </c>
      <c r="B28" s="66">
        <v>10</v>
      </c>
      <c r="C28" s="80" t="s">
        <v>261</v>
      </c>
      <c r="D28" s="81" t="str">
        <f>VLOOKUP(C28,'Personal File'!$A$12:$C$17,3,FALSE)</f>
        <v>+3</v>
      </c>
      <c r="E28" s="82" t="str">
        <f t="shared" si="0"/>
        <v>Dex (+3)</v>
      </c>
      <c r="F28" s="401" t="s">
        <v>49</v>
      </c>
      <c r="G28" s="69">
        <f t="shared" si="4"/>
        <v>13</v>
      </c>
      <c r="H28" s="120">
        <f t="shared" ca="1" si="2"/>
        <v>7</v>
      </c>
      <c r="I28" s="69">
        <f t="shared" ca="1" si="6"/>
        <v>20</v>
      </c>
      <c r="J28" s="70"/>
    </row>
    <row r="29" spans="1:10" s="37" customFormat="1" ht="16.8">
      <c r="A29" s="79" t="s">
        <v>41</v>
      </c>
      <c r="B29" s="66">
        <v>16</v>
      </c>
      <c r="C29" s="80" t="s">
        <v>261</v>
      </c>
      <c r="D29" s="81" t="str">
        <f>VLOOKUP(C29,'Personal File'!$A$12:$C$17,3,FALSE)</f>
        <v>+3</v>
      </c>
      <c r="E29" s="82" t="str">
        <f t="shared" si="0"/>
        <v>Dex (+3)</v>
      </c>
      <c r="F29" s="404">
        <f>2+5</f>
        <v>7</v>
      </c>
      <c r="G29" s="69">
        <f t="shared" si="4"/>
        <v>26</v>
      </c>
      <c r="H29" s="120">
        <f t="shared" ca="1" si="2"/>
        <v>3</v>
      </c>
      <c r="I29" s="69">
        <f t="shared" ca="1" si="6"/>
        <v>29</v>
      </c>
      <c r="J29" s="70" t="s">
        <v>183</v>
      </c>
    </row>
    <row r="30" spans="1:10" ht="16.8">
      <c r="A30" s="96" t="s">
        <v>85</v>
      </c>
      <c r="B30" s="45">
        <v>0</v>
      </c>
      <c r="C30" s="97" t="s">
        <v>264</v>
      </c>
      <c r="D30" s="98" t="str">
        <f>VLOOKUP(C30,'Personal File'!$A$12:$C$17,3,FALSE)</f>
        <v>+2</v>
      </c>
      <c r="E30" s="99" t="str">
        <f t="shared" si="0"/>
        <v>Cha (+2)</v>
      </c>
      <c r="F30" s="400" t="s">
        <v>49</v>
      </c>
      <c r="G30" s="46">
        <f t="shared" si="4"/>
        <v>2</v>
      </c>
      <c r="H30" s="120">
        <f t="shared" ca="1" si="2"/>
        <v>4</v>
      </c>
      <c r="I30" s="46">
        <f t="shared" ca="1" si="6"/>
        <v>6</v>
      </c>
      <c r="J30" s="47"/>
    </row>
    <row r="31" spans="1:10" ht="16.8">
      <c r="A31" s="168" t="s">
        <v>86</v>
      </c>
      <c r="B31" s="161">
        <v>0</v>
      </c>
      <c r="C31" s="169" t="s">
        <v>262</v>
      </c>
      <c r="D31" s="170" t="str">
        <f>VLOOKUP(C31,'Personal File'!$A$12:$C$17,3,FALSE)</f>
        <v>+2</v>
      </c>
      <c r="E31" s="171" t="str">
        <f t="shared" si="0"/>
        <v>Wis (+2)</v>
      </c>
      <c r="F31" s="402" t="s">
        <v>49</v>
      </c>
      <c r="G31" s="165">
        <f t="shared" si="4"/>
        <v>2</v>
      </c>
      <c r="H31" s="120">
        <f t="shared" ca="1" si="2"/>
        <v>16</v>
      </c>
      <c r="I31" s="165">
        <f t="shared" ca="1" si="6"/>
        <v>18</v>
      </c>
      <c r="J31" s="167"/>
    </row>
    <row r="32" spans="1:10" ht="16.8">
      <c r="A32" s="100" t="s">
        <v>11</v>
      </c>
      <c r="B32" s="45">
        <v>0</v>
      </c>
      <c r="C32" s="101" t="s">
        <v>261</v>
      </c>
      <c r="D32" s="102" t="str">
        <f>VLOOKUP(C32,'Personal File'!$A$12:$C$17,3,FALSE)</f>
        <v>+3</v>
      </c>
      <c r="E32" s="103" t="str">
        <f t="shared" si="0"/>
        <v>Dex (+3)</v>
      </c>
      <c r="F32" s="400" t="s">
        <v>49</v>
      </c>
      <c r="G32" s="46">
        <f t="shared" si="4"/>
        <v>3</v>
      </c>
      <c r="H32" s="120">
        <f t="shared" ca="1" si="2"/>
        <v>11</v>
      </c>
      <c r="I32" s="46">
        <f t="shared" ca="1" si="6"/>
        <v>14</v>
      </c>
      <c r="J32" s="47"/>
    </row>
    <row r="33" spans="1:10" ht="16.8">
      <c r="A33" s="75" t="s">
        <v>12</v>
      </c>
      <c r="B33" s="66">
        <v>14</v>
      </c>
      <c r="C33" s="76" t="s">
        <v>263</v>
      </c>
      <c r="D33" s="77" t="str">
        <f>VLOOKUP(C33,'Personal File'!$A$12:$C$17,3,FALSE)</f>
        <v>+2</v>
      </c>
      <c r="E33" s="78" t="str">
        <f t="shared" si="0"/>
        <v>Int (+2)</v>
      </c>
      <c r="F33" s="401" t="s">
        <v>49</v>
      </c>
      <c r="G33" s="69">
        <f t="shared" si="4"/>
        <v>16</v>
      </c>
      <c r="H33" s="120">
        <f t="shared" ca="1" si="2"/>
        <v>8</v>
      </c>
      <c r="I33" s="69">
        <f t="shared" ca="1" si="6"/>
        <v>24</v>
      </c>
      <c r="J33" s="230" t="s">
        <v>192</v>
      </c>
    </row>
    <row r="34" spans="1:10" ht="16.8">
      <c r="A34" s="104" t="s">
        <v>42</v>
      </c>
      <c r="B34" s="45">
        <v>0</v>
      </c>
      <c r="C34" s="105" t="s">
        <v>262</v>
      </c>
      <c r="D34" s="106" t="str">
        <f>VLOOKUP(C34,'Personal File'!$A$12:$C$17,3,FALSE)</f>
        <v>+2</v>
      </c>
      <c r="E34" s="107" t="str">
        <f t="shared" si="0"/>
        <v>Wis (+2)</v>
      </c>
      <c r="F34" s="400" t="s">
        <v>49</v>
      </c>
      <c r="G34" s="46">
        <f t="shared" si="4"/>
        <v>2</v>
      </c>
      <c r="H34" s="120">
        <f t="shared" ca="1" si="2"/>
        <v>1</v>
      </c>
      <c r="I34" s="46">
        <f t="shared" ca="1" si="6"/>
        <v>3</v>
      </c>
      <c r="J34" s="47"/>
    </row>
    <row r="35" spans="1:10" ht="16.8">
      <c r="A35" s="79" t="s">
        <v>66</v>
      </c>
      <c r="B35" s="66">
        <v>15</v>
      </c>
      <c r="C35" s="80" t="s">
        <v>261</v>
      </c>
      <c r="D35" s="81" t="str">
        <f>VLOOKUP(C35,'Personal File'!$A$12:$C$17,3,FALSE)</f>
        <v>+3</v>
      </c>
      <c r="E35" s="82" t="str">
        <f t="shared" si="0"/>
        <v>Dex (+3)</v>
      </c>
      <c r="F35" s="403">
        <f>2+2</f>
        <v>4</v>
      </c>
      <c r="G35" s="69">
        <f t="shared" si="4"/>
        <v>22</v>
      </c>
      <c r="H35" s="120">
        <f t="shared" ca="1" si="2"/>
        <v>5</v>
      </c>
      <c r="I35" s="69">
        <f t="shared" ca="1" si="6"/>
        <v>27</v>
      </c>
      <c r="J35" s="70" t="s">
        <v>178</v>
      </c>
    </row>
    <row r="36" spans="1:10" ht="16.8">
      <c r="A36" s="160" t="s">
        <v>65</v>
      </c>
      <c r="B36" s="161">
        <v>0</v>
      </c>
      <c r="C36" s="162" t="s">
        <v>263</v>
      </c>
      <c r="D36" s="163" t="str">
        <f>VLOOKUP(C36,'Personal File'!$A$12:$C$17,3,FALSE)</f>
        <v>+2</v>
      </c>
      <c r="E36" s="164" t="str">
        <f t="shared" si="0"/>
        <v>Int (+2)</v>
      </c>
      <c r="F36" s="402" t="s">
        <v>49</v>
      </c>
      <c r="G36" s="165">
        <f t="shared" si="4"/>
        <v>2</v>
      </c>
      <c r="H36" s="120">
        <f t="shared" ca="1" si="2"/>
        <v>9</v>
      </c>
      <c r="I36" s="165">
        <f t="shared" ca="1" si="6"/>
        <v>11</v>
      </c>
      <c r="J36" s="166"/>
    </row>
    <row r="37" spans="1:10" ht="16.8">
      <c r="A37" s="160" t="s">
        <v>43</v>
      </c>
      <c r="B37" s="161">
        <v>0</v>
      </c>
      <c r="C37" s="162" t="s">
        <v>263</v>
      </c>
      <c r="D37" s="163" t="str">
        <f>VLOOKUP(C37,'Personal File'!$A$12:$C$17,3,FALSE)</f>
        <v>+2</v>
      </c>
      <c r="E37" s="164" t="str">
        <f t="shared" si="0"/>
        <v>Int (+2)</v>
      </c>
      <c r="F37" s="402" t="s">
        <v>49</v>
      </c>
      <c r="G37" s="165">
        <f t="shared" si="4"/>
        <v>2</v>
      </c>
      <c r="H37" s="120">
        <f t="shared" ca="1" si="2"/>
        <v>8</v>
      </c>
      <c r="I37" s="165">
        <f t="shared" ca="1" si="6"/>
        <v>10</v>
      </c>
      <c r="J37" s="166"/>
    </row>
    <row r="38" spans="1:10" ht="16.8">
      <c r="A38" s="83" t="s">
        <v>44</v>
      </c>
      <c r="B38" s="66">
        <v>15</v>
      </c>
      <c r="C38" s="84" t="s">
        <v>262</v>
      </c>
      <c r="D38" s="85" t="str">
        <f>VLOOKUP(C38,'Personal File'!$A$12:$C$17,3,FALSE)</f>
        <v>+2</v>
      </c>
      <c r="E38" s="86" t="str">
        <f t="shared" si="0"/>
        <v>Wis (+2)</v>
      </c>
      <c r="F38" s="401" t="s">
        <v>77</v>
      </c>
      <c r="G38" s="69">
        <f t="shared" si="4"/>
        <v>19</v>
      </c>
      <c r="H38" s="120">
        <f t="shared" ca="1" si="2"/>
        <v>4</v>
      </c>
      <c r="I38" s="69">
        <f t="shared" ca="1" si="6"/>
        <v>23</v>
      </c>
      <c r="J38" s="70"/>
    </row>
    <row r="39" spans="1:10" ht="16.8">
      <c r="A39" s="104" t="s">
        <v>67</v>
      </c>
      <c r="B39" s="45">
        <v>0</v>
      </c>
      <c r="C39" s="105" t="s">
        <v>262</v>
      </c>
      <c r="D39" s="106" t="str">
        <f>VLOOKUP(C39,'Personal File'!$A$12:$C$17,3,FALSE)</f>
        <v>+2</v>
      </c>
      <c r="E39" s="107" t="str">
        <f t="shared" si="0"/>
        <v>Wis (+2)</v>
      </c>
      <c r="F39" s="400" t="s">
        <v>49</v>
      </c>
      <c r="G39" s="46">
        <f t="shared" si="4"/>
        <v>2</v>
      </c>
      <c r="H39" s="120">
        <f t="shared" ca="1" si="2"/>
        <v>5</v>
      </c>
      <c r="I39" s="46">
        <f t="shared" ca="1" si="6"/>
        <v>7</v>
      </c>
      <c r="J39" s="47"/>
    </row>
    <row r="40" spans="1:10" ht="16.8">
      <c r="A40" s="108" t="s">
        <v>13</v>
      </c>
      <c r="B40" s="45">
        <v>0</v>
      </c>
      <c r="C40" s="109" t="s">
        <v>265</v>
      </c>
      <c r="D40" s="110">
        <f>VLOOKUP(C40,'Personal File'!$A$12:$C$17,3,FALSE)</f>
        <v>-1</v>
      </c>
      <c r="E40" s="111" t="str">
        <f t="shared" si="0"/>
        <v>Str (-1)</v>
      </c>
      <c r="F40" s="400" t="s">
        <v>49</v>
      </c>
      <c r="G40" s="46">
        <f t="shared" si="4"/>
        <v>-1</v>
      </c>
      <c r="H40" s="120">
        <f t="shared" ca="1" si="2"/>
        <v>11</v>
      </c>
      <c r="I40" s="46">
        <f t="shared" ca="1" si="6"/>
        <v>10</v>
      </c>
      <c r="J40" s="47"/>
    </row>
    <row r="41" spans="1:10" ht="16.8">
      <c r="A41" s="79" t="s">
        <v>45</v>
      </c>
      <c r="B41" s="66">
        <v>5</v>
      </c>
      <c r="C41" s="80" t="s">
        <v>261</v>
      </c>
      <c r="D41" s="81" t="str">
        <f>VLOOKUP(C41,'Personal File'!$A$12:$C$17,3,FALSE)</f>
        <v>+3</v>
      </c>
      <c r="E41" s="82" t="str">
        <f t="shared" si="0"/>
        <v>Dex (+3)</v>
      </c>
      <c r="F41" s="403">
        <f>2+2</f>
        <v>4</v>
      </c>
      <c r="G41" s="69">
        <f t="shared" si="4"/>
        <v>12</v>
      </c>
      <c r="H41" s="120">
        <f t="shared" ca="1" si="2"/>
        <v>2</v>
      </c>
      <c r="I41" s="69">
        <f t="shared" ca="1" si="6"/>
        <v>14</v>
      </c>
      <c r="J41" s="70"/>
    </row>
    <row r="42" spans="1:10" ht="16.8">
      <c r="A42" s="65" t="s">
        <v>46</v>
      </c>
      <c r="B42" s="66">
        <v>17</v>
      </c>
      <c r="C42" s="67" t="s">
        <v>264</v>
      </c>
      <c r="D42" s="68" t="str">
        <f>VLOOKUP(C42,'Personal File'!$A$12:$C$17,3,FALSE)</f>
        <v>+2</v>
      </c>
      <c r="E42" s="73" t="str">
        <f t="shared" si="0"/>
        <v>Cha (+2)</v>
      </c>
      <c r="F42" s="401" t="s">
        <v>49</v>
      </c>
      <c r="G42" s="69">
        <f t="shared" si="4"/>
        <v>19</v>
      </c>
      <c r="H42" s="120">
        <f t="shared" ca="1" si="2"/>
        <v>14</v>
      </c>
      <c r="I42" s="69">
        <f t="shared" ca="1" si="6"/>
        <v>33</v>
      </c>
      <c r="J42" s="70"/>
    </row>
    <row r="43" spans="1:10" ht="17.399999999999999" thickBot="1">
      <c r="A43" s="474" t="s">
        <v>47</v>
      </c>
      <c r="B43" s="475">
        <v>0</v>
      </c>
      <c r="C43" s="476" t="s">
        <v>261</v>
      </c>
      <c r="D43" s="477" t="str">
        <f>VLOOKUP(C43,'Personal File'!$A$12:$C$17,3,FALSE)</f>
        <v>+3</v>
      </c>
      <c r="E43" s="478" t="str">
        <f t="shared" si="0"/>
        <v>Dex (+3)</v>
      </c>
      <c r="F43" s="479" t="s">
        <v>77</v>
      </c>
      <c r="G43" s="480">
        <f t="shared" si="4"/>
        <v>5</v>
      </c>
      <c r="H43" s="139">
        <f t="shared" ca="1" si="2"/>
        <v>9</v>
      </c>
      <c r="I43" s="480">
        <f t="shared" ca="1" si="6"/>
        <v>14</v>
      </c>
      <c r="J43" s="481"/>
    </row>
    <row r="44" spans="1:10" ht="16.2" thickTop="1">
      <c r="B44" s="44">
        <f>SUM(B6:B43)</f>
        <v>178</v>
      </c>
      <c r="E44" s="232">
        <f>SUM(E45:E62)</f>
        <v>178</v>
      </c>
    </row>
    <row r="45" spans="1:10">
      <c r="B45" s="44"/>
      <c r="E45" s="231">
        <f>4*(8+'Personal File'!$C$15)</f>
        <v>40</v>
      </c>
      <c r="F45" s="112" t="s">
        <v>87</v>
      </c>
    </row>
    <row r="46" spans="1:10">
      <c r="E46" s="233">
        <f>8+'Personal File'!$C$15</f>
        <v>10</v>
      </c>
      <c r="F46" s="112" t="s">
        <v>88</v>
      </c>
    </row>
    <row r="47" spans="1:10">
      <c r="E47" s="233">
        <f>8+'Personal File'!$C$15</f>
        <v>10</v>
      </c>
      <c r="F47" s="112" t="s">
        <v>92</v>
      </c>
    </row>
    <row r="48" spans="1:10">
      <c r="E48" s="233">
        <f>8+'Personal File'!$C$15</f>
        <v>10</v>
      </c>
      <c r="F48" s="112" t="s">
        <v>129</v>
      </c>
    </row>
    <row r="49" spans="5:6">
      <c r="E49" s="231">
        <f>6+'Personal File'!$C$15</f>
        <v>8</v>
      </c>
      <c r="F49" s="112" t="s">
        <v>149</v>
      </c>
    </row>
    <row r="50" spans="5:6">
      <c r="E50" s="231">
        <f>6+'Personal File'!$C$15</f>
        <v>8</v>
      </c>
      <c r="F50" s="112" t="s">
        <v>150</v>
      </c>
    </row>
    <row r="51" spans="5:6">
      <c r="E51" s="231">
        <f>6+'Personal File'!$C$15</f>
        <v>8</v>
      </c>
      <c r="F51" s="112" t="s">
        <v>173</v>
      </c>
    </row>
    <row r="52" spans="5:6">
      <c r="E52" s="233">
        <f>8+'Personal File'!$C$15</f>
        <v>10</v>
      </c>
      <c r="F52" s="112" t="s">
        <v>175</v>
      </c>
    </row>
    <row r="53" spans="5:6">
      <c r="E53" s="231">
        <f>6+'Personal File'!$C$15</f>
        <v>8</v>
      </c>
      <c r="F53" s="112" t="s">
        <v>184</v>
      </c>
    </row>
    <row r="54" spans="5:6">
      <c r="E54" s="231">
        <f>6+'Personal File'!$C$15</f>
        <v>8</v>
      </c>
      <c r="F54" s="112" t="s">
        <v>317</v>
      </c>
    </row>
    <row r="55" spans="5:6">
      <c r="E55" s="233">
        <f>8+'Personal File'!$C$15</f>
        <v>10</v>
      </c>
      <c r="F55" s="112" t="s">
        <v>207</v>
      </c>
    </row>
    <row r="56" spans="5:6">
      <c r="E56" s="233">
        <f>8+'Personal File'!$C$15</f>
        <v>10</v>
      </c>
      <c r="F56" s="112" t="s">
        <v>218</v>
      </c>
    </row>
    <row r="57" spans="5:6">
      <c r="E57" s="233">
        <f>8+'Personal File'!$C$15</f>
        <v>10</v>
      </c>
      <c r="F57" s="112" t="s">
        <v>288</v>
      </c>
    </row>
    <row r="58" spans="5:6">
      <c r="E58" s="233">
        <f>8+'Personal File'!$C$15</f>
        <v>10</v>
      </c>
      <c r="F58" s="112" t="s">
        <v>292</v>
      </c>
    </row>
    <row r="59" spans="5:6">
      <c r="E59" s="233">
        <f>2+'Personal File'!$C$15</f>
        <v>4</v>
      </c>
      <c r="F59" s="112" t="s">
        <v>304</v>
      </c>
    </row>
    <row r="60" spans="5:6">
      <c r="E60" s="233">
        <f>8+'Personal File'!$C$15</f>
        <v>10</v>
      </c>
      <c r="F60" s="112" t="s">
        <v>324</v>
      </c>
    </row>
    <row r="61" spans="5:6">
      <c r="E61" s="233">
        <f>2+'Personal File'!$C$15</f>
        <v>4</v>
      </c>
      <c r="F61" s="112" t="s">
        <v>304</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showGridLines="0" zoomScaleNormal="100" workbookViewId="0"/>
  </sheetViews>
  <sheetFormatPr defaultColWidth="13" defaultRowHeight="15.6"/>
  <cols>
    <col min="1" max="1" width="17.19921875" style="512" bestFit="1" customWidth="1"/>
    <col min="2" max="2" width="6.796875" style="512" bestFit="1" customWidth="1"/>
    <col min="3" max="3" width="5" style="513" bestFit="1" customWidth="1"/>
    <col min="4" max="4" width="11.296875" style="513" bestFit="1" customWidth="1"/>
    <col min="5" max="5" width="7.296875" style="513" bestFit="1" customWidth="1"/>
    <col min="6" max="6" width="8.3984375" style="513" bestFit="1" customWidth="1"/>
    <col min="7" max="7" width="9.296875" style="513" bestFit="1" customWidth="1"/>
    <col min="8" max="8" width="27.09765625" style="512" bestFit="1" customWidth="1"/>
    <col min="9" max="16384" width="13" style="502"/>
  </cols>
  <sheetData>
    <row r="1" spans="1:8" ht="23.4" thickBot="1">
      <c r="A1" s="500" t="s">
        <v>307</v>
      </c>
      <c r="B1" s="501"/>
      <c r="C1" s="501"/>
      <c r="D1" s="501"/>
      <c r="E1" s="501"/>
      <c r="F1" s="501"/>
      <c r="G1" s="501"/>
      <c r="H1" s="501"/>
    </row>
    <row r="2" spans="1:8" s="14" customFormat="1" ht="16.8">
      <c r="A2" s="554" t="s">
        <v>344</v>
      </c>
      <c r="B2" s="555" t="s">
        <v>308</v>
      </c>
      <c r="C2" s="555" t="s">
        <v>309</v>
      </c>
      <c r="D2" s="556" t="s">
        <v>345</v>
      </c>
      <c r="E2" s="556" t="s">
        <v>346</v>
      </c>
      <c r="F2" s="555" t="s">
        <v>301</v>
      </c>
      <c r="G2" s="555" t="s">
        <v>300</v>
      </c>
      <c r="H2" s="557" t="s">
        <v>61</v>
      </c>
    </row>
    <row r="3" spans="1:8" s="503" customFormat="1" ht="16.8">
      <c r="A3" s="504" t="s">
        <v>310</v>
      </c>
      <c r="B3" s="505" t="s">
        <v>311</v>
      </c>
      <c r="C3" s="506">
        <v>1</v>
      </c>
      <c r="D3" s="497" t="s">
        <v>341</v>
      </c>
      <c r="E3" s="497" t="s">
        <v>342</v>
      </c>
      <c r="F3" s="496" t="s">
        <v>298</v>
      </c>
      <c r="G3" s="496" t="s">
        <v>296</v>
      </c>
      <c r="H3" s="507" t="s">
        <v>314</v>
      </c>
    </row>
    <row r="4" spans="1:8" s="503" customFormat="1" ht="16.8">
      <c r="A4" s="550" t="s">
        <v>340</v>
      </c>
      <c r="B4" s="551" t="s">
        <v>312</v>
      </c>
      <c r="C4" s="552">
        <v>2</v>
      </c>
      <c r="D4" s="497" t="s">
        <v>341</v>
      </c>
      <c r="E4" s="497" t="s">
        <v>342</v>
      </c>
      <c r="F4" s="496" t="s">
        <v>297</v>
      </c>
      <c r="G4" s="496" t="s">
        <v>299</v>
      </c>
      <c r="H4" s="553" t="s">
        <v>343</v>
      </c>
    </row>
    <row r="5" spans="1:8" s="503" customFormat="1" ht="17.399999999999999" thickBot="1">
      <c r="A5" s="515" t="s">
        <v>306</v>
      </c>
      <c r="B5" s="516" t="s">
        <v>312</v>
      </c>
      <c r="C5" s="517">
        <v>2</v>
      </c>
      <c r="D5" s="518" t="s">
        <v>341</v>
      </c>
      <c r="E5" s="518" t="s">
        <v>342</v>
      </c>
      <c r="F5" s="519" t="s">
        <v>297</v>
      </c>
      <c r="G5" s="519" t="s">
        <v>299</v>
      </c>
      <c r="H5" s="520" t="s">
        <v>313</v>
      </c>
    </row>
    <row r="6" spans="1:8" ht="17.399999999999999" thickTop="1">
      <c r="A6" s="508"/>
      <c r="B6" s="509"/>
      <c r="C6" s="510"/>
      <c r="D6" s="510"/>
      <c r="E6" s="510"/>
      <c r="F6" s="510"/>
      <c r="G6" s="510"/>
      <c r="H6" s="511"/>
    </row>
    <row r="7" spans="1:8">
      <c r="A7" s="502"/>
      <c r="B7" s="502"/>
      <c r="C7" s="502"/>
      <c r="D7" s="502"/>
      <c r="E7" s="502"/>
      <c r="F7" s="502"/>
      <c r="G7" s="502"/>
      <c r="H7" s="502"/>
    </row>
    <row r="8" spans="1:8">
      <c r="A8" s="502"/>
      <c r="B8" s="502"/>
      <c r="C8" s="502"/>
      <c r="D8" s="502"/>
      <c r="E8" s="502"/>
      <c r="F8" s="502"/>
      <c r="G8" s="502"/>
      <c r="H8" s="502"/>
    </row>
    <row r="9" spans="1:8">
      <c r="A9" s="502"/>
      <c r="B9" s="502"/>
      <c r="C9" s="502"/>
      <c r="D9" s="502"/>
      <c r="E9" s="502"/>
      <c r="F9" s="502"/>
      <c r="G9" s="502"/>
      <c r="H9" s="502"/>
    </row>
    <row r="10" spans="1:8">
      <c r="A10" s="502"/>
      <c r="B10" s="502"/>
      <c r="C10" s="502"/>
      <c r="D10" s="502"/>
      <c r="E10" s="502"/>
      <c r="F10" s="502"/>
      <c r="G10" s="502"/>
      <c r="H10" s="502"/>
    </row>
    <row r="11" spans="1:8">
      <c r="A11" s="502"/>
      <c r="B11" s="502"/>
      <c r="C11" s="502"/>
      <c r="D11" s="502"/>
      <c r="E11" s="502"/>
      <c r="F11" s="502"/>
      <c r="G11" s="502"/>
      <c r="H11" s="502"/>
    </row>
    <row r="12" spans="1:8">
      <c r="A12" s="502"/>
      <c r="B12" s="502"/>
      <c r="C12" s="502"/>
      <c r="D12" s="502"/>
      <c r="E12" s="502"/>
      <c r="F12" s="502"/>
      <c r="G12" s="502"/>
      <c r="H12" s="502"/>
    </row>
    <row r="13" spans="1:8">
      <c r="A13" s="502"/>
      <c r="B13" s="502"/>
      <c r="C13" s="502"/>
      <c r="D13" s="502"/>
      <c r="E13" s="502"/>
      <c r="F13" s="502"/>
      <c r="G13" s="502"/>
      <c r="H13" s="502"/>
    </row>
    <row r="14" spans="1:8">
      <c r="A14" s="502"/>
      <c r="B14" s="502"/>
      <c r="C14" s="502"/>
      <c r="D14" s="502"/>
      <c r="E14" s="502"/>
      <c r="F14" s="502"/>
      <c r="G14" s="502"/>
      <c r="H14" s="502"/>
    </row>
    <row r="15" spans="1:8">
      <c r="A15" s="502"/>
      <c r="B15" s="502"/>
      <c r="C15" s="502"/>
      <c r="D15" s="502"/>
      <c r="E15" s="502"/>
      <c r="F15" s="502"/>
      <c r="G15" s="502"/>
      <c r="H15" s="502"/>
    </row>
    <row r="16" spans="1:8">
      <c r="A16" s="502"/>
      <c r="B16" s="502"/>
      <c r="C16" s="502"/>
      <c r="D16" s="502"/>
      <c r="E16" s="502"/>
      <c r="F16" s="502"/>
      <c r="G16" s="502"/>
      <c r="H16" s="502"/>
    </row>
    <row r="17" spans="1:8">
      <c r="A17" s="502"/>
      <c r="B17" s="502"/>
      <c r="C17" s="502"/>
      <c r="D17" s="502"/>
      <c r="E17" s="502"/>
      <c r="F17" s="502"/>
      <c r="G17" s="502"/>
      <c r="H17" s="502"/>
    </row>
    <row r="18" spans="1:8">
      <c r="A18" s="502"/>
      <c r="B18" s="502"/>
      <c r="C18" s="502"/>
      <c r="D18" s="502"/>
      <c r="E18" s="502"/>
      <c r="F18" s="502"/>
      <c r="G18" s="502"/>
      <c r="H18" s="502"/>
    </row>
    <row r="19" spans="1:8">
      <c r="A19" s="502"/>
      <c r="B19" s="502"/>
      <c r="C19" s="502"/>
      <c r="D19" s="502"/>
      <c r="E19" s="502"/>
      <c r="F19" s="502"/>
      <c r="G19" s="502"/>
    </row>
    <row r="20" spans="1:8">
      <c r="A20" s="502"/>
      <c r="B20" s="502"/>
      <c r="C20" s="502"/>
      <c r="D20" s="502"/>
      <c r="E20" s="502"/>
      <c r="F20" s="502"/>
      <c r="G20" s="502"/>
    </row>
    <row r="21" spans="1:8">
      <c r="A21" s="502"/>
      <c r="B21" s="502"/>
      <c r="C21" s="502"/>
      <c r="D21" s="502"/>
      <c r="E21" s="502"/>
      <c r="F21" s="502"/>
      <c r="G21" s="502"/>
    </row>
    <row r="22" spans="1:8">
      <c r="A22" s="502"/>
      <c r="B22" s="502"/>
      <c r="C22" s="502"/>
    </row>
    <row r="23" spans="1:8">
      <c r="A23" s="502"/>
      <c r="B23" s="502"/>
      <c r="C23" s="502"/>
    </row>
    <row r="24" spans="1:8">
      <c r="A24" s="502"/>
      <c r="B24" s="502"/>
      <c r="C24" s="502"/>
    </row>
    <row r="25" spans="1:8">
      <c r="A25" s="502"/>
      <c r="B25" s="502"/>
      <c r="C25" s="502"/>
    </row>
  </sheetData>
  <printOptions gridLinesSet="0"/>
  <pageMargins left="0.62" right="0.33" top="0.5" bottom="0.63" header="0.5" footer="0.5"/>
  <pageSetup orientation="portrait" horizontalDpi="120" verticalDpi="144"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7"/>
  <sheetViews>
    <sheetView showGridLines="0" workbookViewId="0"/>
  </sheetViews>
  <sheetFormatPr defaultColWidth="8.69921875" defaultRowHeight="16.8"/>
  <cols>
    <col min="1" max="1" width="41.8984375" style="93" bestFit="1" customWidth="1"/>
    <col min="2" max="2" width="2.19921875" style="94" customWidth="1"/>
    <col min="3" max="3" width="15.8984375" style="405" bestFit="1" customWidth="1"/>
    <col min="4" max="4" width="13.19921875" style="405" bestFit="1" customWidth="1"/>
    <col min="5" max="5" width="9.296875" style="405" bestFit="1" customWidth="1"/>
    <col min="6" max="6" width="12.296875" style="405" bestFit="1" customWidth="1"/>
    <col min="7" max="7" width="11.69921875" style="405" bestFit="1" customWidth="1"/>
    <col min="8" max="16384" width="8.69921875" style="91"/>
  </cols>
  <sheetData>
    <row r="1" spans="1:7" ht="22.2" thickTop="1" thickBot="1">
      <c r="A1" s="306" t="s">
        <v>71</v>
      </c>
      <c r="B1" s="91"/>
      <c r="C1" s="440" t="s">
        <v>145</v>
      </c>
      <c r="D1" s="441" t="s">
        <v>229</v>
      </c>
      <c r="E1" s="442" t="s">
        <v>235</v>
      </c>
      <c r="F1" s="442" t="s">
        <v>236</v>
      </c>
      <c r="G1" s="443" t="s">
        <v>227</v>
      </c>
    </row>
    <row r="2" spans="1:7">
      <c r="A2" s="114" t="s">
        <v>169</v>
      </c>
      <c r="B2" s="91"/>
      <c r="C2" s="420" t="s">
        <v>230</v>
      </c>
      <c r="D2" s="421">
        <v>15</v>
      </c>
      <c r="E2" s="422" t="s">
        <v>237</v>
      </c>
      <c r="F2" s="422" t="s">
        <v>237</v>
      </c>
      <c r="G2" s="438" t="s">
        <v>237</v>
      </c>
    </row>
    <row r="3" spans="1:7">
      <c r="A3" s="114" t="s">
        <v>170</v>
      </c>
      <c r="B3" s="91"/>
      <c r="C3" s="420" t="s">
        <v>231</v>
      </c>
      <c r="D3" s="421">
        <v>15</v>
      </c>
      <c r="E3" s="422" t="s">
        <v>237</v>
      </c>
      <c r="F3" s="422" t="s">
        <v>237</v>
      </c>
      <c r="G3" s="438" t="s">
        <v>237</v>
      </c>
    </row>
    <row r="4" spans="1:7">
      <c r="A4" s="365" t="s">
        <v>247</v>
      </c>
      <c r="B4" s="91"/>
      <c r="C4" s="413" t="s">
        <v>146</v>
      </c>
      <c r="D4" s="411">
        <v>15</v>
      </c>
      <c r="E4" s="407" t="s">
        <v>237</v>
      </c>
      <c r="F4" s="407" t="s">
        <v>237</v>
      </c>
      <c r="G4" s="439" t="s">
        <v>237</v>
      </c>
    </row>
    <row r="5" spans="1:7">
      <c r="A5" s="365" t="s">
        <v>289</v>
      </c>
      <c r="B5" s="91"/>
      <c r="C5" s="413" t="s">
        <v>195</v>
      </c>
      <c r="D5" s="411">
        <v>15</v>
      </c>
      <c r="E5" s="407" t="s">
        <v>237</v>
      </c>
      <c r="F5" s="407" t="s">
        <v>237</v>
      </c>
      <c r="G5" s="439" t="s">
        <v>237</v>
      </c>
    </row>
    <row r="6" spans="1:7">
      <c r="A6" s="114" t="s">
        <v>171</v>
      </c>
      <c r="B6" s="91"/>
      <c r="C6" s="420" t="s">
        <v>228</v>
      </c>
      <c r="D6" s="421">
        <v>15</v>
      </c>
      <c r="E6" s="422" t="s">
        <v>237</v>
      </c>
      <c r="F6" s="422" t="s">
        <v>237</v>
      </c>
      <c r="G6" s="438" t="s">
        <v>237</v>
      </c>
    </row>
    <row r="7" spans="1:7">
      <c r="A7" s="390" t="s">
        <v>185</v>
      </c>
      <c r="B7" s="91"/>
      <c r="C7" s="420" t="s">
        <v>232</v>
      </c>
      <c r="D7" s="421">
        <v>17</v>
      </c>
      <c r="E7" s="422" t="s">
        <v>237</v>
      </c>
      <c r="F7" s="422" t="s">
        <v>237</v>
      </c>
      <c r="G7" s="438" t="s">
        <v>237</v>
      </c>
    </row>
    <row r="8" spans="1:7">
      <c r="A8" s="499" t="s">
        <v>217</v>
      </c>
      <c r="B8" s="91"/>
      <c r="C8" s="420" t="s">
        <v>233</v>
      </c>
      <c r="D8" s="421">
        <v>17</v>
      </c>
      <c r="E8" s="422" t="s">
        <v>237</v>
      </c>
      <c r="F8" s="422" t="s">
        <v>237</v>
      </c>
      <c r="G8" s="438" t="s">
        <v>237</v>
      </c>
    </row>
    <row r="9" spans="1:7" ht="21" thickBot="1">
      <c r="A9" s="309" t="s">
        <v>305</v>
      </c>
      <c r="B9" s="91"/>
      <c r="C9" s="413" t="s">
        <v>177</v>
      </c>
      <c r="D9" s="411">
        <v>19</v>
      </c>
      <c r="E9" s="407" t="s">
        <v>237</v>
      </c>
      <c r="F9" s="407" t="s">
        <v>237</v>
      </c>
      <c r="G9" s="408" t="s">
        <v>238</v>
      </c>
    </row>
    <row r="10" spans="1:7" ht="21.6" thickTop="1" thickBot="1">
      <c r="B10" s="91"/>
      <c r="C10" s="413" t="s">
        <v>176</v>
      </c>
      <c r="D10" s="411">
        <v>19</v>
      </c>
      <c r="E10" s="407" t="s">
        <v>237</v>
      </c>
      <c r="F10" s="407" t="s">
        <v>237</v>
      </c>
      <c r="G10" s="408" t="s">
        <v>238</v>
      </c>
    </row>
    <row r="11" spans="1:7" ht="22.8" thickTop="1" thickBot="1">
      <c r="A11" s="306" t="s">
        <v>165</v>
      </c>
      <c r="B11" s="91"/>
      <c r="C11" s="413" t="s">
        <v>186</v>
      </c>
      <c r="D11" s="411">
        <v>21</v>
      </c>
      <c r="E11" s="407" t="s">
        <v>237</v>
      </c>
      <c r="F11" s="407" t="s">
        <v>237</v>
      </c>
      <c r="G11" s="408" t="s">
        <v>326</v>
      </c>
    </row>
    <row r="12" spans="1:7" ht="20.399999999999999">
      <c r="A12" s="304" t="s">
        <v>75</v>
      </c>
      <c r="C12" s="420" t="s">
        <v>234</v>
      </c>
      <c r="D12" s="421">
        <v>21</v>
      </c>
      <c r="E12" s="422" t="s">
        <v>237</v>
      </c>
      <c r="F12" s="422" t="s">
        <v>237</v>
      </c>
      <c r="G12" s="423" t="s">
        <v>239</v>
      </c>
    </row>
    <row r="13" spans="1:7" ht="21" thickBot="1">
      <c r="A13" s="92" t="s">
        <v>302</v>
      </c>
      <c r="C13" s="414" t="s">
        <v>194</v>
      </c>
      <c r="D13" s="412">
        <v>23</v>
      </c>
      <c r="E13" s="409" t="s">
        <v>238</v>
      </c>
      <c r="F13" s="409" t="s">
        <v>238</v>
      </c>
      <c r="G13" s="410" t="s">
        <v>325</v>
      </c>
    </row>
    <row r="14" spans="1:7" ht="17.399999999999999" thickTop="1">
      <c r="A14" s="114" t="str">
        <f>CONCATENATE("Trap Sense +",2+2)</f>
        <v>Trap Sense +4</v>
      </c>
      <c r="C14" s="406" t="s">
        <v>237</v>
      </c>
      <c r="D14" s="312" t="s">
        <v>226</v>
      </c>
    </row>
    <row r="15" spans="1:7" ht="17.399999999999999" thickBot="1">
      <c r="A15" s="92" t="s">
        <v>294</v>
      </c>
    </row>
    <row r="16" spans="1:7" ht="22.2" thickTop="1" thickBot="1">
      <c r="A16" s="92" t="s">
        <v>209</v>
      </c>
      <c r="C16" s="436" t="s">
        <v>68</v>
      </c>
      <c r="D16" s="437"/>
      <c r="F16" s="424" t="s">
        <v>57</v>
      </c>
      <c r="G16" s="425"/>
    </row>
    <row r="17" spans="1:7">
      <c r="A17" s="92" t="s">
        <v>287</v>
      </c>
      <c r="C17" s="430" t="s">
        <v>84</v>
      </c>
      <c r="D17" s="431"/>
      <c r="F17" s="426" t="s">
        <v>144</v>
      </c>
      <c r="G17" s="427"/>
    </row>
    <row r="18" spans="1:7" ht="17.399999999999999" thickBot="1">
      <c r="A18" s="114" t="s">
        <v>193</v>
      </c>
      <c r="C18" s="432" t="s">
        <v>127</v>
      </c>
      <c r="D18" s="433"/>
      <c r="F18" s="428" t="s">
        <v>152</v>
      </c>
      <c r="G18" s="429"/>
    </row>
    <row r="19" spans="1:7" ht="18" thickTop="1" thickBot="1">
      <c r="A19" s="114" t="s">
        <v>76</v>
      </c>
      <c r="C19" s="434" t="s">
        <v>89</v>
      </c>
      <c r="D19" s="435"/>
    </row>
    <row r="20" spans="1:7" ht="17.399999999999999" thickTop="1">
      <c r="A20" s="114" t="s">
        <v>172</v>
      </c>
    </row>
    <row r="21" spans="1:7">
      <c r="A21" s="540" t="s">
        <v>329</v>
      </c>
    </row>
    <row r="22" spans="1:7">
      <c r="A22" s="114" t="s">
        <v>333</v>
      </c>
    </row>
    <row r="23" spans="1:7">
      <c r="A23" s="114" t="s">
        <v>187</v>
      </c>
    </row>
    <row r="24" spans="1:7">
      <c r="A24" s="305" t="s">
        <v>143</v>
      </c>
    </row>
    <row r="25" spans="1:7">
      <c r="A25" s="530" t="s">
        <v>327</v>
      </c>
    </row>
    <row r="26" spans="1:7" ht="17.399999999999999" thickBot="1">
      <c r="A26" s="498" t="s">
        <v>196</v>
      </c>
    </row>
    <row r="27" spans="1:7" ht="17.399999999999999" thickTop="1"/>
  </sheetData>
  <sortState xmlns:xlrd2="http://schemas.microsoft.com/office/spreadsheetml/2017/richdata2" ref="C13:G26">
    <sortCondition ref="D13:D26"/>
    <sortCondition ref="C13:C2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7"/>
  <sheetViews>
    <sheetView showGridLines="0" workbookViewId="0"/>
  </sheetViews>
  <sheetFormatPr defaultColWidth="13" defaultRowHeight="15.6"/>
  <cols>
    <col min="1" max="1" width="30.19921875" style="187" bestFit="1" customWidth="1"/>
    <col min="2" max="2" width="8.59765625" style="187" bestFit="1" customWidth="1"/>
    <col min="3" max="3" width="4.3984375" style="187" bestFit="1" customWidth="1"/>
    <col min="4" max="4" width="6.19921875" style="187" bestFit="1" customWidth="1"/>
    <col min="5" max="5" width="8.5" style="187" bestFit="1" customWidth="1"/>
    <col min="6" max="6" width="8.8984375" style="187" bestFit="1" customWidth="1"/>
    <col min="7" max="7" width="4.3984375" style="187" bestFit="1" customWidth="1"/>
    <col min="8" max="8" width="5.59765625" style="187" bestFit="1" customWidth="1"/>
    <col min="9" max="9" width="5.5" style="187" bestFit="1" customWidth="1"/>
    <col min="10" max="10" width="6.19921875" style="187" bestFit="1" customWidth="1"/>
    <col min="11" max="11" width="18" style="187" bestFit="1" customWidth="1"/>
    <col min="12" max="12" width="3" style="180" customWidth="1"/>
    <col min="13" max="13" width="8.796875" style="180" bestFit="1" customWidth="1"/>
    <col min="14" max="14" width="8.8984375" style="180" bestFit="1" customWidth="1"/>
    <col min="15" max="16384" width="13" style="180"/>
  </cols>
  <sheetData>
    <row r="1" spans="1:14" ht="23.4" thickBot="1">
      <c r="A1" s="179" t="s">
        <v>14</v>
      </c>
      <c r="B1" s="179"/>
      <c r="C1" s="179"/>
      <c r="D1" s="179"/>
      <c r="E1" s="179"/>
      <c r="F1" s="179"/>
      <c r="G1" s="179"/>
      <c r="H1" s="179"/>
      <c r="I1" s="179"/>
      <c r="J1" s="179"/>
      <c r="K1" s="179"/>
    </row>
    <row r="2" spans="1:14" ht="16.8" thickTop="1" thickBot="1">
      <c r="A2" s="181" t="s">
        <v>0</v>
      </c>
      <c r="B2" s="182" t="s">
        <v>1</v>
      </c>
      <c r="C2" s="182" t="s">
        <v>17</v>
      </c>
      <c r="D2" s="182" t="s">
        <v>18</v>
      </c>
      <c r="E2" s="183" t="s">
        <v>51</v>
      </c>
      <c r="F2" s="182" t="s">
        <v>15</v>
      </c>
      <c r="G2" s="182" t="s">
        <v>19</v>
      </c>
      <c r="H2" s="184" t="s">
        <v>69</v>
      </c>
      <c r="I2" s="185" t="s">
        <v>82</v>
      </c>
      <c r="J2" s="184" t="s">
        <v>62</v>
      </c>
      <c r="K2" s="186" t="s">
        <v>61</v>
      </c>
      <c r="M2" s="235" t="s">
        <v>153</v>
      </c>
    </row>
    <row r="3" spans="1:14">
      <c r="A3" s="339" t="s">
        <v>250</v>
      </c>
      <c r="B3" s="340" t="s">
        <v>116</v>
      </c>
      <c r="C3" s="341">
        <v>1</v>
      </c>
      <c r="D3" s="342" t="s">
        <v>70</v>
      </c>
      <c r="E3" s="342" t="s">
        <v>251</v>
      </c>
      <c r="F3" s="343" t="s">
        <v>111</v>
      </c>
      <c r="G3" s="548">
        <v>2</v>
      </c>
      <c r="H3" s="344" t="str">
        <f>CONCATENATE("+",'Personal File'!$B$9+'Personal File'!$C$13+D3)</f>
        <v>+15</v>
      </c>
      <c r="I3" s="345">
        <f t="shared" ref="I3:I16" ca="1" si="0">RANDBETWEEN(1,20)</f>
        <v>6</v>
      </c>
      <c r="J3" s="346">
        <f t="shared" ref="J3:J10" ca="1" si="1">I3+H3</f>
        <v>21</v>
      </c>
      <c r="K3" s="347" t="s">
        <v>295</v>
      </c>
      <c r="M3" s="236">
        <v>8000</v>
      </c>
      <c r="N3" s="514"/>
    </row>
    <row r="4" spans="1:14">
      <c r="A4" s="348" t="s">
        <v>249</v>
      </c>
      <c r="B4" s="349" t="s">
        <v>116</v>
      </c>
      <c r="C4" s="350">
        <v>1</v>
      </c>
      <c r="D4" s="351" t="s">
        <v>70</v>
      </c>
      <c r="E4" s="351" t="s">
        <v>251</v>
      </c>
      <c r="F4" s="352" t="s">
        <v>111</v>
      </c>
      <c r="G4" s="383" t="s">
        <v>138</v>
      </c>
      <c r="H4" s="353" t="str">
        <f>CONCATENATE("+",H3-5)</f>
        <v>+10</v>
      </c>
      <c r="I4" s="354">
        <f t="shared" ca="1" si="0"/>
        <v>9</v>
      </c>
      <c r="J4" s="355">
        <f t="shared" ref="J4:J5" ca="1" si="2">I4+H4</f>
        <v>19</v>
      </c>
      <c r="K4" s="329" t="s">
        <v>188</v>
      </c>
      <c r="M4" s="384" t="s">
        <v>138</v>
      </c>
    </row>
    <row r="5" spans="1:14">
      <c r="A5" s="348" t="s">
        <v>248</v>
      </c>
      <c r="B5" s="349" t="s">
        <v>116</v>
      </c>
      <c r="C5" s="350">
        <v>1</v>
      </c>
      <c r="D5" s="351" t="s">
        <v>70</v>
      </c>
      <c r="E5" s="351" t="s">
        <v>251</v>
      </c>
      <c r="F5" s="352" t="s">
        <v>111</v>
      </c>
      <c r="G5" s="383" t="s">
        <v>138</v>
      </c>
      <c r="H5" s="353" t="str">
        <f>CONCATENATE("+",'Personal File'!$B$9+'Personal File'!$C$13+D5)</f>
        <v>+15</v>
      </c>
      <c r="I5" s="327">
        <f t="shared" ca="1" si="0"/>
        <v>11</v>
      </c>
      <c r="J5" s="328">
        <f t="shared" ca="1" si="2"/>
        <v>26</v>
      </c>
      <c r="K5" s="329" t="s">
        <v>188</v>
      </c>
      <c r="M5" s="384" t="s">
        <v>138</v>
      </c>
    </row>
    <row r="6" spans="1:14">
      <c r="A6" s="321" t="s">
        <v>204</v>
      </c>
      <c r="B6" s="366" t="s">
        <v>138</v>
      </c>
      <c r="C6" s="444" t="s">
        <v>116</v>
      </c>
      <c r="D6" s="367" t="s">
        <v>138</v>
      </c>
      <c r="E6" s="367" t="s">
        <v>138</v>
      </c>
      <c r="F6" s="368" t="s">
        <v>138</v>
      </c>
      <c r="G6" s="338" t="s">
        <v>138</v>
      </c>
      <c r="H6" s="338" t="s">
        <v>138</v>
      </c>
      <c r="I6" s="445" t="s">
        <v>138</v>
      </c>
      <c r="J6" s="338" t="s">
        <v>138</v>
      </c>
      <c r="K6" s="369"/>
      <c r="M6" s="337">
        <v>3000</v>
      </c>
      <c r="N6" s="514"/>
    </row>
    <row r="7" spans="1:14">
      <c r="A7" s="348" t="s">
        <v>120</v>
      </c>
      <c r="B7" s="349" t="s">
        <v>116</v>
      </c>
      <c r="C7" s="350">
        <v>0</v>
      </c>
      <c r="D7" s="351" t="s">
        <v>70</v>
      </c>
      <c r="E7" s="351" t="s">
        <v>117</v>
      </c>
      <c r="F7" s="352" t="s">
        <v>111</v>
      </c>
      <c r="G7" s="331">
        <v>3</v>
      </c>
      <c r="H7" s="353" t="str">
        <f>CONCATENATE("+",'Personal File'!$B$9+'Personal File'!$C$12+D7)</f>
        <v>+11</v>
      </c>
      <c r="I7" s="354">
        <f t="shared" ca="1" si="0"/>
        <v>14</v>
      </c>
      <c r="J7" s="355">
        <f t="shared" ca="1" si="1"/>
        <v>25</v>
      </c>
      <c r="K7" s="357" t="s">
        <v>137</v>
      </c>
      <c r="M7" s="336">
        <v>300</v>
      </c>
    </row>
    <row r="8" spans="1:14">
      <c r="A8" s="348" t="s">
        <v>201</v>
      </c>
      <c r="B8" s="349" t="s">
        <v>116</v>
      </c>
      <c r="C8" s="350">
        <v>0</v>
      </c>
      <c r="D8" s="351" t="s">
        <v>70</v>
      </c>
      <c r="E8" s="351" t="s">
        <v>117</v>
      </c>
      <c r="F8" s="352" t="s">
        <v>111</v>
      </c>
      <c r="G8" s="383" t="s">
        <v>138</v>
      </c>
      <c r="H8" s="353" t="str">
        <f>CONCATENATE("+",H7-5)</f>
        <v>+6</v>
      </c>
      <c r="I8" s="354">
        <f t="shared" ca="1" si="0"/>
        <v>6</v>
      </c>
      <c r="J8" s="355">
        <f t="shared" ref="J8:J9" ca="1" si="3">I8+H8</f>
        <v>12</v>
      </c>
      <c r="K8" s="357" t="s">
        <v>137</v>
      </c>
      <c r="M8" s="384" t="s">
        <v>138</v>
      </c>
    </row>
    <row r="9" spans="1:14">
      <c r="A9" s="321" t="s">
        <v>213</v>
      </c>
      <c r="B9" s="322" t="s">
        <v>116</v>
      </c>
      <c r="C9" s="323">
        <v>0</v>
      </c>
      <c r="D9" s="324" t="s">
        <v>70</v>
      </c>
      <c r="E9" s="324" t="s">
        <v>117</v>
      </c>
      <c r="F9" s="325" t="s">
        <v>111</v>
      </c>
      <c r="G9" s="338" t="s">
        <v>138</v>
      </c>
      <c r="H9" s="326" t="str">
        <f>CONCATENATE("+",'Personal File'!$B$9+'Personal File'!$C$12+D9)</f>
        <v>+11</v>
      </c>
      <c r="I9" s="327">
        <f t="shared" ca="1" si="0"/>
        <v>6</v>
      </c>
      <c r="J9" s="328">
        <f t="shared" ca="1" si="3"/>
        <v>17</v>
      </c>
      <c r="K9" s="356" t="s">
        <v>137</v>
      </c>
      <c r="M9" s="384" t="s">
        <v>138</v>
      </c>
    </row>
    <row r="10" spans="1:14">
      <c r="A10" s="348" t="s">
        <v>166</v>
      </c>
      <c r="B10" s="349" t="s">
        <v>330</v>
      </c>
      <c r="C10" s="350" t="s">
        <v>49</v>
      </c>
      <c r="D10" s="351" t="s">
        <v>70</v>
      </c>
      <c r="E10" s="351" t="s">
        <v>94</v>
      </c>
      <c r="F10" s="352" t="s">
        <v>95</v>
      </c>
      <c r="G10" s="331">
        <v>0.5</v>
      </c>
      <c r="H10" s="353" t="str">
        <f>CONCATENATE("+",'Personal File'!$B$9+'Personal File'!$C$13+D10)</f>
        <v>+15</v>
      </c>
      <c r="I10" s="354">
        <f t="shared" ca="1" si="0"/>
        <v>4</v>
      </c>
      <c r="J10" s="355">
        <f t="shared" ca="1" si="1"/>
        <v>19</v>
      </c>
      <c r="K10" s="357" t="s">
        <v>188</v>
      </c>
      <c r="M10" s="336">
        <v>300</v>
      </c>
    </row>
    <row r="11" spans="1:14">
      <c r="A11" s="348" t="s">
        <v>202</v>
      </c>
      <c r="B11" s="349" t="s">
        <v>330</v>
      </c>
      <c r="C11" s="350" t="s">
        <v>49</v>
      </c>
      <c r="D11" s="351" t="s">
        <v>70</v>
      </c>
      <c r="E11" s="351" t="s">
        <v>94</v>
      </c>
      <c r="F11" s="352" t="s">
        <v>95</v>
      </c>
      <c r="G11" s="387" t="s">
        <v>138</v>
      </c>
      <c r="H11" s="353" t="str">
        <f>CONCATENATE("+",H10-5)</f>
        <v>+10</v>
      </c>
      <c r="I11" s="354">
        <f t="shared" ca="1" si="0"/>
        <v>10</v>
      </c>
      <c r="J11" s="355">
        <f t="shared" ref="J11:J13" ca="1" si="4">I11+H11</f>
        <v>20</v>
      </c>
      <c r="K11" s="357" t="s">
        <v>188</v>
      </c>
      <c r="M11" s="384" t="s">
        <v>138</v>
      </c>
    </row>
    <row r="12" spans="1:14">
      <c r="A12" s="321" t="s">
        <v>214</v>
      </c>
      <c r="B12" s="322" t="s">
        <v>330</v>
      </c>
      <c r="C12" s="323" t="s">
        <v>49</v>
      </c>
      <c r="D12" s="324" t="s">
        <v>70</v>
      </c>
      <c r="E12" s="324" t="s">
        <v>94</v>
      </c>
      <c r="F12" s="325" t="s">
        <v>95</v>
      </c>
      <c r="G12" s="338" t="s">
        <v>138</v>
      </c>
      <c r="H12" s="326" t="str">
        <f>CONCATENATE("+",'Personal File'!$B$9+'Personal File'!$C$13+D12)</f>
        <v>+15</v>
      </c>
      <c r="I12" s="327">
        <f t="shared" ref="I12:I18" ca="1" si="5">RANDBETWEEN(1,20)</f>
        <v>16</v>
      </c>
      <c r="J12" s="328">
        <f t="shared" ca="1" si="4"/>
        <v>31</v>
      </c>
      <c r="K12" s="356" t="s">
        <v>188</v>
      </c>
      <c r="M12" s="385" t="s">
        <v>138</v>
      </c>
    </row>
    <row r="13" spans="1:14">
      <c r="A13" s="348" t="s">
        <v>96</v>
      </c>
      <c r="B13" s="349" t="s">
        <v>331</v>
      </c>
      <c r="C13" s="350">
        <v>0</v>
      </c>
      <c r="D13" s="351">
        <v>0</v>
      </c>
      <c r="E13" s="351" t="s">
        <v>112</v>
      </c>
      <c r="F13" s="352" t="s">
        <v>113</v>
      </c>
      <c r="G13" s="331">
        <v>1</v>
      </c>
      <c r="H13" s="353" t="str">
        <f>CONCATENATE("+",'Personal File'!$B$9+'Personal File'!$C$13+D13)</f>
        <v>+14</v>
      </c>
      <c r="I13" s="354">
        <f t="shared" ca="1" si="0"/>
        <v>20</v>
      </c>
      <c r="J13" s="355">
        <f t="shared" ca="1" si="4"/>
        <v>34</v>
      </c>
      <c r="K13" s="357" t="s">
        <v>188</v>
      </c>
      <c r="M13" s="336">
        <v>0</v>
      </c>
    </row>
    <row r="14" spans="1:14">
      <c r="A14" s="348" t="s">
        <v>203</v>
      </c>
      <c r="B14" s="349" t="s">
        <v>331</v>
      </c>
      <c r="C14" s="350">
        <v>0</v>
      </c>
      <c r="D14" s="351">
        <v>0</v>
      </c>
      <c r="E14" s="351" t="s">
        <v>112</v>
      </c>
      <c r="F14" s="352" t="s">
        <v>113</v>
      </c>
      <c r="G14" s="387" t="s">
        <v>138</v>
      </c>
      <c r="H14" s="353" t="str">
        <f>CONCATENATE("+",H13-5)</f>
        <v>+9</v>
      </c>
      <c r="I14" s="354">
        <f t="shared" ca="1" si="5"/>
        <v>2</v>
      </c>
      <c r="J14" s="355">
        <f t="shared" ref="J14:J17" ca="1" si="6">I14+H14</f>
        <v>11</v>
      </c>
      <c r="K14" s="357" t="s">
        <v>188</v>
      </c>
      <c r="M14" s="384" t="s">
        <v>138</v>
      </c>
    </row>
    <row r="15" spans="1:14">
      <c r="A15" s="321" t="s">
        <v>215</v>
      </c>
      <c r="B15" s="322" t="s">
        <v>331</v>
      </c>
      <c r="C15" s="323">
        <v>0</v>
      </c>
      <c r="D15" s="324">
        <v>0</v>
      </c>
      <c r="E15" s="324" t="s">
        <v>112</v>
      </c>
      <c r="F15" s="325" t="s">
        <v>113</v>
      </c>
      <c r="G15" s="338" t="s">
        <v>138</v>
      </c>
      <c r="H15" s="326" t="str">
        <f>CONCATENATE("+",'Personal File'!$B$9+'Personal File'!$C$13+D15)</f>
        <v>+14</v>
      </c>
      <c r="I15" s="327">
        <f t="shared" ca="1" si="5"/>
        <v>2</v>
      </c>
      <c r="J15" s="328">
        <f t="shared" ca="1" si="6"/>
        <v>16</v>
      </c>
      <c r="K15" s="356" t="s">
        <v>188</v>
      </c>
      <c r="M15" s="385" t="s">
        <v>138</v>
      </c>
    </row>
    <row r="16" spans="1:14">
      <c r="A16" s="348" t="s">
        <v>212</v>
      </c>
      <c r="B16" s="349" t="s">
        <v>330</v>
      </c>
      <c r="C16" s="350">
        <v>1</v>
      </c>
      <c r="D16" s="351" t="s">
        <v>70</v>
      </c>
      <c r="E16" s="351" t="s">
        <v>94</v>
      </c>
      <c r="F16" s="330" t="s">
        <v>95</v>
      </c>
      <c r="G16" s="331">
        <v>0.5</v>
      </c>
      <c r="H16" s="332" t="str">
        <f>CONCATENATE("+",'Personal File'!$B$9+'Personal File'!$C$13+D16)</f>
        <v>+15</v>
      </c>
      <c r="I16" s="333">
        <f t="shared" ca="1" si="0"/>
        <v>12</v>
      </c>
      <c r="J16" s="334">
        <f t="shared" ca="1" si="6"/>
        <v>27</v>
      </c>
      <c r="K16" s="335" t="s">
        <v>188</v>
      </c>
      <c r="M16" s="336">
        <v>8000</v>
      </c>
      <c r="N16" s="514"/>
    </row>
    <row r="17" spans="1:14">
      <c r="A17" s="348" t="s">
        <v>211</v>
      </c>
      <c r="B17" s="349" t="s">
        <v>330</v>
      </c>
      <c r="C17" s="350">
        <v>1</v>
      </c>
      <c r="D17" s="351" t="s">
        <v>70</v>
      </c>
      <c r="E17" s="351" t="s">
        <v>94</v>
      </c>
      <c r="F17" s="352" t="s">
        <v>95</v>
      </c>
      <c r="G17" s="383" t="s">
        <v>138</v>
      </c>
      <c r="H17" s="353" t="str">
        <f>CONCATENATE("+",H16-5)</f>
        <v>+10</v>
      </c>
      <c r="I17" s="354">
        <f t="shared" ca="1" si="5"/>
        <v>12</v>
      </c>
      <c r="J17" s="355">
        <f t="shared" ca="1" si="6"/>
        <v>22</v>
      </c>
      <c r="K17" s="357" t="s">
        <v>188</v>
      </c>
      <c r="M17" s="384" t="s">
        <v>138</v>
      </c>
    </row>
    <row r="18" spans="1:14" ht="16.2" thickBot="1">
      <c r="A18" s="380" t="s">
        <v>216</v>
      </c>
      <c r="B18" s="358" t="s">
        <v>330</v>
      </c>
      <c r="C18" s="359">
        <v>1</v>
      </c>
      <c r="D18" s="360" t="s">
        <v>70</v>
      </c>
      <c r="E18" s="360" t="s">
        <v>94</v>
      </c>
      <c r="F18" s="361" t="s">
        <v>95</v>
      </c>
      <c r="G18" s="364" t="s">
        <v>138</v>
      </c>
      <c r="H18" s="362" t="str">
        <f>CONCATENATE("+",'Personal File'!$B$9+'Personal File'!$C$13+D18)</f>
        <v>+15</v>
      </c>
      <c r="I18" s="194">
        <f t="shared" ca="1" si="5"/>
        <v>6</v>
      </c>
      <c r="J18" s="363">
        <f t="shared" ref="J18" ca="1" si="7">I18+H18</f>
        <v>21</v>
      </c>
      <c r="K18" s="381" t="s">
        <v>188</v>
      </c>
      <c r="M18" s="386" t="s">
        <v>138</v>
      </c>
    </row>
    <row r="19" spans="1:14" ht="6" customHeight="1" thickTop="1" thickBot="1"/>
    <row r="20" spans="1:14" ht="16.8" thickTop="1" thickBot="1">
      <c r="A20" s="181" t="s">
        <v>3</v>
      </c>
      <c r="B20" s="182" t="s">
        <v>4</v>
      </c>
      <c r="C20" s="182" t="s">
        <v>17</v>
      </c>
      <c r="D20" s="182" t="s">
        <v>18</v>
      </c>
      <c r="E20" s="183" t="s">
        <v>51</v>
      </c>
      <c r="F20" s="182" t="s">
        <v>5</v>
      </c>
      <c r="G20" s="182" t="s">
        <v>19</v>
      </c>
      <c r="H20" s="184" t="s">
        <v>69</v>
      </c>
      <c r="I20" s="185" t="s">
        <v>82</v>
      </c>
      <c r="J20" s="184" t="s">
        <v>62</v>
      </c>
      <c r="K20" s="186" t="s">
        <v>61</v>
      </c>
      <c r="M20" s="235" t="s">
        <v>153</v>
      </c>
    </row>
    <row r="21" spans="1:14">
      <c r="A21" s="532" t="s">
        <v>310</v>
      </c>
      <c r="B21" s="533" t="s">
        <v>116</v>
      </c>
      <c r="C21" s="534" t="s">
        <v>49</v>
      </c>
      <c r="D21" s="534" t="s">
        <v>49</v>
      </c>
      <c r="E21" s="533" t="s">
        <v>112</v>
      </c>
      <c r="F21" s="534" t="s">
        <v>298</v>
      </c>
      <c r="G21" s="535" t="s">
        <v>138</v>
      </c>
      <c r="H21" s="536" t="str">
        <f>CONCATENATE("+",'Personal File'!$B$9+'Personal File'!$C$13+D21)</f>
        <v>+14</v>
      </c>
      <c r="I21" s="354">
        <f ca="1">RANDBETWEEN(1,20)</f>
        <v>7</v>
      </c>
      <c r="J21" s="537">
        <f ca="1">I21+H21</f>
        <v>21</v>
      </c>
      <c r="K21" s="538" t="s">
        <v>221</v>
      </c>
      <c r="M21" s="539" t="s">
        <v>138</v>
      </c>
    </row>
    <row r="22" spans="1:14">
      <c r="A22" s="388" t="s">
        <v>139</v>
      </c>
      <c r="B22" s="296" t="s">
        <v>332</v>
      </c>
      <c r="C22" s="389" t="s">
        <v>70</v>
      </c>
      <c r="D22" s="389" t="s">
        <v>70</v>
      </c>
      <c r="E22" s="296" t="s">
        <v>112</v>
      </c>
      <c r="F22" s="389" t="s">
        <v>135</v>
      </c>
      <c r="G22" s="468">
        <v>0</v>
      </c>
      <c r="H22" s="469" t="str">
        <f>CONCATENATE("+",'Personal File'!$B$9+'Personal File'!$C$13+D22)</f>
        <v>+15</v>
      </c>
      <c r="I22" s="354">
        <f ca="1">RANDBETWEEN(1,20)</f>
        <v>12</v>
      </c>
      <c r="J22" s="470">
        <f ca="1">I22+H22</f>
        <v>27</v>
      </c>
      <c r="K22" s="329" t="s">
        <v>221</v>
      </c>
      <c r="M22" s="303">
        <v>8000</v>
      </c>
      <c r="N22" s="514"/>
    </row>
    <row r="23" spans="1:14">
      <c r="A23" s="388" t="s">
        <v>205</v>
      </c>
      <c r="B23" s="296" t="s">
        <v>332</v>
      </c>
      <c r="C23" s="389" t="s">
        <v>70</v>
      </c>
      <c r="D23" s="389" t="s">
        <v>70</v>
      </c>
      <c r="E23" s="296" t="s">
        <v>112</v>
      </c>
      <c r="F23" s="389" t="s">
        <v>135</v>
      </c>
      <c r="G23" s="383" t="s">
        <v>138</v>
      </c>
      <c r="H23" s="353" t="str">
        <f>CONCATENATE("+",H22-5)</f>
        <v>+10</v>
      </c>
      <c r="I23" s="354">
        <f t="shared" ref="I23:I24" ca="1" si="8">RANDBETWEEN(1,20)</f>
        <v>9</v>
      </c>
      <c r="J23" s="355">
        <f t="shared" ref="J23" ca="1" si="9">I23+H23</f>
        <v>19</v>
      </c>
      <c r="K23" s="329" t="s">
        <v>221</v>
      </c>
      <c r="M23" s="384" t="s">
        <v>138</v>
      </c>
    </row>
    <row r="24" spans="1:14">
      <c r="A24" s="388" t="s">
        <v>255</v>
      </c>
      <c r="B24" s="296" t="s">
        <v>332</v>
      </c>
      <c r="C24" s="389" t="s">
        <v>70</v>
      </c>
      <c r="D24" s="389" t="s">
        <v>70</v>
      </c>
      <c r="E24" s="296" t="s">
        <v>112</v>
      </c>
      <c r="F24" s="389" t="s">
        <v>135</v>
      </c>
      <c r="G24" s="383" t="s">
        <v>138</v>
      </c>
      <c r="H24" s="353" t="str">
        <f>CONCATENATE("+",'Personal File'!$B$9+'Personal File'!$C$13+D24)</f>
        <v>+15</v>
      </c>
      <c r="I24" s="354">
        <f t="shared" ca="1" si="8"/>
        <v>12</v>
      </c>
      <c r="J24" s="355">
        <f t="shared" ref="J24" ca="1" si="10">I24+H24</f>
        <v>27</v>
      </c>
      <c r="K24" s="329" t="s">
        <v>221</v>
      </c>
      <c r="M24" s="384" t="s">
        <v>138</v>
      </c>
    </row>
    <row r="25" spans="1:14">
      <c r="A25" s="450" t="s">
        <v>222</v>
      </c>
      <c r="B25" s="451" t="s">
        <v>138</v>
      </c>
      <c r="C25" s="451" t="s">
        <v>116</v>
      </c>
      <c r="D25" s="452" t="s">
        <v>223</v>
      </c>
      <c r="E25" s="452" t="s">
        <v>224</v>
      </c>
      <c r="F25" s="453" t="s">
        <v>138</v>
      </c>
      <c r="G25" s="454" t="s">
        <v>138</v>
      </c>
      <c r="H25" s="455" t="s">
        <v>138</v>
      </c>
      <c r="I25" s="456" t="s">
        <v>138</v>
      </c>
      <c r="J25" s="455" t="s">
        <v>138</v>
      </c>
      <c r="K25" s="457"/>
      <c r="M25" s="458">
        <v>1000</v>
      </c>
      <c r="N25" s="514"/>
    </row>
    <row r="26" spans="1:14">
      <c r="A26" s="388" t="s">
        <v>253</v>
      </c>
      <c r="B26" s="296">
        <v>1</v>
      </c>
      <c r="C26" s="389" t="s">
        <v>77</v>
      </c>
      <c r="D26" s="389" t="s">
        <v>77</v>
      </c>
      <c r="E26" s="296" t="s">
        <v>112</v>
      </c>
      <c r="F26" s="389" t="s">
        <v>257</v>
      </c>
      <c r="G26" s="468">
        <v>2</v>
      </c>
      <c r="H26" s="469" t="str">
        <f>CONCATENATE("+",'Personal File'!$B$9+'Personal File'!$C$13+D26)</f>
        <v>+16</v>
      </c>
      <c r="I26" s="354">
        <f ca="1">RANDBETWEEN(1,20)</f>
        <v>9</v>
      </c>
      <c r="J26" s="470">
        <f ca="1">I26+H26</f>
        <v>25</v>
      </c>
      <c r="K26" s="329" t="s">
        <v>221</v>
      </c>
      <c r="M26" s="303">
        <v>18000</v>
      </c>
    </row>
    <row r="27" spans="1:14">
      <c r="A27" s="388" t="s">
        <v>254</v>
      </c>
      <c r="B27" s="296">
        <v>1</v>
      </c>
      <c r="C27" s="389" t="s">
        <v>77</v>
      </c>
      <c r="D27" s="389" t="s">
        <v>77</v>
      </c>
      <c r="E27" s="296" t="s">
        <v>112</v>
      </c>
      <c r="F27" s="389" t="s">
        <v>257</v>
      </c>
      <c r="G27" s="383" t="s">
        <v>138</v>
      </c>
      <c r="H27" s="353" t="str">
        <f>CONCATENATE("+",H26-5)</f>
        <v>+11</v>
      </c>
      <c r="I27" s="354">
        <f t="shared" ref="I27:I28" ca="1" si="11">RANDBETWEEN(1,20)</f>
        <v>11</v>
      </c>
      <c r="J27" s="355">
        <f t="shared" ref="J27:J28" ca="1" si="12">I27+H27</f>
        <v>22</v>
      </c>
      <c r="K27" s="329" t="s">
        <v>221</v>
      </c>
      <c r="M27" s="384" t="s">
        <v>138</v>
      </c>
    </row>
    <row r="28" spans="1:14">
      <c r="A28" s="459" t="s">
        <v>256</v>
      </c>
      <c r="B28" s="460">
        <v>1</v>
      </c>
      <c r="C28" s="461" t="s">
        <v>77</v>
      </c>
      <c r="D28" s="461" t="s">
        <v>77</v>
      </c>
      <c r="E28" s="460" t="s">
        <v>112</v>
      </c>
      <c r="F28" s="461" t="s">
        <v>257</v>
      </c>
      <c r="G28" s="454" t="s">
        <v>138</v>
      </c>
      <c r="H28" s="465" t="str">
        <f>CONCATENATE("+",'Personal File'!$B$9+'Personal File'!$C$13+D28)</f>
        <v>+16</v>
      </c>
      <c r="I28" s="462">
        <f t="shared" ca="1" si="11"/>
        <v>12</v>
      </c>
      <c r="J28" s="463">
        <f t="shared" ca="1" si="12"/>
        <v>28</v>
      </c>
      <c r="K28" s="466" t="s">
        <v>221</v>
      </c>
      <c r="M28" s="467" t="s">
        <v>138</v>
      </c>
    </row>
    <row r="29" spans="1:14" ht="16.2" thickBot="1">
      <c r="A29" s="189" t="s">
        <v>128</v>
      </c>
      <c r="B29" s="190" t="s">
        <v>138</v>
      </c>
      <c r="C29" s="191" t="s">
        <v>49</v>
      </c>
      <c r="D29" s="191" t="s">
        <v>74</v>
      </c>
      <c r="E29" s="190" t="s">
        <v>138</v>
      </c>
      <c r="F29" s="191" t="s">
        <v>138</v>
      </c>
      <c r="G29" s="192" t="s">
        <v>138</v>
      </c>
      <c r="H29" s="193" t="str">
        <f>CONCATENATE("+",'Personal File'!$B$9+'Personal File'!$C$13+D29)</f>
        <v>+18</v>
      </c>
      <c r="I29" s="194">
        <f ca="1">RANDBETWEEN(1,20)</f>
        <v>7</v>
      </c>
      <c r="J29" s="195">
        <f ca="1">I29+H29</f>
        <v>25</v>
      </c>
      <c r="K29" s="196"/>
      <c r="M29" s="464" t="s">
        <v>138</v>
      </c>
    </row>
    <row r="30" spans="1:14" ht="6" customHeight="1" thickTop="1" thickBot="1">
      <c r="D30" s="197"/>
      <c r="E30" s="197"/>
      <c r="G30" s="198"/>
      <c r="H30" s="198"/>
      <c r="I30" s="198"/>
      <c r="J30" s="198"/>
    </row>
    <row r="31" spans="1:14" ht="16.8" thickTop="1" thickBot="1">
      <c r="A31" s="181" t="s">
        <v>55</v>
      </c>
      <c r="B31" s="182" t="s">
        <v>8</v>
      </c>
      <c r="C31" s="182" t="s">
        <v>22</v>
      </c>
      <c r="D31" s="182" t="s">
        <v>62</v>
      </c>
      <c r="E31" s="182" t="s">
        <v>63</v>
      </c>
      <c r="F31" s="182" t="s">
        <v>64</v>
      </c>
      <c r="G31" s="182" t="s">
        <v>19</v>
      </c>
      <c r="H31" s="199" t="s">
        <v>61</v>
      </c>
      <c r="I31" s="200"/>
      <c r="J31" s="200"/>
      <c r="K31" s="201"/>
      <c r="M31" s="235" t="s">
        <v>153</v>
      </c>
    </row>
    <row r="32" spans="1:14">
      <c r="A32" s="234" t="s">
        <v>210</v>
      </c>
      <c r="B32" s="546" t="s">
        <v>162</v>
      </c>
      <c r="C32" s="202">
        <v>6</v>
      </c>
      <c r="D32" s="188">
        <v>0</v>
      </c>
      <c r="E32" s="203">
        <v>0</v>
      </c>
      <c r="F32" s="204" t="s">
        <v>136</v>
      </c>
      <c r="G32" s="545" t="s">
        <v>336</v>
      </c>
      <c r="H32" s="206"/>
      <c r="I32" s="207"/>
      <c r="J32" s="207"/>
      <c r="K32" s="208"/>
      <c r="M32" s="313">
        <f>3400+500</f>
        <v>3900</v>
      </c>
      <c r="N32" s="514" t="s">
        <v>316</v>
      </c>
    </row>
    <row r="33" spans="1:14">
      <c r="A33" s="294" t="s">
        <v>168</v>
      </c>
      <c r="B33" s="296" t="s">
        <v>138</v>
      </c>
      <c r="C33" s="295" t="s">
        <v>138</v>
      </c>
      <c r="D33" s="296" t="s">
        <v>138</v>
      </c>
      <c r="E33" s="297" t="s">
        <v>138</v>
      </c>
      <c r="F33" s="298" t="s">
        <v>138</v>
      </c>
      <c r="G33" s="299">
        <v>2</v>
      </c>
      <c r="H33" s="300"/>
      <c r="I33" s="301"/>
      <c r="J33" s="301"/>
      <c r="K33" s="302"/>
      <c r="M33" s="303">
        <v>5000</v>
      </c>
    </row>
    <row r="34" spans="1:14" ht="16.2" thickBot="1">
      <c r="A34" s="150" t="s">
        <v>197</v>
      </c>
      <c r="B34" s="151" t="s">
        <v>138</v>
      </c>
      <c r="C34" s="239" t="s">
        <v>138</v>
      </c>
      <c r="D34" s="151" t="s">
        <v>138</v>
      </c>
      <c r="E34" s="240" t="s">
        <v>138</v>
      </c>
      <c r="F34" s="241" t="s">
        <v>138</v>
      </c>
      <c r="G34" s="547">
        <v>0</v>
      </c>
      <c r="H34" s="291" t="s">
        <v>198</v>
      </c>
      <c r="I34" s="209"/>
      <c r="J34" s="209"/>
      <c r="K34" s="210"/>
      <c r="M34" s="238">
        <v>4000</v>
      </c>
      <c r="N34" s="514" t="s">
        <v>316</v>
      </c>
    </row>
    <row r="35" spans="1:14" ht="6.75" customHeight="1" thickTop="1" thickBot="1"/>
    <row r="36" spans="1:14" ht="16.8" thickTop="1" thickBot="1">
      <c r="A36" s="211"/>
      <c r="B36" s="198"/>
      <c r="D36" s="212" t="s">
        <v>56</v>
      </c>
      <c r="E36" s="213"/>
      <c r="F36" s="199" t="s">
        <v>2</v>
      </c>
      <c r="G36" s="182" t="s">
        <v>19</v>
      </c>
      <c r="H36" s="184" t="s">
        <v>69</v>
      </c>
      <c r="I36" s="199" t="s">
        <v>61</v>
      </c>
      <c r="J36" s="200"/>
      <c r="K36" s="201"/>
      <c r="M36" s="235" t="s">
        <v>153</v>
      </c>
    </row>
    <row r="37" spans="1:14">
      <c r="A37" s="211"/>
      <c r="B37" s="198"/>
      <c r="D37" s="214" t="s">
        <v>115</v>
      </c>
      <c r="E37" s="215"/>
      <c r="F37" s="216">
        <v>7</v>
      </c>
      <c r="G37" s="205">
        <f t="shared" ref="G37" si="13">F37*0.25</f>
        <v>1.75</v>
      </c>
      <c r="H37" s="217" t="s">
        <v>114</v>
      </c>
      <c r="I37" s="218"/>
      <c r="J37" s="219"/>
      <c r="K37" s="220"/>
      <c r="M37" s="237">
        <v>0</v>
      </c>
    </row>
    <row r="38" spans="1:14" ht="16.2" thickBot="1">
      <c r="A38" s="211"/>
      <c r="B38" s="198"/>
      <c r="D38" s="221" t="s">
        <v>320</v>
      </c>
      <c r="E38" s="222"/>
      <c r="F38" s="223">
        <v>8</v>
      </c>
      <c r="G38" s="224">
        <f>F38*0.05</f>
        <v>0.4</v>
      </c>
      <c r="H38" s="225" t="s">
        <v>114</v>
      </c>
      <c r="I38" s="226"/>
      <c r="J38" s="227"/>
      <c r="K38" s="228"/>
      <c r="M38" s="238">
        <v>0</v>
      </c>
    </row>
    <row r="39" spans="1:14" ht="6" customHeight="1" thickTop="1" thickBot="1"/>
    <row r="40" spans="1:14" ht="16.8" thickTop="1" thickBot="1">
      <c r="D40" s="212" t="s">
        <v>158</v>
      </c>
      <c r="E40" s="200"/>
      <c r="F40" s="200"/>
      <c r="G40" s="200"/>
      <c r="H40" s="280" t="s">
        <v>2</v>
      </c>
      <c r="I40" s="280" t="s">
        <v>159</v>
      </c>
      <c r="J40" s="280" t="s">
        <v>160</v>
      </c>
      <c r="K40" s="201" t="s">
        <v>244</v>
      </c>
      <c r="L40" s="281"/>
      <c r="M40" s="235" t="s">
        <v>153</v>
      </c>
    </row>
    <row r="41" spans="1:14">
      <c r="D41" s="282" t="s">
        <v>242</v>
      </c>
      <c r="E41" s="283"/>
      <c r="F41" s="283"/>
      <c r="G41" s="283"/>
      <c r="H41" s="148">
        <v>1</v>
      </c>
      <c r="I41" s="148">
        <v>4</v>
      </c>
      <c r="J41" s="148">
        <v>8</v>
      </c>
      <c r="K41" s="284" t="s">
        <v>338</v>
      </c>
      <c r="L41" s="281"/>
      <c r="M41" s="237">
        <f>25*H41*I41*J41*LEFT(K41,2)</f>
        <v>25600</v>
      </c>
    </row>
    <row r="42" spans="1:14">
      <c r="D42" s="471" t="s">
        <v>258</v>
      </c>
      <c r="E42" s="472"/>
      <c r="F42" s="472"/>
      <c r="G42" s="472"/>
      <c r="H42" s="322">
        <v>24</v>
      </c>
      <c r="I42" s="322" t="s">
        <v>259</v>
      </c>
      <c r="J42" s="322" t="s">
        <v>259</v>
      </c>
      <c r="K42" s="473" t="s">
        <v>259</v>
      </c>
      <c r="L42" s="281"/>
      <c r="M42" s="237" t="s">
        <v>259</v>
      </c>
    </row>
    <row r="43" spans="1:14">
      <c r="D43" s="285" t="s">
        <v>243</v>
      </c>
      <c r="E43" s="286"/>
      <c r="F43" s="286"/>
      <c r="G43" s="286"/>
      <c r="H43" s="149">
        <v>0</v>
      </c>
      <c r="I43" s="149">
        <v>4</v>
      </c>
      <c r="J43" s="149">
        <v>8</v>
      </c>
      <c r="K43" s="287"/>
      <c r="L43" s="281"/>
      <c r="M43" s="237">
        <f>25*H43*I43*J43</f>
        <v>0</v>
      </c>
    </row>
    <row r="44" spans="1:14">
      <c r="C44" s="521"/>
      <c r="D44" s="415" t="s">
        <v>240</v>
      </c>
      <c r="E44" s="416"/>
      <c r="F44" s="416"/>
      <c r="G44" s="416"/>
      <c r="H44" s="417">
        <v>1</v>
      </c>
      <c r="I44" s="417">
        <v>0</v>
      </c>
      <c r="J44" s="417">
        <v>1</v>
      </c>
      <c r="K44" s="418" t="s">
        <v>246</v>
      </c>
      <c r="L44" s="281"/>
      <c r="M44" s="336">
        <v>460</v>
      </c>
    </row>
    <row r="45" spans="1:14">
      <c r="C45" s="521"/>
      <c r="D45" s="415" t="s">
        <v>337</v>
      </c>
      <c r="E45" s="416"/>
      <c r="F45" s="416"/>
      <c r="G45" s="416"/>
      <c r="H45" s="417">
        <v>1</v>
      </c>
      <c r="I45" s="417">
        <v>2</v>
      </c>
      <c r="J45" s="417">
        <v>3</v>
      </c>
      <c r="K45" s="418"/>
      <c r="L45" s="281"/>
      <c r="M45" s="336">
        <v>4420</v>
      </c>
    </row>
    <row r="46" spans="1:14" ht="16.2" thickBot="1">
      <c r="D46" s="288" t="s">
        <v>241</v>
      </c>
      <c r="E46" s="289"/>
      <c r="F46" s="289"/>
      <c r="G46" s="289"/>
      <c r="H46" s="290">
        <v>1</v>
      </c>
      <c r="I46" s="290">
        <v>1</v>
      </c>
      <c r="J46" s="290">
        <v>1</v>
      </c>
      <c r="K46" s="419" t="s">
        <v>246</v>
      </c>
      <c r="L46" s="281"/>
      <c r="M46" s="238">
        <v>820</v>
      </c>
    </row>
    <row r="47" spans="1:14" ht="16.2" thickTop="1"/>
  </sheetData>
  <phoneticPr fontId="0" type="noConversion"/>
  <conditionalFormatting sqref="I26:I28">
    <cfRule type="cellIs" dxfId="3" priority="5" operator="equal">
      <formula>20</formula>
    </cfRule>
  </conditionalFormatting>
  <conditionalFormatting sqref="I21">
    <cfRule type="cellIs" dxfId="2" priority="2" operator="equal">
      <formula>20</formula>
    </cfRule>
  </conditionalFormatting>
  <conditionalFormatting sqref="I3:I5">
    <cfRule type="cellIs" dxfId="1" priority="1" operator="greaterThanOrEqual">
      <formula>17</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4"/>
  <sheetViews>
    <sheetView showGridLines="0" workbookViewId="0"/>
  </sheetViews>
  <sheetFormatPr defaultColWidth="13" defaultRowHeight="15.6"/>
  <cols>
    <col min="1" max="1" width="23.8984375" style="23" bestFit="1" customWidth="1"/>
    <col min="2" max="2" width="4.5" style="23" bestFit="1" customWidth="1"/>
    <col min="3" max="3" width="5.59765625" style="24" bestFit="1" customWidth="1"/>
    <col min="4" max="5" width="26.59765625" style="1" customWidth="1"/>
    <col min="6" max="6" width="2.8984375" style="23" customWidth="1"/>
    <col min="7" max="7" width="9.296875" style="1" bestFit="1" customWidth="1"/>
    <col min="8" max="16384" width="13" style="1"/>
  </cols>
  <sheetData>
    <row r="1" spans="1:7" ht="23.4" thickBot="1">
      <c r="A1" s="22" t="s">
        <v>58</v>
      </c>
      <c r="B1" s="22"/>
      <c r="C1" s="50"/>
      <c r="D1" s="22"/>
      <c r="E1" s="22"/>
    </row>
    <row r="2" spans="1:7" s="23" customFormat="1" ht="16.8" thickTop="1" thickBot="1">
      <c r="A2" s="51" t="s">
        <v>59</v>
      </c>
      <c r="B2" s="176" t="s">
        <v>2</v>
      </c>
      <c r="C2" s="52" t="s">
        <v>19</v>
      </c>
      <c r="D2" s="53" t="s">
        <v>60</v>
      </c>
      <c r="E2" s="54" t="s">
        <v>61</v>
      </c>
      <c r="G2" s="269" t="s">
        <v>153</v>
      </c>
    </row>
    <row r="3" spans="1:7">
      <c r="A3" s="140" t="s">
        <v>118</v>
      </c>
      <c r="B3" s="172">
        <v>1</v>
      </c>
      <c r="C3" s="62">
        <v>3</v>
      </c>
      <c r="D3" s="141"/>
      <c r="E3" s="61"/>
      <c r="G3" s="270">
        <v>0</v>
      </c>
    </row>
    <row r="4" spans="1:7">
      <c r="A4" s="113" t="s">
        <v>163</v>
      </c>
      <c r="B4" s="172">
        <v>1</v>
      </c>
      <c r="C4" s="71" t="s">
        <v>162</v>
      </c>
      <c r="D4" s="145" t="s">
        <v>164</v>
      </c>
      <c r="E4" s="56"/>
      <c r="G4" s="271">
        <v>500</v>
      </c>
    </row>
    <row r="5" spans="1:7">
      <c r="A5" s="113" t="s">
        <v>189</v>
      </c>
      <c r="B5" s="172">
        <v>1</v>
      </c>
      <c r="C5" s="71">
        <v>1</v>
      </c>
      <c r="D5" s="145"/>
      <c r="E5" s="56"/>
      <c r="G5" s="271">
        <v>2500</v>
      </c>
    </row>
    <row r="6" spans="1:7">
      <c r="A6" s="113" t="s">
        <v>319</v>
      </c>
      <c r="B6" s="172">
        <v>1</v>
      </c>
      <c r="C6" s="71">
        <v>0</v>
      </c>
      <c r="D6" s="145"/>
      <c r="E6" s="56"/>
      <c r="G6" s="271">
        <v>3000</v>
      </c>
    </row>
    <row r="7" spans="1:7">
      <c r="A7" s="522" t="s">
        <v>245</v>
      </c>
      <c r="B7" s="523">
        <v>1</v>
      </c>
      <c r="C7" s="524">
        <v>0</v>
      </c>
      <c r="D7" s="525" t="s">
        <v>322</v>
      </c>
      <c r="E7" s="526"/>
      <c r="F7" s="527"/>
      <c r="G7" s="528" t="s">
        <v>323</v>
      </c>
    </row>
    <row r="8" spans="1:7">
      <c r="A8" s="541" t="s">
        <v>334</v>
      </c>
      <c r="B8" s="542">
        <v>1</v>
      </c>
      <c r="C8" s="396">
        <v>0</v>
      </c>
      <c r="D8" s="543" t="s">
        <v>335</v>
      </c>
      <c r="E8" s="398"/>
      <c r="F8" s="307"/>
      <c r="G8" s="318">
        <v>2300</v>
      </c>
    </row>
    <row r="9" spans="1:7">
      <c r="A9" s="522" t="s">
        <v>190</v>
      </c>
      <c r="B9" s="523">
        <v>1</v>
      </c>
      <c r="C9" s="524">
        <v>0</v>
      </c>
      <c r="D9" s="544" t="s">
        <v>335</v>
      </c>
      <c r="E9" s="549" t="s">
        <v>339</v>
      </c>
      <c r="G9" s="271">
        <v>1500</v>
      </c>
    </row>
    <row r="10" spans="1:7">
      <c r="A10" s="113" t="s">
        <v>161</v>
      </c>
      <c r="B10" s="172">
        <v>1</v>
      </c>
      <c r="C10" s="55">
        <v>0</v>
      </c>
      <c r="D10" s="142"/>
      <c r="E10" s="56"/>
      <c r="G10" s="271">
        <v>500</v>
      </c>
    </row>
    <row r="11" spans="1:7">
      <c r="A11" s="314" t="s">
        <v>200</v>
      </c>
      <c r="B11" s="315">
        <v>1</v>
      </c>
      <c r="C11" s="316">
        <v>0</v>
      </c>
      <c r="D11" s="320"/>
      <c r="E11" s="317"/>
      <c r="G11" s="318">
        <v>2100</v>
      </c>
    </row>
    <row r="12" spans="1:7">
      <c r="A12" s="314" t="s">
        <v>199</v>
      </c>
      <c r="B12" s="315">
        <v>1</v>
      </c>
      <c r="C12" s="316">
        <v>0</v>
      </c>
      <c r="D12" s="319"/>
      <c r="E12" s="317"/>
      <c r="G12" s="318">
        <v>900</v>
      </c>
    </row>
    <row r="13" spans="1:7" ht="16.2" thickBot="1">
      <c r="A13" s="146" t="s">
        <v>179</v>
      </c>
      <c r="B13" s="173">
        <v>1</v>
      </c>
      <c r="C13" s="57">
        <v>0</v>
      </c>
      <c r="D13" s="147"/>
      <c r="E13" s="58"/>
      <c r="G13" s="272">
        <v>3500</v>
      </c>
    </row>
    <row r="14" spans="1:7" ht="24" thickTop="1" thickBot="1">
      <c r="A14" s="22" t="s">
        <v>133</v>
      </c>
      <c r="B14" s="22"/>
      <c r="C14" s="59"/>
      <c r="D14" s="22"/>
      <c r="E14" s="60"/>
    </row>
    <row r="15" spans="1:7" ht="16.8" thickTop="1" thickBot="1">
      <c r="A15" s="51" t="s">
        <v>59</v>
      </c>
      <c r="B15" s="176" t="s">
        <v>2</v>
      </c>
      <c r="C15" s="52" t="s">
        <v>19</v>
      </c>
      <c r="D15" s="53" t="s">
        <v>60</v>
      </c>
      <c r="E15" s="54" t="s">
        <v>61</v>
      </c>
      <c r="G15" s="269" t="s">
        <v>153</v>
      </c>
    </row>
    <row r="16" spans="1:7">
      <c r="A16" s="242" t="s">
        <v>154</v>
      </c>
      <c r="B16" s="243">
        <v>1</v>
      </c>
      <c r="C16" s="244">
        <v>1</v>
      </c>
      <c r="D16" s="245"/>
      <c r="E16" s="246"/>
      <c r="F16" s="74"/>
      <c r="G16" s="270">
        <v>0</v>
      </c>
    </row>
    <row r="17" spans="1:7">
      <c r="A17" s="247" t="s">
        <v>125</v>
      </c>
      <c r="B17" s="243">
        <v>1</v>
      </c>
      <c r="C17" s="244">
        <v>5</v>
      </c>
      <c r="D17" s="245" t="s">
        <v>78</v>
      </c>
      <c r="E17" s="246"/>
      <c r="F17" s="74"/>
      <c r="G17" s="271">
        <v>0</v>
      </c>
    </row>
    <row r="18" spans="1:7">
      <c r="A18" s="247" t="s">
        <v>104</v>
      </c>
      <c r="B18" s="243">
        <v>1</v>
      </c>
      <c r="C18" s="244">
        <v>2.5</v>
      </c>
      <c r="D18" s="245" t="s">
        <v>124</v>
      </c>
      <c r="E18" s="248"/>
      <c r="F18" s="74"/>
      <c r="G18" s="271">
        <v>0</v>
      </c>
    </row>
    <row r="19" spans="1:7">
      <c r="A19" s="260" t="s">
        <v>157</v>
      </c>
      <c r="B19" s="261">
        <v>1</v>
      </c>
      <c r="C19" s="262">
        <v>2</v>
      </c>
      <c r="D19" s="245"/>
      <c r="E19" s="248"/>
      <c r="F19" s="74"/>
      <c r="G19" s="271">
        <v>800</v>
      </c>
    </row>
    <row r="20" spans="1:7">
      <c r="A20" s="260" t="s">
        <v>321</v>
      </c>
      <c r="B20" s="261">
        <v>1</v>
      </c>
      <c r="C20" s="262">
        <v>1</v>
      </c>
      <c r="D20" s="245">
        <v>150</v>
      </c>
      <c r="E20" s="248"/>
      <c r="F20" s="74"/>
      <c r="G20" s="271">
        <v>1400</v>
      </c>
    </row>
    <row r="21" spans="1:7">
      <c r="A21" s="247" t="s">
        <v>130</v>
      </c>
      <c r="B21" s="243">
        <v>1</v>
      </c>
      <c r="C21" s="249">
        <v>2</v>
      </c>
      <c r="D21" s="245" t="s">
        <v>79</v>
      </c>
      <c r="E21" s="248"/>
      <c r="F21" s="74"/>
      <c r="G21" s="271">
        <v>300</v>
      </c>
    </row>
    <row r="22" spans="1:7">
      <c r="A22" s="247" t="s">
        <v>121</v>
      </c>
      <c r="B22" s="243">
        <v>2</v>
      </c>
      <c r="C22" s="249">
        <f>B22/10</f>
        <v>0.2</v>
      </c>
      <c r="D22" s="245"/>
      <c r="E22" s="248"/>
      <c r="F22" s="74"/>
      <c r="G22" s="271">
        <v>0</v>
      </c>
    </row>
    <row r="23" spans="1:7">
      <c r="A23" s="250" t="s">
        <v>122</v>
      </c>
      <c r="B23" s="251">
        <v>1</v>
      </c>
      <c r="C23" s="275">
        <v>1</v>
      </c>
      <c r="D23" s="276" t="s">
        <v>123</v>
      </c>
      <c r="E23" s="254"/>
      <c r="F23" s="74"/>
      <c r="G23" s="278">
        <v>0</v>
      </c>
    </row>
    <row r="24" spans="1:7">
      <c r="A24" s="255" t="s">
        <v>155</v>
      </c>
      <c r="B24" s="256">
        <v>1</v>
      </c>
      <c r="C24" s="273">
        <f>B24*0.5</f>
        <v>0.5</v>
      </c>
      <c r="D24" s="274"/>
      <c r="E24" s="259"/>
      <c r="F24" s="74"/>
      <c r="G24" s="277">
        <v>0</v>
      </c>
    </row>
    <row r="25" spans="1:7">
      <c r="A25" s="247" t="s">
        <v>134</v>
      </c>
      <c r="B25" s="243">
        <v>1</v>
      </c>
      <c r="C25" s="249">
        <v>1</v>
      </c>
      <c r="D25" s="245"/>
      <c r="E25" s="248"/>
      <c r="F25" s="74"/>
      <c r="G25" s="271">
        <v>0</v>
      </c>
    </row>
    <row r="26" spans="1:7">
      <c r="A26" s="247" t="s">
        <v>132</v>
      </c>
      <c r="B26" s="243">
        <v>27</v>
      </c>
      <c r="C26" s="249">
        <f>B26/200</f>
        <v>0.13500000000000001</v>
      </c>
      <c r="D26" s="245"/>
      <c r="E26" s="248"/>
      <c r="F26" s="74"/>
      <c r="G26" s="279">
        <f>B26/100</f>
        <v>0.27</v>
      </c>
    </row>
    <row r="27" spans="1:7">
      <c r="A27" s="250" t="s">
        <v>131</v>
      </c>
      <c r="B27" s="251">
        <v>42</v>
      </c>
      <c r="C27" s="252">
        <f>B27/150</f>
        <v>0.28000000000000003</v>
      </c>
      <c r="D27" s="253"/>
      <c r="E27" s="254"/>
      <c r="F27" s="74"/>
      <c r="G27" s="310">
        <f>B27/20</f>
        <v>2.1</v>
      </c>
    </row>
    <row r="28" spans="1:7">
      <c r="A28" s="255" t="s">
        <v>156</v>
      </c>
      <c r="B28" s="256">
        <v>1</v>
      </c>
      <c r="C28" s="257">
        <f>B28*0.5</f>
        <v>0.5</v>
      </c>
      <c r="D28" s="258"/>
      <c r="E28" s="259"/>
      <c r="F28" s="74"/>
      <c r="G28" s="277">
        <v>0</v>
      </c>
    </row>
    <row r="29" spans="1:7">
      <c r="A29" s="260" t="s">
        <v>106</v>
      </c>
      <c r="B29" s="261">
        <v>1</v>
      </c>
      <c r="C29" s="262">
        <v>2</v>
      </c>
      <c r="D29" s="263"/>
      <c r="E29" s="248"/>
      <c r="F29" s="74"/>
      <c r="G29" s="271">
        <v>0</v>
      </c>
    </row>
    <row r="30" spans="1:7">
      <c r="A30" s="394" t="s">
        <v>220</v>
      </c>
      <c r="B30" s="395">
        <v>1</v>
      </c>
      <c r="C30" s="396">
        <v>0</v>
      </c>
      <c r="D30" s="397"/>
      <c r="E30" s="398"/>
      <c r="F30" s="399"/>
      <c r="G30" s="277" t="s">
        <v>138</v>
      </c>
    </row>
    <row r="31" spans="1:7">
      <c r="A31" s="260" t="s">
        <v>328</v>
      </c>
      <c r="B31" s="261">
        <v>1</v>
      </c>
      <c r="C31" s="531">
        <v>0.02</v>
      </c>
      <c r="D31" s="263"/>
      <c r="E31" s="248"/>
      <c r="F31" s="74"/>
      <c r="G31" s="271" t="s">
        <v>259</v>
      </c>
    </row>
    <row r="32" spans="1:7" ht="16.2" thickBot="1">
      <c r="A32" s="264"/>
      <c r="B32" s="265"/>
      <c r="C32" s="266"/>
      <c r="D32" s="267"/>
      <c r="E32" s="268"/>
      <c r="F32" s="74"/>
      <c r="G32" s="272"/>
    </row>
    <row r="33" spans="1:7" ht="24" thickTop="1" thickBot="1">
      <c r="A33" s="19"/>
      <c r="B33" s="19"/>
      <c r="D33" s="391" t="s">
        <v>219</v>
      </c>
      <c r="E33" s="60"/>
    </row>
    <row r="34" spans="1:7" s="23" customFormat="1" ht="16.8" thickTop="1" thickBot="1">
      <c r="A34" s="51" t="s">
        <v>59</v>
      </c>
      <c r="B34" s="176" t="s">
        <v>2</v>
      </c>
      <c r="C34" s="52" t="s">
        <v>19</v>
      </c>
      <c r="D34" s="486" t="s">
        <v>290</v>
      </c>
      <c r="E34" s="487" t="s">
        <v>61</v>
      </c>
      <c r="G34" s="269" t="s">
        <v>153</v>
      </c>
    </row>
    <row r="35" spans="1:7">
      <c r="A35" s="113" t="s">
        <v>98</v>
      </c>
      <c r="B35" s="172">
        <v>1</v>
      </c>
      <c r="C35" s="71">
        <v>1</v>
      </c>
      <c r="D35" s="488" t="s">
        <v>291</v>
      </c>
      <c r="E35" s="489" t="s">
        <v>97</v>
      </c>
      <c r="G35" s="271">
        <v>100</v>
      </c>
    </row>
    <row r="36" spans="1:7">
      <c r="A36" s="113" t="s">
        <v>90</v>
      </c>
      <c r="B36" s="172">
        <v>1</v>
      </c>
      <c r="C36" s="71">
        <v>5</v>
      </c>
      <c r="D36" s="488" t="s">
        <v>291</v>
      </c>
      <c r="E36" s="489"/>
      <c r="G36" s="271">
        <v>0</v>
      </c>
    </row>
    <row r="37" spans="1:7">
      <c r="A37" s="143" t="s">
        <v>115</v>
      </c>
      <c r="B37" s="174">
        <v>80</v>
      </c>
      <c r="C37" s="55">
        <f>B37*0.25</f>
        <v>20</v>
      </c>
      <c r="D37" s="488" t="s">
        <v>291</v>
      </c>
      <c r="E37" s="489"/>
      <c r="G37" s="271">
        <v>0</v>
      </c>
    </row>
    <row r="38" spans="1:7">
      <c r="A38" s="113" t="s">
        <v>119</v>
      </c>
      <c r="B38" s="172">
        <v>7</v>
      </c>
      <c r="C38" s="55">
        <f>0.5*B38</f>
        <v>3.5</v>
      </c>
      <c r="D38" s="490" t="s">
        <v>291</v>
      </c>
      <c r="E38" s="56"/>
      <c r="G38" s="271">
        <v>0</v>
      </c>
    </row>
    <row r="39" spans="1:7">
      <c r="A39" s="113" t="s">
        <v>99</v>
      </c>
      <c r="B39" s="172">
        <v>1</v>
      </c>
      <c r="C39" s="71">
        <v>4</v>
      </c>
      <c r="D39" s="491" t="s">
        <v>291</v>
      </c>
      <c r="E39" s="56"/>
      <c r="G39" s="271">
        <v>15</v>
      </c>
    </row>
    <row r="40" spans="1:7">
      <c r="A40" s="113" t="s">
        <v>108</v>
      </c>
      <c r="B40" s="172">
        <v>1</v>
      </c>
      <c r="C40" s="71">
        <v>1</v>
      </c>
      <c r="D40" s="492" t="s">
        <v>291</v>
      </c>
      <c r="E40" s="56"/>
      <c r="G40" s="271">
        <v>0</v>
      </c>
    </row>
    <row r="41" spans="1:7">
      <c r="A41" s="113" t="s">
        <v>102</v>
      </c>
      <c r="B41" s="172">
        <v>2</v>
      </c>
      <c r="C41" s="71">
        <v>0</v>
      </c>
      <c r="D41" s="492" t="s">
        <v>291</v>
      </c>
      <c r="E41" s="56"/>
      <c r="G41" s="271">
        <v>0</v>
      </c>
    </row>
    <row r="42" spans="1:7">
      <c r="A42" s="113" t="s">
        <v>101</v>
      </c>
      <c r="B42" s="172">
        <v>2</v>
      </c>
      <c r="C42" s="71">
        <v>0</v>
      </c>
      <c r="D42" s="492" t="s">
        <v>291</v>
      </c>
      <c r="E42" s="56"/>
      <c r="G42" s="271">
        <v>0</v>
      </c>
    </row>
    <row r="43" spans="1:7">
      <c r="A43" s="113" t="s">
        <v>126</v>
      </c>
      <c r="B43" s="172">
        <v>1</v>
      </c>
      <c r="C43" s="71">
        <v>1</v>
      </c>
      <c r="D43" s="492" t="s">
        <v>291</v>
      </c>
      <c r="E43" s="56"/>
      <c r="G43" s="271">
        <v>1</v>
      </c>
    </row>
    <row r="44" spans="1:7">
      <c r="A44" s="113" t="s">
        <v>80</v>
      </c>
      <c r="B44" s="172">
        <v>25</v>
      </c>
      <c r="C44" s="71">
        <v>0</v>
      </c>
      <c r="D44" s="492" t="s">
        <v>291</v>
      </c>
      <c r="E44" s="56"/>
      <c r="G44" s="271">
        <v>0</v>
      </c>
    </row>
    <row r="45" spans="1:7">
      <c r="A45" s="113" t="s">
        <v>91</v>
      </c>
      <c r="B45" s="172">
        <v>50</v>
      </c>
      <c r="C45" s="71">
        <v>0</v>
      </c>
      <c r="D45" s="492" t="s">
        <v>291</v>
      </c>
      <c r="E45" s="56"/>
      <c r="G45" s="271">
        <v>0</v>
      </c>
    </row>
    <row r="46" spans="1:7">
      <c r="A46" s="113" t="s">
        <v>109</v>
      </c>
      <c r="B46" s="172">
        <v>1</v>
      </c>
      <c r="C46" s="71">
        <v>0.25</v>
      </c>
      <c r="D46" s="492" t="s">
        <v>291</v>
      </c>
      <c r="E46" s="56"/>
      <c r="G46" s="271">
        <v>0</v>
      </c>
    </row>
    <row r="47" spans="1:7">
      <c r="A47" s="113" t="s">
        <v>105</v>
      </c>
      <c r="B47" s="172">
        <v>3</v>
      </c>
      <c r="C47" s="71">
        <f>B47*0.5</f>
        <v>1.5</v>
      </c>
      <c r="D47" s="492" t="s">
        <v>291</v>
      </c>
      <c r="E47" s="56"/>
      <c r="G47" s="271">
        <v>0</v>
      </c>
    </row>
    <row r="48" spans="1:7">
      <c r="A48" s="113" t="s">
        <v>81</v>
      </c>
      <c r="B48" s="172">
        <v>1</v>
      </c>
      <c r="C48" s="71">
        <v>1</v>
      </c>
      <c r="D48" s="492" t="s">
        <v>291</v>
      </c>
      <c r="E48" s="56"/>
      <c r="G48" s="271">
        <v>0</v>
      </c>
    </row>
    <row r="49" spans="1:7">
      <c r="A49" s="113" t="s">
        <v>100</v>
      </c>
      <c r="B49" s="172">
        <v>2</v>
      </c>
      <c r="C49" s="71">
        <f>B49/10</f>
        <v>0.2</v>
      </c>
      <c r="D49" s="492" t="s">
        <v>291</v>
      </c>
      <c r="E49" s="56"/>
      <c r="G49" s="271">
        <v>0</v>
      </c>
    </row>
    <row r="50" spans="1:7">
      <c r="A50" s="113" t="s">
        <v>206</v>
      </c>
      <c r="B50" s="172">
        <v>500</v>
      </c>
      <c r="C50" s="71">
        <f>B50/100</f>
        <v>5</v>
      </c>
      <c r="D50" s="492" t="s">
        <v>291</v>
      </c>
      <c r="E50" s="56"/>
      <c r="G50" s="271">
        <f>B50</f>
        <v>500</v>
      </c>
    </row>
    <row r="51" spans="1:7">
      <c r="A51" s="113" t="s">
        <v>110</v>
      </c>
      <c r="B51" s="172">
        <v>7</v>
      </c>
      <c r="C51" s="55">
        <v>0</v>
      </c>
      <c r="D51" s="490" t="s">
        <v>291</v>
      </c>
      <c r="E51" s="56"/>
      <c r="G51" s="271">
        <v>0</v>
      </c>
    </row>
    <row r="52" spans="1:7" ht="16.2" thickBot="1">
      <c r="A52" s="144" t="s">
        <v>107</v>
      </c>
      <c r="B52" s="175">
        <v>1</v>
      </c>
      <c r="C52" s="57">
        <v>0.5</v>
      </c>
      <c r="D52" s="493" t="s">
        <v>291</v>
      </c>
      <c r="E52" s="58"/>
      <c r="G52" s="272">
        <v>0</v>
      </c>
    </row>
    <row r="53" spans="1:7" ht="16.2" thickTop="1"/>
    <row r="54" spans="1:7">
      <c r="E54" s="292" t="s">
        <v>167</v>
      </c>
      <c r="F54" s="281"/>
      <c r="G54" s="293">
        <f>SUM(G3:G52,Martial!M3:M46)</f>
        <v>110718.37</v>
      </c>
    </row>
  </sheetData>
  <sortState xmlns:xlrd2="http://schemas.microsoft.com/office/spreadsheetml/2017/richdata2" ref="A3:E16">
    <sortCondition ref="A3:A16"/>
  </sortState>
  <phoneticPr fontId="0" type="noConversion"/>
  <conditionalFormatting sqref="G54">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Invocations</vt:lpstr>
      <vt:lpstr>Feats</vt:lpstr>
      <vt:lpstr>Martial</vt:lpstr>
      <vt:lpstr>Equipment</vt:lpstr>
      <vt:lpstr>Invocations!Print_Area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2016-11-01T13:04:40Z</cp:lastPrinted>
  <dcterms:created xsi:type="dcterms:W3CDTF">2000-10-24T15:39:59Z</dcterms:created>
  <dcterms:modified xsi:type="dcterms:W3CDTF">2020-10-04T12:15:07Z</dcterms:modified>
</cp:coreProperties>
</file>