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A\Juegos\Armario\DoW\NPCs\"/>
    </mc:Choice>
  </mc:AlternateContent>
  <xr:revisionPtr revIDLastSave="0" documentId="13_ncr:1_{665FCC7F-9BC9-4346-B65E-CFD14144563F}"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File'!$A$1:$H$17</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4" l="1"/>
  <c r="K19" i="6"/>
  <c r="I19" i="6"/>
  <c r="K10" i="6"/>
  <c r="I10" i="6"/>
  <c r="K5" i="6"/>
  <c r="I5" i="6"/>
  <c r="M33" i="6" l="1"/>
  <c r="K20" i="6"/>
  <c r="K18" i="6"/>
  <c r="K17" i="6"/>
  <c r="K3" i="6"/>
  <c r="K4" i="6"/>
  <c r="K6" i="6"/>
  <c r="K8" i="6"/>
  <c r="K9" i="6"/>
  <c r="K11" i="6"/>
  <c r="K12" i="6"/>
  <c r="K13" i="6"/>
  <c r="K14" i="6"/>
  <c r="C3" i="20" l="1"/>
  <c r="H8" i="6" l="1"/>
  <c r="H9" i="6" s="1"/>
  <c r="H10" i="6" s="1"/>
  <c r="J10" i="6" s="1"/>
  <c r="I8" i="6"/>
  <c r="I9" i="6"/>
  <c r="H11" i="6"/>
  <c r="I11" i="6"/>
  <c r="J11" i="6" l="1"/>
  <c r="J8" i="6"/>
  <c r="J9" i="6"/>
  <c r="H6" i="15"/>
  <c r="F14" i="15" l="1"/>
  <c r="F28" i="15" l="1"/>
  <c r="F21" i="15"/>
  <c r="B5" i="15" l="1"/>
  <c r="B4" i="15"/>
  <c r="B3" i="15"/>
  <c r="F23" i="15"/>
  <c r="H11" i="15" l="1"/>
  <c r="H25" i="15"/>
  <c r="F15" i="15" l="1"/>
  <c r="H42" i="15"/>
  <c r="H41" i="15"/>
  <c r="H40" i="15"/>
  <c r="H39" i="15"/>
  <c r="H38" i="15"/>
  <c r="H37" i="15"/>
  <c r="H36" i="15"/>
  <c r="H35" i="15"/>
  <c r="H34" i="15"/>
  <c r="H33" i="15"/>
  <c r="H32" i="15"/>
  <c r="H31" i="15"/>
  <c r="H30" i="15"/>
  <c r="H29" i="15"/>
  <c r="H28" i="15"/>
  <c r="H27" i="15"/>
  <c r="H26" i="15"/>
  <c r="H24" i="15"/>
  <c r="H23" i="15"/>
  <c r="H22" i="15"/>
  <c r="H21" i="15"/>
  <c r="H20" i="15"/>
  <c r="H19" i="15"/>
  <c r="H18" i="15"/>
  <c r="H17" i="15"/>
  <c r="H16" i="15"/>
  <c r="H15" i="15"/>
  <c r="H14" i="15"/>
  <c r="H13" i="15"/>
  <c r="H12" i="15"/>
  <c r="H9" i="15"/>
  <c r="H8" i="15"/>
  <c r="H7" i="15"/>
  <c r="B13" i="4"/>
  <c r="I17" i="6" l="1"/>
  <c r="I18" i="6"/>
  <c r="I20" i="6"/>
  <c r="M32" i="6" l="1"/>
  <c r="M34" i="6"/>
  <c r="I21" i="6" l="1"/>
  <c r="I3" i="6"/>
  <c r="I4" i="6"/>
  <c r="I6" i="6"/>
  <c r="I12" i="6"/>
  <c r="I13" i="6"/>
  <c r="I14" i="6"/>
  <c r="M24" i="6" l="1"/>
  <c r="F29" i="15" l="1"/>
  <c r="G27" i="19" l="1"/>
  <c r="C16" i="19" l="1"/>
  <c r="G28" i="6" l="1"/>
  <c r="E13" i="4" s="1"/>
  <c r="H43" i="15" l="1"/>
  <c r="H10" i="15"/>
  <c r="H5" i="15" l="1"/>
  <c r="H4" i="15"/>
  <c r="H3" i="15"/>
  <c r="C14" i="4" l="1"/>
  <c r="E14" i="4" s="1"/>
  <c r="D3" i="15" l="1"/>
  <c r="E3" i="15" s="1"/>
  <c r="D10" i="15"/>
  <c r="E10" i="15" s="1"/>
  <c r="C12" i="4"/>
  <c r="C13" i="4"/>
  <c r="C15" i="4"/>
  <c r="C16" i="4"/>
  <c r="E15" i="4" s="1"/>
  <c r="C17" i="4"/>
  <c r="E64" i="15" l="1"/>
  <c r="E62" i="15"/>
  <c r="E63" i="15"/>
  <c r="H14" i="6"/>
  <c r="J14" i="6" s="1"/>
  <c r="H12" i="6"/>
  <c r="H13" i="6" s="1"/>
  <c r="H3" i="6"/>
  <c r="H6" i="6"/>
  <c r="J6" i="6" s="1"/>
  <c r="E60" i="15"/>
  <c r="E59" i="15"/>
  <c r="E58" i="15"/>
  <c r="E61" i="15"/>
  <c r="D25" i="15"/>
  <c r="E52" i="15"/>
  <c r="E57" i="15"/>
  <c r="E51" i="15"/>
  <c r="E55" i="15"/>
  <c r="E56" i="15"/>
  <c r="E50" i="15"/>
  <c r="E49" i="15"/>
  <c r="D8" i="15"/>
  <c r="E8" i="15" s="1"/>
  <c r="D15" i="15"/>
  <c r="E15" i="15" s="1"/>
  <c r="D19" i="15"/>
  <c r="E19" i="15" s="1"/>
  <c r="D30" i="15"/>
  <c r="E30" i="15" s="1"/>
  <c r="D42" i="15"/>
  <c r="E42" i="15" s="1"/>
  <c r="D13" i="15"/>
  <c r="E13" i="15" s="1"/>
  <c r="D22" i="15"/>
  <c r="E22" i="15" s="1"/>
  <c r="D18" i="15"/>
  <c r="E18" i="15" s="1"/>
  <c r="D23" i="15"/>
  <c r="E23" i="15" s="1"/>
  <c r="D9" i="15"/>
  <c r="E9" i="15" s="1"/>
  <c r="D40" i="15"/>
  <c r="E40" i="15" s="1"/>
  <c r="G3" i="15"/>
  <c r="I3" i="15" s="1"/>
  <c r="D24" i="15"/>
  <c r="E24" i="15" s="1"/>
  <c r="D36" i="15"/>
  <c r="E36" i="15" s="1"/>
  <c r="D12" i="15"/>
  <c r="E12" i="15" s="1"/>
  <c r="D26" i="15"/>
  <c r="E26" i="15" s="1"/>
  <c r="D37" i="15"/>
  <c r="E37" i="15" s="1"/>
  <c r="D6" i="15"/>
  <c r="E6" i="15" s="1"/>
  <c r="D17" i="15"/>
  <c r="E17" i="15" s="1"/>
  <c r="D33" i="15"/>
  <c r="E33" i="15" s="1"/>
  <c r="D11" i="15"/>
  <c r="E11" i="15" s="1"/>
  <c r="D14" i="15"/>
  <c r="E14" i="15" s="1"/>
  <c r="D7" i="15"/>
  <c r="E7" i="15" s="1"/>
  <c r="D21" i="15"/>
  <c r="E21" i="15" s="1"/>
  <c r="D32" i="15"/>
  <c r="E32" i="15" s="1"/>
  <c r="D43" i="15"/>
  <c r="E43" i="15" s="1"/>
  <c r="D4" i="15"/>
  <c r="E4" i="15" s="1"/>
  <c r="D16" i="15"/>
  <c r="E16" i="15" s="1"/>
  <c r="D28" i="15"/>
  <c r="E28" i="15" s="1"/>
  <c r="D29" i="15"/>
  <c r="E29" i="15" s="1"/>
  <c r="D35" i="15"/>
  <c r="E35" i="15" s="1"/>
  <c r="D41" i="15"/>
  <c r="E41" i="15" s="1"/>
  <c r="H17" i="6"/>
  <c r="H20" i="6"/>
  <c r="J20" i="6" s="1"/>
  <c r="D38" i="15"/>
  <c r="E38" i="15" s="1"/>
  <c r="D31" i="15"/>
  <c r="E31" i="15" s="1"/>
  <c r="D5" i="15"/>
  <c r="E5" i="15" s="1"/>
  <c r="D20" i="15"/>
  <c r="E20" i="15" s="1"/>
  <c r="D34" i="15"/>
  <c r="E34" i="15" s="1"/>
  <c r="D27" i="15"/>
  <c r="E27" i="15" s="1"/>
  <c r="D39" i="15"/>
  <c r="E39" i="15" s="1"/>
  <c r="E54" i="15"/>
  <c r="E53" i="15"/>
  <c r="B11" i="4"/>
  <c r="H21" i="6"/>
  <c r="J21" i="6" s="1"/>
  <c r="E47" i="15"/>
  <c r="E45" i="15"/>
  <c r="E48" i="15"/>
  <c r="E46" i="15"/>
  <c r="E17" i="4"/>
  <c r="E16" i="4" s="1"/>
  <c r="G25" i="15" l="1"/>
  <c r="I25" i="15" s="1"/>
  <c r="E25" i="15"/>
  <c r="J17" i="6"/>
  <c r="H18" i="6"/>
  <c r="G5" i="15"/>
  <c r="I5" i="15" s="1"/>
  <c r="E44" i="15"/>
  <c r="J13" i="6"/>
  <c r="J12" i="6"/>
  <c r="G4" i="15"/>
  <c r="I4" i="15" s="1"/>
  <c r="H4" i="6"/>
  <c r="J3" i="6"/>
  <c r="G26" i="15"/>
  <c r="I26" i="15" s="1"/>
  <c r="J18" i="6" l="1"/>
  <c r="H19" i="6"/>
  <c r="J19" i="6" s="1"/>
  <c r="J4" i="6"/>
  <c r="H5" i="6"/>
  <c r="J5" i="6" s="1"/>
  <c r="G24" i="15"/>
  <c r="B44" i="15"/>
  <c r="I24" i="15" l="1"/>
  <c r="G31" i="15" l="1"/>
  <c r="G11" i="15" l="1"/>
  <c r="G22" i="15"/>
  <c r="G30" i="15"/>
  <c r="G12" i="15"/>
  <c r="G42" i="15"/>
  <c r="G41" i="15"/>
  <c r="G19" i="15"/>
  <c r="G7" i="15"/>
  <c r="G17" i="15"/>
  <c r="G8" i="15"/>
  <c r="G13" i="15"/>
  <c r="G18" i="15"/>
  <c r="G23" i="15"/>
  <c r="G32" i="15"/>
  <c r="G14" i="15"/>
  <c r="G33" i="15"/>
  <c r="G37" i="15"/>
  <c r="G15" i="15"/>
  <c r="G20" i="15"/>
  <c r="G27" i="15"/>
  <c r="G34" i="15"/>
  <c r="G35" i="15"/>
  <c r="G40" i="15"/>
  <c r="G36" i="15"/>
  <c r="G9" i="15"/>
  <c r="G6" i="15"/>
  <c r="G10" i="15"/>
  <c r="G16" i="15"/>
  <c r="G21" i="15"/>
  <c r="G28" i="15"/>
  <c r="G43" i="15"/>
  <c r="G29" i="15"/>
  <c r="G38" i="15"/>
  <c r="G39" i="15"/>
  <c r="I31" i="15"/>
  <c r="I10" i="15" l="1"/>
  <c r="I40" i="15"/>
  <c r="I38" i="15"/>
  <c r="I43" i="15"/>
  <c r="I34" i="15"/>
  <c r="I20" i="15"/>
  <c r="I37" i="15"/>
  <c r="I14" i="15"/>
  <c r="I13" i="15"/>
  <c r="I23" i="15"/>
  <c r="I21" i="15"/>
  <c r="I9" i="15"/>
  <c r="I39" i="15"/>
  <c r="I29" i="15"/>
  <c r="I28" i="15"/>
  <c r="I16" i="15"/>
  <c r="I36" i="15"/>
  <c r="I35" i="15"/>
  <c r="I27" i="15"/>
  <c r="I15" i="15"/>
  <c r="I33" i="15"/>
  <c r="I32" i="15"/>
  <c r="I18" i="15"/>
  <c r="I8" i="15"/>
  <c r="I7" i="15"/>
  <c r="I41" i="15"/>
  <c r="I12" i="15"/>
  <c r="I22" i="15"/>
  <c r="I6" i="15"/>
  <c r="I17" i="15"/>
  <c r="I19" i="15"/>
  <c r="I42" i="15"/>
  <c r="I30" i="15"/>
  <c r="I1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271058B7-8BE4-4DB3-9848-E63334B96C77}">
      <text>
        <r>
          <rPr>
            <sz val="12"/>
            <color indexed="81"/>
            <rFont val="Times New Roman"/>
            <family val="1"/>
          </rPr>
          <t>Chaotic Evil for practical purposes while wearing Intelligent Brooch of Denial</t>
        </r>
      </text>
    </comment>
    <comment ref="E12" authorId="0" shapeId="0" xr:uid="{00000000-0006-0000-0000-000001000000}">
      <text>
        <r>
          <rPr>
            <sz val="12"/>
            <color indexed="81"/>
            <rFont val="Times New Roman"/>
            <family val="1"/>
          </rPr>
          <t>See PHB 162</t>
        </r>
      </text>
    </comment>
    <comment ref="E14" authorId="0" shapeId="0" xr:uid="{00000000-0006-0000-0000-000002000000}">
      <text>
        <r>
          <rPr>
            <sz val="12"/>
            <color indexed="81"/>
            <rFont val="Times New Roman"/>
            <family val="1"/>
          </rPr>
          <t>[(8 * 6 Rogue) * 75%] + 
[(5 * 6 Thief-Acrobat) * 75%] + 
[(4 * 6 Ninja) * 75%] + 
[(3 * 8 Scout) * 75%] + 
(20 * 1 Con)</t>
        </r>
      </text>
    </comment>
    <comment ref="E15" authorId="0" shapeId="0" xr:uid="{00000000-0006-0000-0000-000003000000}">
      <text>
        <r>
          <rPr>
            <sz val="12"/>
            <color indexed="81"/>
            <rFont val="Times New Roman"/>
            <family val="1"/>
          </rPr>
          <t xml:space="preserve">+1 vs. Traps
+2 </t>
        </r>
        <r>
          <rPr>
            <i/>
            <sz val="12"/>
            <color indexed="81"/>
            <rFont val="Times New Roman"/>
            <family val="1"/>
          </rPr>
          <t>shield of faith
+1 haste</t>
        </r>
      </text>
    </comment>
    <comment ref="E16" authorId="0" shapeId="0" xr:uid="{00000000-0006-0000-0000-000004000000}">
      <text>
        <r>
          <rPr>
            <sz val="12"/>
            <color indexed="81"/>
            <rFont val="Times New Roman"/>
            <family val="1"/>
          </rPr>
          <t>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J3" authorId="0" shapeId="0" xr:uid="{631F8466-4D02-4A45-BA7E-4672CB8EC01D}">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F7" authorId="0" shapeId="0" xr:uid="{00000000-0006-0000-0100-000001000000}">
      <text>
        <r>
          <rPr>
            <sz val="12"/>
            <color indexed="81"/>
            <rFont val="Times New Roman"/>
            <family val="1"/>
          </rPr>
          <t>Halfling +2
Tumble Synergy</t>
        </r>
      </text>
    </comment>
    <comment ref="F9" authorId="0" shapeId="0" xr:uid="{00000000-0006-0000-0100-000002000000}">
      <text>
        <r>
          <rPr>
            <sz val="12"/>
            <color indexed="81"/>
            <rFont val="Times New Roman"/>
            <family val="1"/>
          </rPr>
          <t>Climbing Kit +2</t>
        </r>
      </text>
    </comment>
    <comment ref="F13" authorId="0" shapeId="0" xr:uid="{00000000-0006-0000-0100-000003000000}">
      <text>
        <r>
          <rPr>
            <sz val="12"/>
            <color indexed="81"/>
            <rFont val="Times New Roman"/>
            <family val="1"/>
          </rPr>
          <t>Synergy +2</t>
        </r>
      </text>
    </comment>
    <comment ref="F14" authorId="0" shapeId="0" xr:uid="{00000000-0006-0000-0100-000004000000}">
      <text>
        <r>
          <rPr>
            <sz val="12"/>
            <color indexed="81"/>
            <rFont val="Times New Roman"/>
            <family val="1"/>
          </rPr>
          <t>Trapmaster +2
MW lockpick +2</t>
        </r>
      </text>
    </comment>
    <comment ref="F15" authorId="0" shapeId="0" xr:uid="{00000000-0006-0000-0100-000005000000}">
      <text>
        <r>
          <rPr>
            <sz val="12"/>
            <color indexed="81"/>
            <rFont val="Times New Roman"/>
            <family val="1"/>
          </rPr>
          <t>Bluff Synergy +2</t>
        </r>
      </text>
    </comment>
    <comment ref="F18" authorId="0" shapeId="0" xr:uid="{00000000-0006-0000-0100-000006000000}">
      <text>
        <r>
          <rPr>
            <sz val="12"/>
            <color indexed="81"/>
            <rFont val="Times New Roman"/>
            <family val="1"/>
          </rPr>
          <t>Synergy +2</t>
        </r>
      </text>
    </comment>
    <comment ref="F21" authorId="0" shapeId="0" xr:uid="{00000000-0006-0000-0100-000007000000}">
      <text>
        <r>
          <rPr>
            <sz val="12"/>
            <color indexed="81"/>
            <rFont val="Times New Roman"/>
            <family val="1"/>
          </rPr>
          <t>Small +4
Skill Focus +3</t>
        </r>
      </text>
    </comment>
    <comment ref="F22" authorId="0" shapeId="0" xr:uid="{00000000-0006-0000-0100-000008000000}">
      <text>
        <r>
          <rPr>
            <sz val="12"/>
            <color indexed="81"/>
            <rFont val="Times New Roman"/>
            <family val="1"/>
          </rPr>
          <t>Synergy +2</t>
        </r>
      </text>
    </comment>
    <comment ref="F23" authorId="0" shapeId="0" xr:uid="{00000000-0006-0000-0100-000009000000}">
      <text>
        <r>
          <rPr>
            <sz val="12"/>
            <color indexed="81"/>
            <rFont val="Times New Roman"/>
            <family val="1"/>
          </rPr>
          <t>Halfling +2
Tumble Synergy +2
Great Leap +4</t>
        </r>
      </text>
    </comment>
    <comment ref="F28" authorId="0" shapeId="0" xr:uid="{00000000-0006-0000-0100-00000A000000}">
      <text>
        <r>
          <rPr>
            <sz val="12"/>
            <color indexed="81"/>
            <rFont val="Times New Roman"/>
            <family val="1"/>
          </rPr>
          <t>Halfling +2
Skill Focus +3</t>
        </r>
      </text>
    </comment>
    <comment ref="F29" authorId="0" shapeId="0" xr:uid="{00000000-0006-0000-0100-00000B000000}">
      <text>
        <r>
          <rPr>
            <sz val="12"/>
            <color indexed="81"/>
            <rFont val="Times New Roman"/>
            <family val="1"/>
          </rPr>
          <t>MW lockpick</t>
        </r>
      </text>
    </comment>
    <comment ref="F35" authorId="0" shapeId="0" xr:uid="{00000000-0006-0000-0100-00000C000000}">
      <text>
        <r>
          <rPr>
            <sz val="12"/>
            <color indexed="81"/>
            <rFont val="Times New Roman"/>
            <family val="1"/>
          </rPr>
          <t>Synergy +2</t>
        </r>
      </text>
    </comment>
    <comment ref="F38" authorId="0" shapeId="0" xr:uid="{00000000-0006-0000-0100-00000D000000}">
      <text>
        <r>
          <rPr>
            <sz val="12"/>
            <color indexed="81"/>
            <rFont val="Times New Roman"/>
            <family val="1"/>
          </rPr>
          <t>Scout’s Headband +2</t>
        </r>
      </text>
    </comment>
    <comment ref="F41" authorId="0" shapeId="0" xr:uid="{00000000-0006-0000-0100-00000E000000}">
      <text>
        <r>
          <rPr>
            <sz val="12"/>
            <color indexed="81"/>
            <rFont val="Times New Roman"/>
            <family val="1"/>
          </rPr>
          <t>Acrobat Boots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The winds of fortune guide your hands when you most need luck.
</t>
        </r>
        <r>
          <rPr>
            <b/>
            <sz val="12"/>
            <color indexed="81"/>
            <rFont val="Times New Roman"/>
            <family val="1"/>
          </rPr>
          <t xml:space="preserve">Benefit:  </t>
        </r>
        <r>
          <rPr>
            <sz val="12"/>
            <color indexed="81"/>
            <rFont val="Times New Roman"/>
            <family val="1"/>
          </rPr>
          <t>You can expend one luck reroll as an immediate action to reroll a Disable Device, Open Lock, or Sleight of Hand check.
You gain one luck reroll per day.
Complete Scoundrel 79</t>
        </r>
      </text>
    </comment>
    <comment ref="C2" authorId="0" shapeId="0" xr:uid="{00000000-0006-0000-02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E2" authorId="0" shapeId="0" xr:uid="{00000000-0006-0000-0200-00000300000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3" authorId="0" shapeId="0" xr:uid="{00000000-0006-0000-0200-000004000000}">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C3" authorId="0" shapeId="0" xr:uid="{00000000-0006-0000-0200-000005000000}">
      <text>
        <r>
          <rPr>
            <sz val="12"/>
            <color indexed="81"/>
            <rFont val="Times New Roman"/>
            <family val="1"/>
          </rPr>
          <t xml:space="preserve">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
</t>
        </r>
        <r>
          <rPr>
            <b/>
            <sz val="12"/>
            <color indexed="81"/>
            <rFont val="Times New Roman"/>
            <family val="1"/>
          </rPr>
          <t>SEE ALSO TRAPMASTER FEAT FOR ADDITIONAL +4 (ALREADY IN CALCULATION)</t>
        </r>
      </text>
    </comment>
    <comment ref="E3" authorId="0" shapeId="0" xr:uid="{00000000-0006-0000-0200-00000600000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A4" authorId="0" shapeId="0" xr:uid="{00000000-0006-0000-0200-000007000000}">
      <text>
        <r>
          <rPr>
            <sz val="12"/>
            <color indexed="81"/>
            <rFont val="Times New Roman"/>
            <family val="1"/>
          </rPr>
          <t xml:space="preserve">You have studied the funereal architecture and lethal traps of a dozen long-dead cultures.  Your familiarity with ancient tombs, vaults, and other such sites has instilled in you an uncanny knack for avoiding traps.
</t>
        </r>
        <r>
          <rPr>
            <b/>
            <sz val="12"/>
            <color indexed="81"/>
            <rFont val="Times New Roman"/>
            <family val="1"/>
          </rPr>
          <t xml:space="preserve">Prerequisites:  </t>
        </r>
        <r>
          <rPr>
            <sz val="12"/>
            <color indexed="81"/>
            <rFont val="Times New Roman"/>
            <family val="1"/>
          </rPr>
          <t xml:space="preserve">Int 13, trap sense +2.
</t>
        </r>
        <r>
          <rPr>
            <b/>
            <sz val="12"/>
            <color indexed="81"/>
            <rFont val="Times New Roman"/>
            <family val="1"/>
          </rPr>
          <t xml:space="preserve">Benefit:  </t>
        </r>
        <r>
          <rPr>
            <sz val="12"/>
            <color indexed="81"/>
            <rFont val="Times New Roman"/>
            <family val="1"/>
          </rPr>
          <t>The bonus for your trap sense ability increases by 4. In addition, you gain a +2 bonus on all Disable Device checks.
Lost Empires of Faerûn 9</t>
        </r>
      </text>
    </comment>
    <comment ref="C4" authorId="0" shapeId="0" xr:uid="{00000000-0006-0000-0200-000008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E4" authorId="0" shapeId="0" xr:uid="{00000000-0006-0000-0200-000009000000}">
      <text>
        <r>
          <rPr>
            <sz val="12"/>
            <color indexed="81"/>
            <rFont val="Times New Roman"/>
            <family val="1"/>
          </rPr>
          <t>At 4th level and higher, a ninja always makes Jump checks as if she were running and had the Run feat, enabling her to make long jumps without a running start and granting a +4 bonus on the jump (see the skill description, page 77 of the Player’s Handbook).  This ability can be used only if she is wearing no armor and is carrying no more than a light load.
Complete Adventurer 8</t>
        </r>
      </text>
    </comment>
    <comment ref="A5" authorId="0" shapeId="0" xr:uid="{00000000-0006-0000-0200-00000A000000}">
      <text>
        <r>
          <rPr>
            <sz val="12"/>
            <color indexed="81"/>
            <rFont val="Times New Roman"/>
            <family val="1"/>
          </rPr>
          <t xml:space="preserve">You combine your scout training with the stealth of a rogue to open up new methods of ambushing enemies.
</t>
        </r>
        <r>
          <rPr>
            <b/>
            <sz val="12"/>
            <color indexed="81"/>
            <rFont val="Times New Roman"/>
            <family val="1"/>
          </rPr>
          <t>Prerequisite:</t>
        </r>
        <r>
          <rPr>
            <sz val="12"/>
            <color indexed="81"/>
            <rFont val="Times New Roman"/>
            <family val="1"/>
          </rPr>
          <t xml:space="preserve">  Skirmish +1d6/+1 AC, sneak attack +1d6.
</t>
        </r>
        <r>
          <rPr>
            <b/>
            <sz val="12"/>
            <color indexed="81"/>
            <rFont val="Times New Roman"/>
            <family val="1"/>
          </rPr>
          <t xml:space="preserve">Benefit:  </t>
        </r>
        <r>
          <rPr>
            <sz val="12"/>
            <color indexed="81"/>
            <rFont val="Times New Roman"/>
            <family val="1"/>
          </rPr>
          <t xml:space="preserve">Your rogue and scout levels stack for the purpose of determining the extra damage and bonus to Armor Class granted when skirmishing.  For example, a 4th-level scout/ 7th-level rogue would deal an extra 3d6 points of damage and gain a +3 competence bonus to AC when skirmishing, as if she were an 11th-level scout.
In addition, you can qualify for ambush feats (see page 71) as if your sneak attack bonus damage were the sum of your skirmish damage and sneak attack bonus damage. You cannot sacrifice skirmish extra damage to use those feats, however.
</t>
        </r>
        <r>
          <rPr>
            <b/>
            <sz val="12"/>
            <color indexed="81"/>
            <rFont val="Times New Roman"/>
            <family val="1"/>
          </rPr>
          <t xml:space="preserve">Special:  </t>
        </r>
        <r>
          <rPr>
            <sz val="12"/>
            <color indexed="81"/>
            <rFont val="Times New Roman"/>
            <family val="1"/>
          </rPr>
          <t>A scout can select Swift Ambusher as one of her scout bonus feats (Complete Adventurer 13).
Complete Scoundrel 81</t>
        </r>
      </text>
    </comment>
    <comment ref="C5" authorId="0" shapeId="0" xr:uid="{00000000-0006-0000-0200-00000B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E5" authorId="0" shapeId="0" xr:uid="{00000000-0006-0000-0200-00000C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6" authorId="0" shapeId="0" xr:uid="{00000000-0006-0000-0200-00000D000000}">
      <text>
        <r>
          <rPr>
            <sz val="12"/>
            <color indexed="81"/>
            <rFont val="Times New Roman"/>
            <family val="1"/>
          </rPr>
          <t xml:space="preserve">You are capable of pulling off amazing stunts.
</t>
        </r>
        <r>
          <rPr>
            <b/>
            <sz val="12"/>
            <color indexed="81"/>
            <rFont val="Times New Roman"/>
            <family val="1"/>
          </rPr>
          <t xml:space="preserve">Benefit:  </t>
        </r>
        <r>
          <rPr>
            <sz val="12"/>
            <color indexed="81"/>
            <rFont val="Times New Roman"/>
            <family val="1"/>
          </rPr>
          <t>Three times per day, you can use an immediate action to gain a +5 competence bonus on a single Balance, Climb, Escape Artist, Jump, Ride, Swim, or Tumble check.
Complete Scoundrel 76</t>
        </r>
      </text>
    </comment>
    <comment ref="C6" authorId="0" shapeId="0" xr:uid="{00000000-0006-0000-0200-00000E000000}">
      <text>
        <r>
          <rPr>
            <sz val="12"/>
            <color indexed="81"/>
            <rFont val="Times New Roman"/>
            <family val="1"/>
          </rPr>
          <t>A rogue of 8th level or higher can no longer be flanked; she can react to opponents on opposite sides of her as easily as she can react to a single attacker.  This defense denies another rogue the ability to sneak attack the character by flanking her, unless the attacker has at least four more rogue levels than the target does.
If a character already has uncanny dodge (see above) from a second class, the character automatically gains improved uncanny dodge instead, and the levels from the classes that grant uncanny dodge stack to determine the minimum rogue level required to flank the character.
PHB 50</t>
        </r>
      </text>
    </comment>
    <comment ref="E6" authorId="0" shapeId="0" xr:uid="{00000000-0006-0000-0200-00000F00000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A7" authorId="0" shapeId="0" xr:uid="{00000000-0006-0000-0200-00001000000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7" authorId="0" shapeId="0" xr:uid="{00000000-0006-0000-0200-000011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E7" authorId="0" shapeId="0" xr:uid="{00000000-0006-0000-0200-000012000000}">
      <text>
        <r>
          <rPr>
            <sz val="12"/>
            <color indexed="81"/>
            <rFont val="Times New Roman"/>
            <family val="1"/>
          </rPr>
          <t>At 3rd level and higher, a ninja never risks accidentally poisoning herself when applying poison to a weapon.
Complete Adventurer 8</t>
        </r>
      </text>
    </comment>
    <comment ref="A8" authorId="0" shapeId="0" xr:uid="{00000000-0006-0000-0200-00001300000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0" authorId="0" shapeId="0" xr:uid="{00000000-0006-0000-0200-000014000000}">
      <text>
        <r>
          <rPr>
            <sz val="12"/>
            <color indexed="81"/>
            <rFont val="Times New Roman"/>
            <family val="1"/>
          </rPr>
          <t xml:space="preserve">A thief-acrobat can avoid the normal penalties for accelerated movement while using her acrobatic talents.  She ignores the normal –5 penalty when making a Balance check while moving at her full normal speed.  She can climb at half her speed as a move action without taking a –5 penalty on her Climb check.  Finally, she can tumble at her full speed without taking the normal –10 penalty on her Tumble check.
Complete Adventurer 83
</t>
        </r>
      </text>
    </comment>
    <comment ref="E10" authorId="0" shapeId="0" xr:uid="{00000000-0006-0000-0200-00001500000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C11" authorId="0" shapeId="0" xr:uid="{00000000-0006-0000-0200-000016000000}">
      <text>
        <r>
          <rPr>
            <sz val="12"/>
            <color indexed="81"/>
            <rFont val="Times New Roman"/>
            <family val="1"/>
          </rPr>
          <t>A thief-acrobat can stand up from a prone position as a free action that doesn’t provoke attacks of opportunity.  This ability works only if the thief-acrobat wears light or no armor and carries no more than a light load.
Complete Adventurer 83</t>
        </r>
      </text>
    </comment>
    <comment ref="E11" authorId="0" shapeId="0" xr:uid="{00000000-0006-0000-0200-00001700000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12" authorId="0" shapeId="0" xr:uid="{00000000-0006-0000-0200-000018000000}">
      <text>
        <r>
          <rPr>
            <sz val="12"/>
            <color indexed="81"/>
            <rFont val="Times New Roman"/>
            <family val="1"/>
          </rPr>
          <t>Hand crossbow, rapier, sap, shortbow, and short sword.
PHB 50</t>
        </r>
      </text>
    </comment>
    <comment ref="C12" authorId="0" shapeId="0" xr:uid="{00000000-0006-0000-0200-000019000000}">
      <text>
        <r>
          <rPr>
            <sz val="12"/>
            <color indexed="81"/>
            <rFont val="Times New Roman"/>
            <family val="1"/>
          </rPr>
          <t>A thief-acrobat remains stable on her feet when others have difficulty standing.  She is not considered flat-footed while balancing or climbing, and she adds her class level as a bonus on Balance or Climb checks to remain balancing or climbing when she takes damage.
Complete Adventurer 83</t>
        </r>
      </text>
    </comment>
    <comment ref="E12" authorId="0" shapeId="0" xr:uid="{00000000-0006-0000-0200-00001A00000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13" authorId="0" shapeId="0" xr:uid="{00000000-0006-0000-0200-00001B000000}">
      <text>
        <r>
          <rPr>
            <sz val="12"/>
            <color indexed="81"/>
            <rFont val="Times New Roman"/>
            <family val="1"/>
          </rPr>
          <t>A whirling, spinning thief-acrobat is a devilishly difficult target.  Starting at 2nd level, a thief-acrobat gains a +1 dodge bonus to Armor Class. When fighting defensively or using total defense, this bonus becomes +2.  At 4th level, these bonuses increase by 1 (to +2 and +3, respectively). In addition, a thief-acrobat takes no penalty to her Armor Class or on her melee attack rolls when kneeling, sitting, or prone. This ability works only if a thief-acrobat wears light or no armor and carries no more than a light load.
Complete Adventurer 83</t>
        </r>
      </text>
    </comment>
    <comment ref="E13" authorId="0" shapeId="0" xr:uid="{00000000-0006-0000-0200-00001C00000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C14" authorId="0" shapeId="0" xr:uid="{00000000-0006-0000-0200-00001D000000}">
      <text>
        <r>
          <rPr>
            <sz val="12"/>
            <color indexed="81"/>
            <rFont val="Times New Roman"/>
            <family val="1"/>
          </rPr>
          <t>Beginning at 2nd level, a thief-acrobat reduces the effective distance of falls by 20 feet.  At 4th level, this improves to reduce the effective distance of falls by 30 feet.  See the monk class feature, page 41 of the Player’s Handbook.  If a thief-acrobat has this ability from another class, the distances stack to determine the effective reduction of the falling distance.
Complete Adventurer 84</t>
        </r>
      </text>
    </comment>
    <comment ref="E14" authorId="0" shapeId="0" xr:uid="{00000000-0006-0000-0200-00001E00000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C15" authorId="0" shapeId="0" xr:uid="{00000000-0006-0000-0200-00001F000000}">
      <text>
        <r>
          <rPr>
            <sz val="12"/>
            <color indexed="81"/>
            <rFont val="Times New Roman"/>
            <family val="1"/>
          </rPr>
          <t>Starting at 3rd level, a thief-acrobat can charge in situations where others cannot. She can charge over difficult terrain that normally slows movement or through allies blocking her path.  This ability enables her to charge across a cluttered battlefield, leap down from a ledge, or swing across a chasm to get to her target.  Depending on the circumstance, she may still need to make appropriate checks (such as Jump, Tumble, or Use Rope checks) to successfully move over the terrain.
Complete Adventurer 84</t>
        </r>
      </text>
    </comment>
    <comment ref="E15" authorId="0" shapeId="0" xr:uid="{00000000-0006-0000-0200-000020000000}">
      <text>
        <r>
          <rPr>
            <sz val="12"/>
            <color indexed="81"/>
            <rFont val="Times New Roman"/>
            <family val="1"/>
          </rPr>
          <t>Beginning at 3rd level, a scout cannot be tracked in natural surroundings.  See the druid class feature, page 36 of the Player’s Handbook.
Complete Adventurer 13</t>
        </r>
      </text>
    </comment>
    <comment ref="C16" authorId="0" shapeId="0" xr:uid="{00000000-0006-0000-0200-000021000000}">
      <text>
        <r>
          <rPr>
            <sz val="12"/>
            <color indexed="81"/>
            <rFont val="Times New Roman"/>
            <family val="1"/>
          </rPr>
          <t>Beginning at 3rd level, once per day a thief-acrobat can roll with a potentially lethal blow to take less damage from it than she otherwise would.  See the rogue class feature, page 51 of the Player’s Handbook. At 5th level, a thief-acrobat can use this ability twice per day.
Complete Adventurer 84</t>
        </r>
      </text>
    </comment>
    <comment ref="E16" authorId="0" shapeId="0" xr:uid="{00000000-0006-0000-0200-000022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17" authorId="0" shapeId="0" xr:uid="{00000000-0006-0000-0200-000023000000}">
      <text>
        <r>
          <rPr>
            <sz val="12"/>
            <color indexed="81"/>
            <rFont val="Times New Roman"/>
            <family val="1"/>
          </rPr>
          <t>At 4th level, a thief-acrobat has become so confident in the use of certain skills that she can use them reliably even under adverse conditions. When making a Balance, Climb, Jump, or Tumble check, she can take 10 even if stress and distractions would normally prevent her from doing so.
Complete Adventurer 84</t>
        </r>
      </text>
    </comment>
    <comment ref="E17" authorId="0" shapeId="0" xr:uid="{00000000-0006-0000-0200-000024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8" authorId="0" shapeId="0" xr:uid="{00000000-0006-0000-0200-000025000000}">
      <text>
        <r>
          <rPr>
            <sz val="12"/>
            <color indexed="81"/>
            <rFont val="Times New Roman"/>
            <family val="1"/>
          </rPr>
          <t>A 5th-level thief-acrobat can avoid damage from certain attacks with a successful Reflex save and takes only half damage on a failed save.  See the monk class feature, page 42 of the Player’s Handbook.
Complete Adventurer 84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Complete Adventurer 127
This ability doubles the threat range of a weapon.  For instance, if it is placed on a longsword (which has a normal threat range of 19–20), the keen longsword scores a threat on a 17–20.  Only piercing or slashing weapons can be keen.  (If you roll this property randomly for an inappropriate weapon, reroll.) This benefit doesn’t stack with any other effect that expands the threat range of a weapon (such as the keen edge spell or the Improved Critical feat).
DMG 225</t>
        </r>
      </text>
    </comment>
    <comment ref="A17" authorId="0" shapeId="0" xr:uid="{00000000-0006-0000-0300-000002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23" authorId="0" shapeId="0" xr:uid="{00000000-0006-0000-0300-000003000000}">
      <text>
        <r>
          <rPr>
            <sz val="12"/>
            <color indexed="81"/>
            <rFont val="Times New Roman"/>
            <family val="1"/>
          </rPr>
          <t>Balance, Climb, Escape Artist, Hide, Jump, Move Silently, Sleight of Hand, Tumble.</t>
        </r>
      </text>
    </comment>
    <comment ref="A24" authorId="0" shapeId="0" xr:uid="{00000000-0006-0000-0300-000004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A25" authorId="0" shapeId="0" xr:uid="{00000000-0006-0000-0300-000005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2 lb.
Each of these black steel bracers is marked with an etching of crossed swords.  When activated, deathstrike bracers allow you to use melee weapons to deal extra damage from critical hits and sneak attacks to constructs, elementals, oozes, plants, and undead as if they were not immune to such extra damage.  You must still roll a critical threat and confirm it as a critical hit or qualify to deliver sneak attack damage to gain any benefit from the bracers.  This effect does not allow you to overcome any other immunity or resistance to extra damage from sneak attacks or critical hits (such as the fortification armor property).
This effect lasts for 1 round.  This ability functions three times per day.
MIC 93</t>
        </r>
      </text>
    </comment>
    <comment ref="G35" authorId="0" shapeId="0" xr:uid="{00000000-0006-0000-0300-000006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 ref="G36" authorId="0" shapeId="0" xr:uid="{00000000-0006-0000-0300-000007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 xml:space="preserve">Standard (mental)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t>
        </r>
        <r>
          <rPr>
            <b/>
            <sz val="12"/>
            <color indexed="81"/>
            <rFont val="Times New Roman"/>
            <family val="1"/>
          </rPr>
          <t xml:space="preserve">1 charge:  </t>
        </r>
        <r>
          <rPr>
            <sz val="12"/>
            <color indexed="81"/>
            <rFont val="Times New Roman"/>
            <family val="1"/>
          </rPr>
          <t xml:space="preserve">You become invisible for 4 rounds.
</t>
        </r>
        <r>
          <rPr>
            <b/>
            <sz val="12"/>
            <color indexed="81"/>
            <rFont val="Times New Roman"/>
            <family val="1"/>
          </rPr>
          <t xml:space="preserve">2 charges:  </t>
        </r>
        <r>
          <rPr>
            <sz val="12"/>
            <color indexed="81"/>
            <rFont val="Times New Roman"/>
            <family val="1"/>
          </rPr>
          <t xml:space="preserve">You and one adjacent ally become invisible for 3 rounds.
</t>
        </r>
        <r>
          <rPr>
            <b/>
            <sz val="12"/>
            <color indexed="81"/>
            <rFont val="Times New Roman"/>
            <family val="1"/>
          </rPr>
          <t xml:space="preserve">3 charges:  </t>
        </r>
        <r>
          <rPr>
            <sz val="12"/>
            <color indexed="81"/>
            <rFont val="Times New Roman"/>
            <family val="1"/>
          </rPr>
          <t>You and up to three adjacent allies become invisible for 2 rounds.
MIC 145</t>
        </r>
      </text>
    </comment>
    <comment ref="A4" authorId="0" shapeId="0" xr:uid="{00000000-0006-0000-0400-000002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5" authorId="0" shapeId="0" xr:uid="{00000000-0006-0000-0400-000003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convex lens of crystal dangles from a chain carved from blue glass.  Activating a talisman of the disk creates a Tenser’s floating disk (PH 294).  The disk can hold 300 pounds and lasts for up to 3 hours (or until dismissed with another standard action).  The disk’s maximum range from you is 30 feet.
If you are also wearing a magic item that provides an enhancement bonus to Strength, the disk’s carrying capacityincreases by 100 pounds per point of bonus granted by the item.
</t>
        </r>
        <r>
          <rPr>
            <b/>
            <sz val="12"/>
            <color indexed="81"/>
            <rFont val="Times New Roman"/>
            <family val="1"/>
          </rPr>
          <t xml:space="preserve">Prerequisites:  </t>
        </r>
        <r>
          <rPr>
            <sz val="12"/>
            <color indexed="81"/>
            <rFont val="Times New Roman"/>
            <family val="1"/>
          </rPr>
          <t xml:space="preserve">Craft Wondrous Item, bull’s strength, Tenser’s fl oating disk.
</t>
        </r>
        <r>
          <rPr>
            <b/>
            <sz val="12"/>
            <color indexed="81"/>
            <rFont val="Times New Roman"/>
            <family val="1"/>
          </rPr>
          <t xml:space="preserve">Cost to Create:  </t>
        </r>
        <r>
          <rPr>
            <sz val="12"/>
            <color indexed="81"/>
            <rFont val="Times New Roman"/>
            <family val="1"/>
          </rPr>
          <t>250 gp, 20 XP, 1 day.
MIC 188</t>
        </r>
      </text>
    </comment>
    <comment ref="A6" authorId="0" shapeId="0" xr:uid="{00000000-0006-0000-0400-000004000000}">
      <text>
        <r>
          <rPr>
            <b/>
            <sz val="12"/>
            <color indexed="81"/>
            <rFont val="Times New Roman"/>
            <family val="1"/>
          </rPr>
          <t xml:space="preserve">Arcane Eye </t>
        </r>
        <r>
          <rPr>
            <sz val="12"/>
            <color indexed="81"/>
            <rFont val="Times New Roman"/>
            <family val="1"/>
          </rPr>
          <t>1/day, CL 10</t>
        </r>
      </text>
    </comment>
    <comment ref="A7" authorId="0" shapeId="0" xr:uid="{96D69F5A-4486-4AF9-A995-E6BDAD6435FA}">
      <text>
        <r>
          <rPr>
            <b/>
            <sz val="12"/>
            <color indexed="81"/>
            <rFont val="Times New Roman"/>
            <family val="1"/>
          </rPr>
          <t xml:space="preserve">Price (Item Level): </t>
        </r>
        <r>
          <rPr>
            <sz val="12"/>
            <color indexed="81"/>
            <rFont val="Times New Roman"/>
            <family val="1"/>
          </rPr>
          <t xml:space="preserve">2,100 gp (6th)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pulsing green glow shines from this crystal.
A third eye surge has 3 charges, which are renewed each day at dawn. Spending 1 or more charges grants you an insight bonus on Strength checks, Dexterity checks, Strength- and Dexterity-based skill checks, and weapon damage rolls for 1 round.
</t>
        </r>
        <r>
          <rPr>
            <b/>
            <sz val="12"/>
            <color indexed="81"/>
            <rFont val="Times New Roman"/>
            <family val="1"/>
          </rPr>
          <t xml:space="preserve">1 charge: </t>
        </r>
        <r>
          <rPr>
            <sz val="12"/>
            <color indexed="81"/>
            <rFont val="Times New Roman"/>
            <family val="1"/>
          </rPr>
          <t xml:space="preserve">+2 insight bonus.
</t>
        </r>
        <r>
          <rPr>
            <b/>
            <sz val="12"/>
            <color indexed="81"/>
            <rFont val="Times New Roman"/>
            <family val="1"/>
          </rPr>
          <t xml:space="preserve">2 charges: </t>
        </r>
        <r>
          <rPr>
            <sz val="12"/>
            <color indexed="81"/>
            <rFont val="Times New Roman"/>
            <family val="1"/>
          </rPr>
          <t xml:space="preserve">+3 insight bonus.
</t>
        </r>
        <r>
          <rPr>
            <b/>
            <sz val="12"/>
            <color indexed="81"/>
            <rFont val="Times New Roman"/>
            <family val="1"/>
          </rPr>
          <t xml:space="preserve">3 charges: </t>
        </r>
        <r>
          <rPr>
            <sz val="12"/>
            <color indexed="81"/>
            <rFont val="Times New Roman"/>
            <family val="1"/>
          </rPr>
          <t xml:space="preserve">+4 insight bonus.
</t>
        </r>
        <r>
          <rPr>
            <b/>
            <sz val="12"/>
            <color indexed="81"/>
            <rFont val="Times New Roman"/>
            <family val="1"/>
          </rPr>
          <t xml:space="preserve">Prerequisites: </t>
        </r>
        <r>
          <rPr>
            <sz val="12"/>
            <color indexed="81"/>
            <rFont val="Times New Roman"/>
            <family val="1"/>
          </rPr>
          <t>Craft Wondrous
MIC 143</t>
        </r>
      </text>
    </comment>
    <comment ref="A8" authorId="0" shapeId="0" xr:uid="{00000000-0006-0000-0400-000005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 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1 charge: +10-foot enhancement bonus.
2 charges: +15-foot enhancement bonus.
</t>
        </r>
        <r>
          <rPr>
            <b/>
            <sz val="12"/>
            <color indexed="81"/>
            <rFont val="Times New Roman"/>
            <family val="1"/>
          </rPr>
          <t xml:space="preserve">3 charges: </t>
        </r>
        <r>
          <rPr>
            <sz val="12"/>
            <color indexed="81"/>
            <rFont val="Times New Roman"/>
            <family val="1"/>
          </rPr>
          <t>+20-foot enhancement bonus.
MIC 67</t>
        </r>
      </text>
    </comment>
    <comment ref="A9" authorId="0" shapeId="0" xr:uid="{00000000-0006-0000-0400-000006000000}">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standard (manipulation)
</t>
        </r>
        <r>
          <rPr>
            <b/>
            <sz val="12"/>
            <color indexed="81"/>
            <rFont val="Times New Roman"/>
            <family val="1"/>
          </rPr>
          <t xml:space="preserve">Weight:  </t>
        </r>
        <r>
          <rPr>
            <sz val="12"/>
            <color indexed="81"/>
            <rFont val="Times New Roman"/>
            <family val="1"/>
          </rPr>
          <t xml:space="preserve">—
This large ring is set with a faceted ruby.  Closer inspection reveals a tiny trigger near the base of the stone.  Hidden below the stone in this ring is a set of tiny prongs, wires, and other small devices that spring out when the trigger is depressed.
Using a lockpicking ring grants you a +5 competence bonus on Open Lock checks.  This is a continuous effect and requires no activation.  In addition, you can activate the ring once per day to use </t>
        </r>
        <r>
          <rPr>
            <i/>
            <sz val="12"/>
            <color indexed="81"/>
            <rFont val="Times New Roman"/>
            <family val="1"/>
          </rPr>
          <t>knock</t>
        </r>
        <r>
          <rPr>
            <sz val="12"/>
            <color indexed="81"/>
            <rFont val="Times New Roman"/>
            <family val="1"/>
          </rPr>
          <t xml:space="preserve">.  You must touch the ring to the portal you want to open.
</t>
        </r>
        <r>
          <rPr>
            <b/>
            <sz val="12"/>
            <color indexed="81"/>
            <rFont val="Times New Roman"/>
            <family val="1"/>
          </rPr>
          <t xml:space="preserve">Prerequisites:  </t>
        </r>
        <r>
          <rPr>
            <sz val="12"/>
            <color indexed="81"/>
            <rFont val="Times New Roman"/>
            <family val="1"/>
          </rPr>
          <t xml:space="preserve">Forge Ring, knock.
</t>
        </r>
        <r>
          <rPr>
            <b/>
            <sz val="12"/>
            <color indexed="81"/>
            <rFont val="Times New Roman"/>
            <family val="1"/>
          </rPr>
          <t xml:space="preserve">Cost to Create:  </t>
        </r>
        <r>
          <rPr>
            <sz val="12"/>
            <color indexed="81"/>
            <rFont val="Times New Roman"/>
            <family val="1"/>
          </rPr>
          <t>1,750 gp, 140 XP, 4 days.
MIC 114</t>
        </r>
      </text>
    </comment>
    <comment ref="A14" authorId="0" shapeId="0" xr:uid="{00000000-0006-0000-0400-00000700000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Five times per day, you can reach into this pouch and pull out a handful of caltrops (enough to cover a 5-foot square).  In addition to the activation cost, filling a 5-foot square with caltrops by hand requires a standard action.  The caltrops produced are not magical and follow all the rules for normal caltrops (PH 126).
</t>
        </r>
        <r>
          <rPr>
            <b/>
            <sz val="12"/>
            <color indexed="81"/>
            <rFont val="Times New Roman"/>
            <family val="1"/>
          </rPr>
          <t xml:space="preserve">Prerequisites: </t>
        </r>
        <r>
          <rPr>
            <sz val="12"/>
            <color indexed="81"/>
            <rFont val="Times New Roman"/>
            <family val="1"/>
          </rPr>
          <t xml:space="preserve"> Craft Wondrous Item,Leomund’s secret chest.
Cost to Create: 400 gp, 32 XP, 1 day.
MIC 151</t>
        </r>
      </text>
    </comment>
  </commentList>
</comments>
</file>

<file path=xl/sharedStrings.xml><?xml version="1.0" encoding="utf-8"?>
<sst xmlns="http://schemas.openxmlformats.org/spreadsheetml/2006/main" count="469" uniqueCount="258">
  <si>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</si>
  <si>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</si>
  <si>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</si>
  <si>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</si>
  <si>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</si>
  <si>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</si>
  <si>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</si>
  <si>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</si>
  <si>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</si>
  <si>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</si>
  <si>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</si>
  <si>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</si>
  <si>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</si>
  <si>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</si>
  <si>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</si>
  <si>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</si>
  <si>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</si>
  <si>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</si>
  <si>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</si>
  <si>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</si>
  <si>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</si>
  <si>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</si>
  <si>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</si>
  <si>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</si>
  <si>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</si>
  <si>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</si>
  <si>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</si>
  <si>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</si>
  <si>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</si>
  <si>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</si>
  <si>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</si>
  <si>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</si>
  <si>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</si>
  <si>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</si>
  <si>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</si>
  <si>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</si>
  <si>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</si>
  <si>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</si>
  <si>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</si>
  <si>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</si>
  <si>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</si>
  <si>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</si>
  <si>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</si>
  <si>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</si>
  <si>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</si>
  <si>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</si>
  <si>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</si>
  <si>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</si>
  <si>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</si>
  <si>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</si>
  <si>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</si>
  <si>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</si>
  <si>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</si>
  <si>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</si>
  <si>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</si>
  <si>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</si>
  <si>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</si>
  <si>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</si>
  <si>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</si>
  <si>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Notes</t>
  </si>
  <si>
    <t>Check</t>
  </si>
  <si>
    <t>Arcane</t>
  </si>
  <si>
    <t>Speed</t>
  </si>
  <si>
    <t>Speak Language</t>
  </si>
  <si>
    <t>Sleight of Hand</t>
  </si>
  <si>
    <t>Survival</t>
  </si>
  <si>
    <t>Weapon Proficiencies</t>
  </si>
  <si>
    <t>Atk</t>
  </si>
  <si>
    <t>1</t>
  </si>
  <si>
    <t>Feats</t>
  </si>
  <si>
    <t>Rogue</t>
  </si>
  <si>
    <t>Knowledge:  Local</t>
  </si>
  <si>
    <t>4</t>
  </si>
  <si>
    <t>Evasion</t>
  </si>
  <si>
    <t>Trapfinding</t>
  </si>
  <si>
    <t>2</t>
  </si>
  <si>
    <t>+2 to Climb</t>
  </si>
  <si>
    <t>+2 to Disable Device &amp; Open Locks</t>
  </si>
  <si>
    <t>Roll</t>
  </si>
  <si>
    <t>Chaotic Neutral</t>
  </si>
  <si>
    <t>Simple Weapons</t>
  </si>
  <si>
    <t>Perform:  (type)</t>
  </si>
  <si>
    <t>Profession:  (type)</t>
  </si>
  <si>
    <t>Rogue 1</t>
  </si>
  <si>
    <t>Rogue 2</t>
  </si>
  <si>
    <t>Light Armor</t>
  </si>
  <si>
    <t>Rogue 3</t>
  </si>
  <si>
    <t>1d4</t>
  </si>
  <si>
    <t>19-20, x2</t>
  </si>
  <si>
    <t>Prcg/Slash</t>
  </si>
  <si>
    <t>Sap</t>
  </si>
  <si>
    <t>Skill/Save</t>
  </si>
  <si>
    <t>Silk Rope</t>
  </si>
  <si>
    <t>Piercing</t>
  </si>
  <si>
    <t>x2</t>
  </si>
  <si>
    <t>Bludgeon</t>
  </si>
  <si>
    <t>+0</t>
  </si>
  <si>
    <t>Bullets</t>
  </si>
  <si>
    <t>1d6</t>
  </si>
  <si>
    <t>Oil Flask</t>
  </si>
  <si>
    <t>100’</t>
  </si>
  <si>
    <t>Climber’s Kit</t>
  </si>
  <si>
    <t>Rogue Weapons</t>
  </si>
  <si>
    <t>Thrown Weapon</t>
  </si>
  <si>
    <t>Rogue 4</t>
  </si>
  <si>
    <t>Thieves’ Tools, Masterwork</t>
  </si>
  <si>
    <t>30’</t>
  </si>
  <si>
    <t>-</t>
  </si>
  <si>
    <t>Knowledge:  Archit. &amp; Engin.</t>
  </si>
  <si>
    <t>Waterdeep</t>
  </si>
  <si>
    <t>Value</t>
  </si>
  <si>
    <t>Bag of Endless Caltrops</t>
  </si>
  <si>
    <t>Scrolls and Potions</t>
  </si>
  <si>
    <t>Level</t>
  </si>
  <si>
    <t>CLev</t>
  </si>
  <si>
    <t>Talisman of the Disk</t>
  </si>
  <si>
    <t>Total Equity:</t>
  </si>
  <si>
    <t>Deathstrike Bracers</t>
  </si>
  <si>
    <t>1st:  Lucky Fingers</t>
  </si>
  <si>
    <t>3rd:  Unbelievable Luck</t>
  </si>
  <si>
    <t>Rogue 5</t>
  </si>
  <si>
    <t>Lucky Fingers</t>
  </si>
  <si>
    <t>Lockpicking Ring</t>
  </si>
  <si>
    <t>Lucky Fingers, Lockpicking ring</t>
  </si>
  <si>
    <t>Vanisher Cloak</t>
  </si>
  <si>
    <t>+2 synergy bonus to find secret doors, etc.</t>
  </si>
  <si>
    <t>Acrobat Boots</t>
  </si>
  <si>
    <t>Third Eye Surge</t>
  </si>
  <si>
    <t>MW Dagger, 2nd Attack</t>
  </si>
  <si>
    <t>Sap, 2nd Attack</t>
  </si>
  <si>
    <t>Crystal of Acid Assault, Lesser</t>
  </si>
  <si>
    <t>Rogue 6</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</si>
  <si>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</si>
  <si>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Uncanny Dodge</t>
  </si>
  <si>
    <t>Mithralmist Shirt +1 of Agility</t>
  </si>
  <si>
    <r>
      <t xml:space="preserve">MW Dagger, </t>
    </r>
    <r>
      <rPr>
        <i/>
        <sz val="12"/>
        <rFont val="Times New Roman"/>
        <family val="1"/>
      </rPr>
      <t>haste</t>
    </r>
  </si>
  <si>
    <r>
      <t xml:space="preserve">Sap, </t>
    </r>
    <r>
      <rPr>
        <i/>
        <sz val="12"/>
        <rFont val="Times New Roman"/>
        <family val="1"/>
      </rPr>
      <t>haste</t>
    </r>
  </si>
  <si>
    <t>Rogue 7</t>
  </si>
  <si>
    <r>
      <t xml:space="preserve">Eternal Wand of </t>
    </r>
    <r>
      <rPr>
        <i/>
        <sz val="12"/>
        <rFont val="Times New Roman"/>
        <family val="1"/>
      </rPr>
      <t>Mage Hand</t>
    </r>
  </si>
  <si>
    <r>
      <t xml:space="preserve">Eternal Wand of </t>
    </r>
    <r>
      <rPr>
        <i/>
        <sz val="12"/>
        <rFont val="Times New Roman"/>
        <family val="1"/>
      </rPr>
      <t>Obscuring Mist</t>
    </r>
  </si>
  <si>
    <r>
      <t xml:space="preserve">Wand of </t>
    </r>
    <r>
      <rPr>
        <i/>
        <sz val="12"/>
        <rFont val="Times New Roman"/>
        <family val="1"/>
      </rPr>
      <t>Greater Invisibility</t>
    </r>
  </si>
  <si>
    <r>
      <t xml:space="preserve">Scroll of </t>
    </r>
    <r>
      <rPr>
        <i/>
        <sz val="12"/>
        <rFont val="Times New Roman"/>
        <family val="1"/>
      </rPr>
      <t>Greater Invisibility</t>
    </r>
  </si>
  <si>
    <t>Properties</t>
  </si>
  <si>
    <t>Scout’s Headband</t>
  </si>
  <si>
    <t>2x/day; Spellcraft DC 15</t>
  </si>
  <si>
    <r>
      <t xml:space="preserve">Short Sword, </t>
    </r>
    <r>
      <rPr>
        <i/>
        <sz val="12"/>
        <rFont val="Times New Roman"/>
        <family val="1"/>
      </rPr>
      <t>haste</t>
    </r>
  </si>
  <si>
    <t>Short Sword, 2nd Attack</t>
  </si>
  <si>
    <t>Keen Deadly Precision Short Sword</t>
  </si>
  <si>
    <t>17-20, x2</t>
  </si>
  <si>
    <r>
      <t xml:space="preserve">+4 vs. Traps, +1 </t>
    </r>
    <r>
      <rPr>
        <i/>
        <sz val="13"/>
        <rFont val="Times New Roman"/>
        <family val="1"/>
      </rPr>
      <t>haste</t>
    </r>
  </si>
  <si>
    <t>Deadly Precision Blowgun +2</t>
  </si>
  <si>
    <t>Blowgun, 2nd Attack</t>
  </si>
  <si>
    <r>
      <t xml:space="preserve">Blowgun, </t>
    </r>
    <r>
      <rPr>
        <i/>
        <sz val="12"/>
        <rFont val="Times New Roman"/>
        <family val="1"/>
      </rPr>
      <t>haste</t>
    </r>
  </si>
  <si>
    <t>10’</t>
  </si>
  <si>
    <t>?</t>
  </si>
  <si>
    <t>Constitution</t>
  </si>
  <si>
    <t>Dexterity</t>
  </si>
  <si>
    <t>Wisdom</t>
  </si>
  <si>
    <t>Intelligence</t>
  </si>
  <si>
    <t>Charisma</t>
  </si>
  <si>
    <t>Strength</t>
  </si>
  <si>
    <t>Race</t>
  </si>
  <si>
    <t>Class</t>
  </si>
  <si>
    <t>Region</t>
  </si>
  <si>
    <t>Deity</t>
  </si>
  <si>
    <t>Alignment</t>
  </si>
  <si>
    <t>Attack Bonus</t>
  </si>
  <si>
    <t>Initiative</t>
  </si>
  <si>
    <t>Sex</t>
  </si>
  <si>
    <t>Age</t>
  </si>
  <si>
    <t>Height</t>
  </si>
  <si>
    <t>Weight</t>
  </si>
  <si>
    <t>Base Speed</t>
  </si>
  <si>
    <t>Actual Speed</t>
  </si>
  <si>
    <t>Lb. Capacity</t>
  </si>
  <si>
    <t>Lb. Carried</t>
  </si>
  <si>
    <t>Hit Points</t>
  </si>
  <si>
    <t>Touch AC</t>
  </si>
  <si>
    <t>FF AC</t>
  </si>
  <si>
    <t>AC</t>
  </si>
  <si>
    <t>Improved Uncanny Dodge</t>
  </si>
  <si>
    <t>Rogue 8</t>
  </si>
  <si>
    <t>Exact Location</t>
  </si>
  <si>
    <t>NPC</t>
  </si>
  <si>
    <t>Female</t>
  </si>
  <si>
    <t>Thief-Acrobat</t>
  </si>
  <si>
    <t>Halfling</t>
  </si>
  <si>
    <t>25 lbs.</t>
  </si>
  <si>
    <t>Thief-Acrobat 1</t>
  </si>
  <si>
    <t>Thief-Acrobat 2</t>
  </si>
  <si>
    <t>Thief-Acrobat 3</t>
  </si>
  <si>
    <t>Thief-Acrobat 4</t>
  </si>
  <si>
    <t>Thief-Acrobat 5</t>
  </si>
  <si>
    <t>Craft:  (type)</t>
  </si>
  <si>
    <t>+2 vs. Sleep/Charm, +2 if Lucky</t>
  </si>
  <si>
    <t>Stash:  Citadel of the Planes</t>
  </si>
  <si>
    <t>Treasure</t>
  </si>
  <si>
    <t>Common, Halfling, Gnomish</t>
  </si>
  <si>
    <t>Fast Acrobatics</t>
  </si>
  <si>
    <t>Rogue Features</t>
  </si>
  <si>
    <t>Thief-Acrobat Features</t>
  </si>
  <si>
    <t>Kip Up</t>
  </si>
  <si>
    <t>Steady Stance</t>
  </si>
  <si>
    <t>Agile Fighting +2/+3</t>
  </si>
  <si>
    <t>Slow Fall 30’</t>
  </si>
  <si>
    <t>Acrobatic Charge</t>
  </si>
  <si>
    <t>Skill Mastery</t>
  </si>
  <si>
    <t>Improved Evasion</t>
  </si>
  <si>
    <t>Knowledge:  Dungeoneering</t>
  </si>
  <si>
    <t>Gwen</t>
  </si>
  <si>
    <t>Triflestrife</t>
  </si>
  <si>
    <t>Equipment Carried in Backpack</t>
  </si>
  <si>
    <t>Brandobaris</t>
  </si>
  <si>
    <t>Ninja</t>
  </si>
  <si>
    <t>3’ 1”</t>
  </si>
  <si>
    <t>Ninja Features</t>
  </si>
  <si>
    <t>Sudden Strike 2d6</t>
  </si>
  <si>
    <t>Poison Use</t>
  </si>
  <si>
    <t>Great Leap</t>
  </si>
  <si>
    <t>Ninja 1</t>
  </si>
  <si>
    <t>Ninja 2</t>
  </si>
  <si>
    <t>Ninja 3</t>
  </si>
  <si>
    <t>Ninja 4</t>
  </si>
  <si>
    <t>Daredevil Athlete</t>
  </si>
  <si>
    <t>Scout</t>
  </si>
  <si>
    <t>Scout 1</t>
  </si>
  <si>
    <t>Scout 2</t>
  </si>
  <si>
    <t>Scout 3</t>
  </si>
  <si>
    <t>9th:  Swift Ambusher</t>
  </si>
  <si>
    <t>Battle Fortitude</t>
  </si>
  <si>
    <t>Fast Movement</t>
  </si>
  <si>
    <t>Trackless Step</t>
  </si>
  <si>
    <t>Point Blank Shot</t>
  </si>
  <si>
    <t>Scout Features</t>
  </si>
  <si>
    <t>Ki-Strike (2/day)</t>
  </si>
  <si>
    <t>Sneak Attack 4d6</t>
  </si>
  <si>
    <t>Skirmish +3d6; +3 AC</t>
  </si>
  <si>
    <t>Effects</t>
  </si>
  <si>
    <t>12th:  Daredevil Athlete</t>
  </si>
  <si>
    <t>Defensive Roll 1/day</t>
  </si>
  <si>
    <t>Dagger +1</t>
  </si>
  <si>
    <t>15th:  Skill Focus:  Move Silently</t>
  </si>
  <si>
    <t>18th:  Skill Focus:  Hide</t>
  </si>
  <si>
    <t>6th:  Trapmaster</t>
  </si>
  <si>
    <t>Intelligent Brooch of Denial</t>
  </si>
  <si>
    <t>Ghost Step</t>
  </si>
  <si>
    <t>Does not impart neg.lvl, but changes alignment to CE</t>
  </si>
  <si>
    <t>+2 if ≥ 1 Luck rerolls remain</t>
  </si>
  <si>
    <t>37 charges</t>
  </si>
  <si>
    <t>Daredevil Athlete, Skill Mastery (can take 10)</t>
  </si>
  <si>
    <t>Daredevil Athlete + Great Leap, Skill Mastery (can take 10)</t>
  </si>
  <si>
    <r>
      <t xml:space="preserve">Potion of </t>
    </r>
    <r>
      <rPr>
        <i/>
        <sz val="12"/>
        <rFont val="Times New Roman"/>
        <family val="1"/>
      </rPr>
      <t>Haste</t>
    </r>
  </si>
  <si>
    <t>Short Sword, 3rd Attack</t>
  </si>
  <si>
    <t>MW Dagger, 3rd Attack</t>
  </si>
  <si>
    <t>Blowgun, 3rd Attack</t>
  </si>
  <si>
    <t>Skull Shard</t>
  </si>
  <si>
    <t>1d3</t>
  </si>
  <si>
    <t>1d3 subd.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</si>
</sst>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1"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i/>
      <sz val="12"/>
      <color indexed="81"/>
      <name val="Times New Roman"/>
      <family val="1"/>
    </font>
    <font>
      <i/>
      <sz val="16"/>
      <color indexed="53"/>
      <name val="Times New Roman"/>
      <family val="1"/>
    </font>
    <font>
      <i/>
      <sz val="16"/>
      <color indexed="57"/>
      <name val="Times New Roman"/>
      <family val="1"/>
    </font>
    <font>
      <sz val="12"/>
      <name val="Times New Roman"/>
      <family val="1"/>
    </font>
    <font>
      <sz val="13"/>
      <color theme="1" tint="0.34998626667073579"/>
      <name val="Times New Roman"/>
      <family val="1"/>
    </font>
    <font>
      <i/>
      <sz val="12"/>
      <name val="Times New Roman"/>
      <family val="1"/>
    </font>
    <font>
      <i/>
      <sz val="16"/>
      <color indexed="10"/>
      <name val="Times New Roman"/>
      <family val="1"/>
    </font>
    <font>
      <i/>
      <sz val="13"/>
      <name val="Times New Roman"/>
      <family val="1"/>
    </font>
    <font>
      <sz val="13"/>
      <color rgb="FF008000"/>
      <name val="Times New Roman"/>
      <family val="1"/>
    </font>
    <font>
      <i/>
      <sz val="22"/>
      <color rgb="FF66FFFF"/>
      <name val="Times New Roman"/>
      <family val="1"/>
    </font>
    <font>
      <i/>
      <sz val="18"/>
      <color rgb="FF008000"/>
      <name val="Times New Roman"/>
      <family val="1"/>
    </font>
    <font>
      <i/>
      <sz val="16"/>
      <color rgb="FFCC66FF"/>
      <name val="Times New Roman"/>
      <family val="1"/>
    </font>
    <font>
      <i/>
      <sz val="16"/>
      <name val="Times New Roman"/>
      <family val="1"/>
    </font>
  </fonts>
  <fills count="1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00FF00"/>
        <bgColor indexed="64"/>
      </patternFill>
    </fill>
    <fill>
      <patternFill patternType="solid">
        <fgColor theme="1"/>
        <bgColor indexed="64"/>
      </patternFill>
    </fill>
  </fills>
  <borders count="11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hair">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hair">
        <color indexed="64"/>
      </bottom>
      <diagonal/>
    </border>
    <border>
      <left style="thin">
        <color auto="1"/>
      </left>
      <right style="medium">
        <color auto="1"/>
      </right>
      <top style="thin">
        <color auto="1"/>
      </top>
      <bottom style="double">
        <color indexed="64"/>
      </bottom>
      <diagonal/>
    </border>
    <border>
      <left style="thin">
        <color indexed="64"/>
      </left>
      <right style="thin">
        <color indexed="64"/>
      </right>
      <top style="thin">
        <color indexed="64"/>
      </top>
      <bottom style="double">
        <color indexed="64"/>
      </bottom>
      <diagonal/>
    </border>
  </borders>
  <cellStyleXfs count="10">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xf numFmtId="43" fontId="51" fillId="0" borderId="0" applyFont="0" applyFill="0" applyBorder="0" applyAlignment="0" applyProtection="0"/>
  </cellStyleXfs>
  <cellXfs count="41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3"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4"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9" fillId="2" borderId="4" xfId="0" applyFont="1" applyFill="1" applyBorder="1" applyAlignment="1">
      <alignment horizontal="right"/>
    </xf>
    <xf numFmtId="0" fontId="20" fillId="2" borderId="4" xfId="0" applyFont="1" applyFill="1" applyBorder="1" applyAlignment="1">
      <alignment horizontal="right"/>
    </xf>
    <xf numFmtId="0" fontId="7" fillId="2" borderId="10" xfId="0" applyFont="1" applyFill="1" applyBorder="1" applyAlignment="1">
      <alignment horizontal="right"/>
    </xf>
    <xf numFmtId="0" fontId="13" fillId="2" borderId="12" xfId="0" applyFont="1" applyFill="1" applyBorder="1" applyAlignment="1">
      <alignment horizontal="right"/>
    </xf>
    <xf numFmtId="0" fontId="23" fillId="0" borderId="19" xfId="0" applyFont="1" applyBorder="1" applyAlignment="1">
      <alignment horizontal="centerContinuous"/>
    </xf>
    <xf numFmtId="0" fontId="6" fillId="0" borderId="0" xfId="0" applyFont="1" applyBorder="1" applyAlignment="1">
      <alignment horizontal="centerContinuous"/>
    </xf>
    <xf numFmtId="49" fontId="24" fillId="0" borderId="3" xfId="0" applyNumberFormat="1" applyFont="1" applyBorder="1" applyAlignment="1">
      <alignment horizontal="center"/>
    </xf>
    <xf numFmtId="49" fontId="24" fillId="0" borderId="20" xfId="0" applyNumberFormat="1" applyFont="1" applyBorder="1" applyAlignment="1">
      <alignment horizontal="center"/>
    </xf>
    <xf numFmtId="0" fontId="18" fillId="0" borderId="0" xfId="0" applyFont="1" applyBorder="1" applyAlignment="1"/>
    <xf numFmtId="0" fontId="27"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49" fontId="24" fillId="0" borderId="11" xfId="0" applyNumberFormat="1" applyFont="1" applyBorder="1" applyAlignment="1">
      <alignment horizontal="center"/>
    </xf>
    <xf numFmtId="0" fontId="14"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49" fontId="6" fillId="0" borderId="9" xfId="0" applyNumberFormat="1" applyFont="1" applyBorder="1" applyAlignment="1">
      <alignment horizontal="center"/>
    </xf>
    <xf numFmtId="164" fontId="5" fillId="5" borderId="25" xfId="0" applyNumberFormat="1" applyFont="1" applyFill="1" applyBorder="1" applyAlignment="1">
      <alignment horizontal="center"/>
    </xf>
    <xf numFmtId="0" fontId="3" fillId="0" borderId="0" xfId="0" applyFont="1" applyBorder="1" applyAlignment="1">
      <alignment horizontal="center"/>
    </xf>
    <xf numFmtId="0" fontId="6" fillId="0" borderId="21" xfId="0" applyNumberFormat="1" applyFont="1" applyFill="1" applyBorder="1" applyAlignment="1">
      <alignment horizontal="center"/>
    </xf>
    <xf numFmtId="49" fontId="6" fillId="0" borderId="22" xfId="0" applyNumberFormat="1" applyFont="1" applyFill="1" applyBorder="1" applyAlignment="1">
      <alignment horizontal="center"/>
    </xf>
    <xf numFmtId="0" fontId="6" fillId="0" borderId="23" xfId="0" applyNumberFormat="1" applyFont="1" applyFill="1" applyBorder="1" applyAlignment="1">
      <alignment horizontal="center"/>
    </xf>
    <xf numFmtId="0" fontId="6" fillId="0" borderId="3" xfId="0" quotePrefix="1" applyFont="1" applyBorder="1" applyAlignment="1">
      <alignment horizontal="center"/>
    </xf>
    <xf numFmtId="164" fontId="2" fillId="0" borderId="0" xfId="0" applyNumberFormat="1" applyFont="1" applyBorder="1" applyAlignment="1">
      <alignment horizontal="centerContinuous"/>
    </xf>
    <xf numFmtId="0" fontId="19" fillId="3" borderId="30" xfId="0" applyFont="1" applyFill="1" applyBorder="1" applyAlignment="1">
      <alignment horizontal="center"/>
    </xf>
    <xf numFmtId="164" fontId="19" fillId="3" borderId="31" xfId="0" applyNumberFormat="1" applyFont="1" applyFill="1" applyBorder="1" applyAlignment="1">
      <alignment horizontal="center"/>
    </xf>
    <xf numFmtId="0" fontId="19" fillId="3" borderId="30" xfId="0" applyFont="1" applyFill="1" applyBorder="1" applyAlignment="1">
      <alignment horizontal="right"/>
    </xf>
    <xf numFmtId="0" fontId="19" fillId="3" borderId="32" xfId="0" applyFont="1" applyFill="1" applyBorder="1" applyAlignment="1"/>
    <xf numFmtId="164" fontId="4" fillId="0" borderId="33" xfId="0" applyNumberFormat="1" applyFont="1" applyBorder="1" applyAlignment="1">
      <alignment horizontal="center" shrinkToFit="1"/>
    </xf>
    <xf numFmtId="164" fontId="4" fillId="0" borderId="35" xfId="0" applyNumberFormat="1" applyFont="1" applyBorder="1" applyAlignment="1">
      <alignment horizontal="center"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7" fillId="4" borderId="42" xfId="0" applyFont="1" applyFill="1" applyBorder="1" applyAlignment="1">
      <alignment horizontal="right"/>
    </xf>
    <xf numFmtId="0" fontId="7" fillId="4" borderId="41" xfId="0" applyFont="1" applyFill="1" applyBorder="1" applyAlignment="1">
      <alignment horizontal="right"/>
    </xf>
    <xf numFmtId="0" fontId="13" fillId="6" borderId="1" xfId="0" applyFont="1" applyFill="1" applyBorder="1" applyAlignment="1"/>
    <xf numFmtId="0" fontId="6" fillId="6" borderId="21" xfId="0" applyNumberFormat="1" applyFont="1" applyFill="1" applyBorder="1" applyAlignment="1">
      <alignment horizontal="center"/>
    </xf>
    <xf numFmtId="49" fontId="21" fillId="6" borderId="21" xfId="0" applyNumberFormat="1" applyFont="1" applyFill="1" applyBorder="1" applyAlignment="1">
      <alignment horizontal="center"/>
    </xf>
    <xf numFmtId="0" fontId="21" fillId="6" borderId="22" xfId="0" applyNumberFormat="1" applyFont="1" applyFill="1" applyBorder="1" applyAlignment="1">
      <alignment horizontal="center"/>
    </xf>
    <xf numFmtId="49" fontId="6" fillId="6" borderId="22" xfId="0" applyNumberFormat="1" applyFont="1" applyFill="1" applyBorder="1" applyAlignment="1">
      <alignment horizontal="center"/>
    </xf>
    <xf numFmtId="0" fontId="6" fillId="6" borderId="23" xfId="0" applyNumberFormat="1" applyFont="1" applyFill="1" applyBorder="1" applyAlignment="1">
      <alignment horizontal="center"/>
    </xf>
    <xf numFmtId="164" fontId="1" fillId="0" borderId="33" xfId="0" applyNumberFormat="1" applyFont="1" applyBorder="1" applyAlignment="1">
      <alignment horizontal="center" shrinkToFit="1"/>
    </xf>
    <xf numFmtId="0" fontId="36" fillId="2" borderId="4" xfId="0" applyFont="1" applyFill="1" applyBorder="1" applyAlignment="1">
      <alignment horizontal="right"/>
    </xf>
    <xf numFmtId="0" fontId="13" fillId="6" borderId="22" xfId="0" applyNumberFormat="1" applyFont="1" applyFill="1" applyBorder="1" applyAlignment="1">
      <alignment horizontal="center"/>
    </xf>
    <xf numFmtId="0" fontId="1" fillId="0" borderId="0" xfId="0" applyFont="1" applyBorder="1" applyAlignment="1">
      <alignment horizontal="center"/>
    </xf>
    <xf numFmtId="0" fontId="10" fillId="6" borderId="1" xfId="0" applyFont="1" applyFill="1" applyBorder="1" applyAlignment="1"/>
    <xf numFmtId="49" fontId="15" fillId="6" borderId="21" xfId="0" applyNumberFormat="1" applyFont="1" applyFill="1" applyBorder="1" applyAlignment="1">
      <alignment horizontal="center"/>
    </xf>
    <xf numFmtId="0" fontId="15" fillId="6" borderId="22" xfId="0" applyNumberFormat="1" applyFont="1" applyFill="1" applyBorder="1" applyAlignment="1">
      <alignment horizontal="center"/>
    </xf>
    <xf numFmtId="0" fontId="10" fillId="6" borderId="22" xfId="0" applyNumberFormat="1" applyFont="1" applyFill="1" applyBorder="1" applyAlignment="1">
      <alignment horizontal="center"/>
    </xf>
    <xf numFmtId="0" fontId="12" fillId="6" borderId="1" xfId="0" applyFont="1" applyFill="1" applyBorder="1" applyAlignment="1"/>
    <xf numFmtId="49" fontId="22" fillId="6" borderId="21" xfId="0" applyNumberFormat="1" applyFont="1" applyFill="1" applyBorder="1" applyAlignment="1">
      <alignment horizontal="center"/>
    </xf>
    <xf numFmtId="0" fontId="22" fillId="6" borderId="22" xfId="0" applyNumberFormat="1" applyFont="1" applyFill="1" applyBorder="1" applyAlignment="1">
      <alignment horizontal="center"/>
    </xf>
    <xf numFmtId="0" fontId="12" fillId="6" borderId="22" xfId="0" applyNumberFormat="1" applyFont="1" applyFill="1" applyBorder="1" applyAlignment="1">
      <alignment horizontal="center"/>
    </xf>
    <xf numFmtId="0" fontId="20" fillId="6" borderId="1" xfId="0" applyFont="1" applyFill="1" applyBorder="1" applyAlignment="1"/>
    <xf numFmtId="49" fontId="26" fillId="6" borderId="21" xfId="0" applyNumberFormat="1" applyFont="1" applyFill="1" applyBorder="1" applyAlignment="1">
      <alignment horizontal="center"/>
    </xf>
    <xf numFmtId="0" fontId="26" fillId="6" borderId="22" xfId="0" applyNumberFormat="1" applyFont="1" applyFill="1" applyBorder="1" applyAlignment="1">
      <alignment horizontal="center"/>
    </xf>
    <xf numFmtId="0" fontId="20" fillId="6" borderId="22" xfId="0" applyNumberFormat="1" applyFont="1" applyFill="1" applyBorder="1" applyAlignment="1">
      <alignment horizontal="center"/>
    </xf>
    <xf numFmtId="0" fontId="9" fillId="0" borderId="1" xfId="0" applyFont="1" applyFill="1" applyBorder="1" applyAlignment="1"/>
    <xf numFmtId="49" fontId="25" fillId="0" borderId="21" xfId="0" applyNumberFormat="1" applyFont="1" applyFill="1" applyBorder="1" applyAlignment="1">
      <alignment horizontal="center"/>
    </xf>
    <xf numFmtId="0" fontId="25" fillId="0" borderId="22" xfId="0" applyNumberFormat="1" applyFont="1" applyFill="1" applyBorder="1" applyAlignment="1">
      <alignment horizontal="center"/>
    </xf>
    <xf numFmtId="0" fontId="9" fillId="0" borderId="22" xfId="0" applyNumberFormat="1" applyFont="1" applyFill="1" applyBorder="1" applyAlignment="1">
      <alignment horizontal="center"/>
    </xf>
    <xf numFmtId="0" fontId="6" fillId="0" borderId="0" xfId="0" applyFont="1" applyFill="1" applyBorder="1" applyAlignment="1">
      <alignment wrapText="1"/>
    </xf>
    <xf numFmtId="0" fontId="37" fillId="0" borderId="29" xfId="0" applyFont="1" applyFill="1" applyBorder="1" applyAlignment="1">
      <alignment horizontal="center" shrinkToFit="1"/>
    </xf>
    <xf numFmtId="0" fontId="24" fillId="0" borderId="11" xfId="0" applyNumberFormat="1" applyFont="1" applyBorder="1" applyAlignment="1">
      <alignment horizontal="center"/>
    </xf>
    <xf numFmtId="0" fontId="13" fillId="0" borderId="1" xfId="0" applyFont="1" applyFill="1" applyBorder="1" applyAlignment="1"/>
    <xf numFmtId="49" fontId="21" fillId="0" borderId="21" xfId="0" applyNumberFormat="1" applyFont="1" applyFill="1" applyBorder="1" applyAlignment="1">
      <alignment horizontal="center"/>
    </xf>
    <xf numFmtId="0" fontId="21" fillId="0" borderId="22" xfId="0" applyNumberFormat="1" applyFont="1" applyFill="1" applyBorder="1" applyAlignment="1">
      <alignment horizontal="center"/>
    </xf>
    <xf numFmtId="0" fontId="13" fillId="0" borderId="22" xfId="0" applyNumberFormat="1" applyFont="1" applyFill="1" applyBorder="1" applyAlignment="1">
      <alignment horizontal="center"/>
    </xf>
    <xf numFmtId="0" fontId="12" fillId="0" borderId="1" xfId="0" applyFont="1" applyFill="1" applyBorder="1" applyAlignment="1"/>
    <xf numFmtId="49" fontId="22" fillId="0" borderId="21" xfId="0" applyNumberFormat="1" applyFont="1" applyFill="1" applyBorder="1" applyAlignment="1">
      <alignment horizontal="center"/>
    </xf>
    <xf numFmtId="0" fontId="22" fillId="0" borderId="22" xfId="0" applyNumberFormat="1" applyFont="1" applyFill="1" applyBorder="1" applyAlignment="1">
      <alignment horizontal="center"/>
    </xf>
    <xf numFmtId="0" fontId="12" fillId="0" borderId="22" xfId="0" applyNumberFormat="1" applyFont="1" applyFill="1" applyBorder="1" applyAlignment="1">
      <alignment horizontal="center"/>
    </xf>
    <xf numFmtId="0" fontId="20" fillId="0" borderId="1" xfId="0" applyFont="1" applyFill="1" applyBorder="1" applyAlignment="1"/>
    <xf numFmtId="49" fontId="26" fillId="0" borderId="21" xfId="0" applyNumberFormat="1" applyFont="1" applyFill="1" applyBorder="1" applyAlignment="1">
      <alignment horizontal="center"/>
    </xf>
    <xf numFmtId="0" fontId="26" fillId="0" borderId="22" xfId="0" applyNumberFormat="1" applyFont="1" applyFill="1" applyBorder="1" applyAlignment="1">
      <alignment horizontal="center"/>
    </xf>
    <xf numFmtId="0" fontId="20" fillId="0" borderId="22" xfId="0" applyNumberFormat="1" applyFont="1" applyFill="1" applyBorder="1" applyAlignment="1">
      <alignment horizontal="center"/>
    </xf>
    <xf numFmtId="0" fontId="7" fillId="0" borderId="1" xfId="0" applyFont="1" applyFill="1" applyBorder="1" applyAlignment="1"/>
    <xf numFmtId="49" fontId="16" fillId="0" borderId="21" xfId="0" applyNumberFormat="1" applyFont="1" applyFill="1" applyBorder="1" applyAlignment="1">
      <alignment horizontal="center"/>
    </xf>
    <xf numFmtId="0" fontId="16" fillId="0" borderId="22" xfId="0" applyNumberFormat="1" applyFont="1" applyFill="1" applyBorder="1" applyAlignment="1">
      <alignment horizontal="center"/>
    </xf>
    <xf numFmtId="0" fontId="7" fillId="0" borderId="22" xfId="0" applyNumberFormat="1" applyFont="1" applyFill="1" applyBorder="1" applyAlignment="1">
      <alignment horizontal="center"/>
    </xf>
    <xf numFmtId="0" fontId="3" fillId="0" borderId="0" xfId="0" applyFont="1" applyBorder="1" applyAlignment="1">
      <alignment horizontal="left"/>
    </xf>
    <xf numFmtId="0" fontId="1" fillId="0" borderId="46" xfId="0" applyFont="1" applyBorder="1" applyAlignment="1">
      <alignment horizontal="center" shrinkToFit="1"/>
    </xf>
    <xf numFmtId="0" fontId="39" fillId="0" borderId="29" xfId="0" applyFont="1" applyFill="1" applyBorder="1" applyAlignment="1">
      <alignment horizontal="centerContinuous"/>
    </xf>
    <xf numFmtId="0" fontId="3" fillId="2" borderId="48" xfId="0" applyFont="1" applyFill="1" applyBorder="1" applyAlignment="1">
      <alignment horizontal="centerContinuous"/>
    </xf>
    <xf numFmtId="0" fontId="4" fillId="2" borderId="48" xfId="0" applyFont="1" applyFill="1" applyBorder="1" applyAlignment="1">
      <alignment horizontal="centerContinuous"/>
    </xf>
    <xf numFmtId="0" fontId="40" fillId="0" borderId="1" xfId="0" applyFont="1" applyFill="1" applyBorder="1" applyAlignment="1"/>
    <xf numFmtId="0" fontId="5" fillId="0" borderId="21" xfId="0" applyFont="1" applyFill="1" applyBorder="1" applyAlignment="1">
      <alignment horizontal="center"/>
    </xf>
    <xf numFmtId="0" fontId="6" fillId="0" borderId="21" xfId="0" applyFont="1" applyFill="1" applyBorder="1" applyAlignment="1">
      <alignment horizontal="center"/>
    </xf>
    <xf numFmtId="1" fontId="6" fillId="0" borderId="21" xfId="0" applyNumberFormat="1" applyFont="1" applyFill="1" applyBorder="1" applyAlignment="1">
      <alignment horizontal="center" wrapText="1"/>
    </xf>
    <xf numFmtId="0" fontId="41" fillId="8" borderId="22" xfId="0" applyNumberFormat="1" applyFont="1" applyFill="1" applyBorder="1" applyAlignment="1">
      <alignment horizontal="center"/>
    </xf>
    <xf numFmtId="49" fontId="6" fillId="0" borderId="21" xfId="0" applyNumberFormat="1" applyFont="1" applyFill="1" applyBorder="1" applyAlignment="1">
      <alignment horizontal="center" wrapText="1"/>
    </xf>
    <xf numFmtId="0" fontId="42" fillId="0" borderId="1" xfId="0" applyFont="1" applyFill="1" applyBorder="1" applyAlignment="1"/>
    <xf numFmtId="0" fontId="43" fillId="0" borderId="52" xfId="0" applyFont="1" applyFill="1" applyBorder="1" applyAlignment="1"/>
    <xf numFmtId="0" fontId="5" fillId="0" borderId="53" xfId="0" applyFont="1" applyFill="1" applyBorder="1" applyAlignment="1">
      <alignment horizontal="center"/>
    </xf>
    <xf numFmtId="0" fontId="6" fillId="0" borderId="53" xfId="0" applyFont="1" applyFill="1" applyBorder="1" applyAlignment="1">
      <alignment horizontal="center"/>
    </xf>
    <xf numFmtId="1" fontId="6" fillId="0" borderId="53" xfId="0" applyNumberFormat="1" applyFont="1" applyFill="1" applyBorder="1" applyAlignment="1">
      <alignment horizontal="center" wrapText="1"/>
    </xf>
    <xf numFmtId="0" fontId="41" fillId="8" borderId="53" xfId="0" applyNumberFormat="1" applyFont="1" applyFill="1" applyBorder="1" applyAlignment="1">
      <alignment horizontal="center"/>
    </xf>
    <xf numFmtId="49" fontId="6" fillId="0" borderId="53" xfId="0" applyNumberFormat="1" applyFont="1" applyFill="1" applyBorder="1" applyAlignment="1">
      <alignment horizontal="center" wrapText="1"/>
    </xf>
    <xf numFmtId="0" fontId="43" fillId="0" borderId="21" xfId="0" applyFont="1" applyFill="1" applyBorder="1" applyAlignment="1">
      <alignment horizontal="center" wrapText="1"/>
    </xf>
    <xf numFmtId="0" fontId="44" fillId="0" borderId="53" xfId="0" applyFont="1" applyFill="1" applyBorder="1" applyAlignment="1">
      <alignment horizontal="center" wrapText="1"/>
    </xf>
    <xf numFmtId="0" fontId="5" fillId="4" borderId="54" xfId="0" applyFont="1" applyFill="1" applyBorder="1" applyAlignment="1">
      <alignment horizontal="right"/>
    </xf>
    <xf numFmtId="0" fontId="5" fillId="4" borderId="55" xfId="0" applyFont="1" applyFill="1" applyBorder="1" applyAlignment="1">
      <alignment horizontal="right"/>
    </xf>
    <xf numFmtId="0" fontId="45" fillId="2" borderId="48" xfId="0" applyFont="1" applyFill="1" applyBorder="1" applyAlignment="1">
      <alignment horizontal="left"/>
    </xf>
    <xf numFmtId="0" fontId="6" fillId="0" borderId="57" xfId="0" quotePrefix="1" applyFont="1" applyFill="1" applyBorder="1" applyAlignment="1">
      <alignment horizontal="center"/>
    </xf>
    <xf numFmtId="0" fontId="10" fillId="0" borderId="1" xfId="0" applyFont="1" applyFill="1" applyBorder="1" applyAlignment="1"/>
    <xf numFmtId="49" fontId="15" fillId="0" borderId="21" xfId="0" applyNumberFormat="1" applyFont="1" applyFill="1" applyBorder="1" applyAlignment="1">
      <alignment horizontal="center"/>
    </xf>
    <xf numFmtId="0" fontId="15" fillId="0" borderId="22" xfId="0" applyNumberFormat="1" applyFont="1" applyFill="1" applyBorder="1" applyAlignment="1">
      <alignment horizontal="center"/>
    </xf>
    <xf numFmtId="0" fontId="10" fillId="0" borderId="22" xfId="0" applyNumberFormat="1" applyFont="1" applyFill="1" applyBorder="1" applyAlignment="1">
      <alignment horizontal="center"/>
    </xf>
    <xf numFmtId="0" fontId="4" fillId="0" borderId="33" xfId="0" applyFont="1" applyBorder="1" applyAlignment="1">
      <alignment horizontal="left"/>
    </xf>
    <xf numFmtId="0" fontId="4" fillId="0" borderId="64" xfId="0" applyFont="1" applyBorder="1" applyAlignment="1">
      <alignment horizontal="center" shrinkToFit="1"/>
    </xf>
    <xf numFmtId="0" fontId="1" fillId="0" borderId="33" xfId="0" applyFont="1" applyBorder="1" applyAlignment="1">
      <alignment horizontal="left"/>
    </xf>
    <xf numFmtId="0" fontId="1" fillId="0" borderId="64" xfId="0" applyFont="1" applyBorder="1" applyAlignment="1">
      <alignment horizontal="center" shrinkToFit="1"/>
    </xf>
    <xf numFmtId="0" fontId="1" fillId="0" borderId="35" xfId="0" applyFont="1" applyBorder="1" applyAlignment="1">
      <alignment horizontal="left"/>
    </xf>
    <xf numFmtId="0" fontId="1" fillId="0" borderId="62"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1" fillId="3" borderId="50" xfId="0" applyFont="1" applyFill="1" applyBorder="1" applyAlignment="1">
      <alignment horizontal="centerContinuous" vertical="center"/>
    </xf>
    <xf numFmtId="0" fontId="11" fillId="3" borderId="31" xfId="0" applyFont="1" applyFill="1" applyBorder="1" applyAlignment="1">
      <alignment horizontal="center" vertical="center"/>
    </xf>
    <xf numFmtId="0" fontId="11" fillId="3" borderId="31" xfId="0" applyFont="1" applyFill="1" applyBorder="1" applyAlignment="1">
      <alignment horizontal="center" vertical="center" wrapText="1"/>
    </xf>
    <xf numFmtId="0" fontId="11" fillId="3" borderId="31" xfId="0" applyNumberFormat="1" applyFont="1" applyFill="1" applyBorder="1" applyAlignment="1">
      <alignment horizontal="center" vertical="center" wrapText="1"/>
    </xf>
    <xf numFmtId="0" fontId="44" fillId="8" borderId="30" xfId="0" applyNumberFormat="1" applyFont="1" applyFill="1" applyBorder="1" applyAlignment="1">
      <alignment horizontal="center" vertical="center" wrapText="1"/>
    </xf>
    <xf numFmtId="0" fontId="11" fillId="3" borderId="31" xfId="0" applyNumberFormat="1" applyFont="1" applyFill="1" applyBorder="1" applyAlignment="1">
      <alignment horizontal="center" vertical="center"/>
    </xf>
    <xf numFmtId="0" fontId="11" fillId="3" borderId="51" xfId="0" applyFont="1" applyFill="1" applyBorder="1" applyAlignment="1">
      <alignment horizontal="center" vertical="center"/>
    </xf>
    <xf numFmtId="0" fontId="3" fillId="0" borderId="0" xfId="0" applyFont="1" applyBorder="1" applyAlignment="1">
      <alignment vertical="center"/>
    </xf>
    <xf numFmtId="0" fontId="10" fillId="9" borderId="1" xfId="0" applyFont="1" applyFill="1" applyBorder="1" applyAlignment="1"/>
    <xf numFmtId="0" fontId="6" fillId="9" borderId="21" xfId="0" applyNumberFormat="1" applyFont="1" applyFill="1" applyBorder="1" applyAlignment="1">
      <alignment horizontal="center"/>
    </xf>
    <xf numFmtId="49" fontId="15" fillId="9" borderId="21" xfId="0" applyNumberFormat="1" applyFont="1" applyFill="1" applyBorder="1" applyAlignment="1">
      <alignment horizontal="center"/>
    </xf>
    <xf numFmtId="0" fontId="15" fillId="9" borderId="22" xfId="0" applyNumberFormat="1" applyFont="1" applyFill="1" applyBorder="1" applyAlignment="1">
      <alignment horizontal="center"/>
    </xf>
    <xf numFmtId="0" fontId="10" fillId="9" borderId="22" xfId="0" applyNumberFormat="1" applyFont="1" applyFill="1" applyBorder="1" applyAlignment="1">
      <alignment horizontal="center"/>
    </xf>
    <xf numFmtId="49" fontId="6" fillId="9" borderId="22" xfId="0" applyNumberFormat="1" applyFont="1" applyFill="1" applyBorder="1" applyAlignment="1">
      <alignment horizontal="center"/>
    </xf>
    <xf numFmtId="0" fontId="6" fillId="9" borderId="23" xfId="0" quotePrefix="1" applyNumberFormat="1" applyFont="1" applyFill="1" applyBorder="1" applyAlignment="1">
      <alignment horizontal="center"/>
    </xf>
    <xf numFmtId="0" fontId="6" fillId="9" borderId="23" xfId="0" applyNumberFormat="1" applyFont="1" applyFill="1" applyBorder="1" applyAlignment="1">
      <alignment horizontal="center"/>
    </xf>
    <xf numFmtId="0" fontId="13" fillId="9" borderId="1" xfId="0" applyFont="1" applyFill="1" applyBorder="1" applyAlignment="1"/>
    <xf numFmtId="49" fontId="26" fillId="9" borderId="21" xfId="0" applyNumberFormat="1" applyFont="1" applyFill="1" applyBorder="1" applyAlignment="1">
      <alignment horizontal="center"/>
    </xf>
    <xf numFmtId="0" fontId="26" fillId="9" borderId="22" xfId="0" applyNumberFormat="1" applyFont="1" applyFill="1" applyBorder="1" applyAlignment="1">
      <alignment horizontal="center"/>
    </xf>
    <xf numFmtId="0" fontId="20" fillId="9" borderId="22" xfId="0" applyNumberFormat="1" applyFont="1" applyFill="1" applyBorder="1" applyAlignment="1">
      <alignment horizontal="center"/>
    </xf>
    <xf numFmtId="0" fontId="1" fillId="0" borderId="78" xfId="0" applyFont="1" applyBorder="1" applyAlignment="1">
      <alignment horizontal="center" shrinkToFit="1"/>
    </xf>
    <xf numFmtId="0" fontId="1" fillId="0" borderId="79" xfId="0" applyFont="1" applyBorder="1" applyAlignment="1">
      <alignment horizontal="center" shrinkToFit="1"/>
    </xf>
    <xf numFmtId="0" fontId="4" fillId="0" borderId="78" xfId="0" applyFont="1" applyBorder="1" applyAlignment="1">
      <alignment horizontal="center" shrinkToFit="1"/>
    </xf>
    <xf numFmtId="0" fontId="4" fillId="0" borderId="79" xfId="0" applyFont="1" applyBorder="1" applyAlignment="1">
      <alignment horizontal="center" shrinkToFit="1"/>
    </xf>
    <xf numFmtId="0" fontId="19" fillId="3" borderId="31" xfId="0" applyFont="1" applyFill="1" applyBorder="1" applyAlignment="1">
      <alignment horizontal="center"/>
    </xf>
    <xf numFmtId="0" fontId="10" fillId="4" borderId="81" xfId="0" applyFont="1" applyFill="1" applyBorder="1" applyAlignment="1">
      <alignment horizontal="right"/>
    </xf>
    <xf numFmtId="0" fontId="10" fillId="4" borderId="82" xfId="0" applyFont="1" applyFill="1" applyBorder="1" applyAlignment="1">
      <alignment horizontal="right"/>
    </xf>
    <xf numFmtId="0" fontId="2" fillId="0" borderId="0" xfId="0" applyFont="1" applyBorder="1" applyAlignment="1">
      <alignment horizontal="centerContinuous" vertical="center"/>
    </xf>
    <xf numFmtId="0" fontId="4" fillId="0" borderId="0" xfId="0" applyFont="1" applyBorder="1" applyAlignment="1">
      <alignment vertical="center"/>
    </xf>
    <xf numFmtId="0" fontId="19" fillId="7" borderId="13" xfId="0" applyFont="1" applyFill="1" applyBorder="1" applyAlignment="1">
      <alignment horizontal="center" vertical="center"/>
    </xf>
    <xf numFmtId="0" fontId="19" fillId="7" borderId="14" xfId="0" applyFont="1" applyFill="1" applyBorder="1" applyAlignment="1">
      <alignment horizontal="center" vertical="center"/>
    </xf>
    <xf numFmtId="49" fontId="19" fillId="7" borderId="14" xfId="0" applyNumberFormat="1" applyFont="1" applyFill="1" applyBorder="1" applyAlignment="1">
      <alignment horizontal="center" vertical="center"/>
    </xf>
    <xf numFmtId="0" fontId="19" fillId="7" borderId="18" xfId="0" applyFont="1" applyFill="1" applyBorder="1" applyAlignment="1">
      <alignment horizontal="center" vertical="center"/>
    </xf>
    <xf numFmtId="0" fontId="46" fillId="8" borderId="18" xfId="0" applyFont="1" applyFill="1" applyBorder="1" applyAlignment="1">
      <alignment horizontal="center" vertical="center"/>
    </xf>
    <xf numFmtId="0" fontId="19" fillId="7" borderId="15" xfId="0" applyFont="1" applyFill="1" applyBorder="1" applyAlignment="1">
      <alignment horizontal="center" vertical="center"/>
    </xf>
    <xf numFmtId="0" fontId="4" fillId="0" borderId="0" xfId="0" applyFont="1" applyBorder="1" applyAlignment="1">
      <alignment horizontal="center" vertical="center"/>
    </xf>
    <xf numFmtId="0" fontId="1" fillId="0" borderId="62" xfId="0" applyFont="1" applyBorder="1" applyAlignment="1">
      <alignment horizontal="center" vertical="center"/>
    </xf>
    <xf numFmtId="0" fontId="1" fillId="10" borderId="12" xfId="0" applyFont="1" applyFill="1" applyBorder="1" applyAlignment="1">
      <alignment horizontal="center" vertical="center"/>
    </xf>
    <xf numFmtId="0" fontId="1" fillId="10" borderId="37" xfId="0" applyFont="1" applyFill="1" applyBorder="1" applyAlignment="1">
      <alignment horizontal="center" vertical="center"/>
    </xf>
    <xf numFmtId="49" fontId="1" fillId="10" borderId="37" xfId="0" applyNumberFormat="1" applyFont="1" applyFill="1" applyBorder="1" applyAlignment="1">
      <alignment horizontal="center" vertical="center"/>
    </xf>
    <xf numFmtId="164" fontId="1" fillId="10" borderId="37" xfId="0" applyNumberFormat="1" applyFont="1" applyFill="1" applyBorder="1" applyAlignment="1">
      <alignment horizontal="center" vertical="center"/>
    </xf>
    <xf numFmtId="164" fontId="1" fillId="10" borderId="38" xfId="0" applyNumberFormat="1" applyFont="1" applyFill="1" applyBorder="1" applyAlignment="1">
      <alignment horizontal="center" vertical="center"/>
    </xf>
    <xf numFmtId="1" fontId="47" fillId="8" borderId="38" xfId="0" applyNumberFormat="1" applyFont="1" applyFill="1" applyBorder="1" applyAlignment="1">
      <alignment horizontal="center" vertical="center"/>
    </xf>
    <xf numFmtId="1" fontId="1" fillId="10" borderId="38" xfId="0" applyNumberFormat="1" applyFont="1" applyFill="1" applyBorder="1" applyAlignment="1">
      <alignment horizontal="center" vertical="center"/>
    </xf>
    <xf numFmtId="0" fontId="1" fillId="10" borderId="28"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7" borderId="18" xfId="0" applyFont="1" applyFill="1" applyBorder="1" applyAlignment="1">
      <alignment horizontal="centerContinuous" vertical="center"/>
    </xf>
    <xf numFmtId="0" fontId="19" fillId="7" borderId="63" xfId="0" applyFont="1" applyFill="1" applyBorder="1" applyAlignment="1">
      <alignment horizontal="centerContinuous" vertical="center"/>
    </xf>
    <xf numFmtId="0" fontId="19" fillId="7" borderId="40" xfId="0" applyFont="1" applyFill="1" applyBorder="1" applyAlignment="1">
      <alignment horizontal="centerContinuous" vertical="center"/>
    </xf>
    <xf numFmtId="0" fontId="1" fillId="0" borderId="62" xfId="0" quotePrefix="1" applyFont="1" applyBorder="1" applyAlignment="1">
      <alignment horizontal="center" vertical="center"/>
    </xf>
    <xf numFmtId="9" fontId="1" fillId="0" borderId="62" xfId="0" applyNumberFormat="1" applyFont="1" applyBorder="1" applyAlignment="1">
      <alignment horizontal="center" vertical="center"/>
    </xf>
    <xf numFmtId="49" fontId="1" fillId="0" borderId="62" xfId="0" quotePrefix="1" applyNumberFormat="1" applyFont="1" applyBorder="1" applyAlignment="1">
      <alignment horizontal="center" vertical="center"/>
    </xf>
    <xf numFmtId="164" fontId="4" fillId="0" borderId="62" xfId="0" applyNumberFormat="1" applyFont="1" applyFill="1" applyBorder="1" applyAlignment="1">
      <alignment horizontal="center" vertical="center"/>
    </xf>
    <xf numFmtId="164" fontId="1" fillId="0" borderId="61" xfId="0" applyNumberFormat="1" applyFont="1" applyFill="1" applyBorder="1" applyAlignment="1">
      <alignment horizontal="centerContinuous" vertical="center"/>
    </xf>
    <xf numFmtId="164" fontId="1" fillId="0" borderId="70" xfId="0" applyNumberFormat="1" applyFont="1" applyFill="1" applyBorder="1" applyAlignment="1">
      <alignment horizontal="centerContinuous" vertical="center"/>
    </xf>
    <xf numFmtId="0" fontId="4" fillId="0" borderId="71" xfId="0" quotePrefix="1" applyFont="1" applyBorder="1" applyAlignment="1">
      <alignment horizontal="centerContinuous" vertical="center"/>
    </xf>
    <xf numFmtId="164" fontId="4" fillId="0" borderId="72" xfId="0" applyNumberFormat="1" applyFont="1" applyBorder="1" applyAlignment="1">
      <alignment horizontal="centerContinuous" vertical="center"/>
    </xf>
    <xf numFmtId="0" fontId="4" fillId="0" borderId="73" xfId="0" applyFont="1" applyBorder="1" applyAlignment="1">
      <alignment horizontal="centerContinuous" vertical="center"/>
    </xf>
    <xf numFmtId="0" fontId="17" fillId="0" borderId="0" xfId="0" applyFont="1" applyBorder="1" applyAlignment="1">
      <alignment horizontal="right" vertical="center"/>
    </xf>
    <xf numFmtId="0" fontId="19" fillId="7" borderId="16" xfId="0" applyFont="1" applyFill="1" applyBorder="1" applyAlignment="1">
      <alignment horizontal="centerContinuous" vertical="center"/>
    </xf>
    <xf numFmtId="0" fontId="19" fillId="7" borderId="17" xfId="0" applyFont="1" applyFill="1" applyBorder="1" applyAlignment="1">
      <alignment horizontal="centerContinuous" vertical="center"/>
    </xf>
    <xf numFmtId="0" fontId="1" fillId="0" borderId="59" xfId="0" applyFont="1" applyFill="1" applyBorder="1" applyAlignment="1">
      <alignment horizontal="centerContinuous" vertical="center"/>
    </xf>
    <xf numFmtId="0" fontId="4" fillId="0" borderId="60" xfId="0" applyFont="1" applyFill="1" applyBorder="1" applyAlignment="1">
      <alignment horizontal="centerContinuous" vertical="center"/>
    </xf>
    <xf numFmtId="0" fontId="4" fillId="0" borderId="61" xfId="0" applyFont="1" applyFill="1" applyBorder="1" applyAlignment="1">
      <alignment horizontal="centerContinuous" vertical="center"/>
    </xf>
    <xf numFmtId="49" fontId="1" fillId="0" borderId="62" xfId="0" applyNumberFormat="1" applyFont="1" applyFill="1" applyBorder="1" applyAlignment="1">
      <alignment horizontal="center" vertical="center"/>
    </xf>
    <xf numFmtId="49" fontId="1" fillId="0" borderId="61" xfId="0" applyNumberFormat="1" applyFont="1" applyFill="1" applyBorder="1" applyAlignment="1">
      <alignment horizontal="centerContinuous" vertical="center"/>
    </xf>
    <xf numFmtId="49" fontId="1" fillId="0" borderId="70" xfId="0" applyNumberFormat="1" applyFont="1" applyFill="1" applyBorder="1" applyAlignment="1">
      <alignment horizontal="centerContinuous" vertical="center"/>
    </xf>
    <xf numFmtId="0" fontId="4" fillId="0" borderId="71" xfId="0" applyFont="1" applyFill="1" applyBorder="1" applyAlignment="1">
      <alignment horizontal="centerContinuous" vertical="center"/>
    </xf>
    <xf numFmtId="0" fontId="1" fillId="0" borderId="5" xfId="0" applyFont="1" applyFill="1" applyBorder="1" applyAlignment="1">
      <alignment horizontal="centerContinuous" vertical="center"/>
    </xf>
    <xf numFmtId="0" fontId="4" fillId="0" borderId="58" xfId="0" applyFont="1" applyFill="1" applyBorder="1" applyAlignment="1">
      <alignment horizontal="centerContinuous" vertical="center"/>
    </xf>
    <xf numFmtId="0" fontId="4" fillId="0" borderId="38" xfId="0" applyFont="1" applyFill="1" applyBorder="1" applyAlignment="1">
      <alignment horizontal="centerContinuous" vertical="center"/>
    </xf>
    <xf numFmtId="164" fontId="4" fillId="0" borderId="37" xfId="0" applyNumberFormat="1" applyFont="1" applyFill="1" applyBorder="1" applyAlignment="1">
      <alignment horizontal="center" vertical="center"/>
    </xf>
    <xf numFmtId="49" fontId="1" fillId="0" borderId="37" xfId="0" applyNumberFormat="1" applyFont="1" applyFill="1" applyBorder="1" applyAlignment="1">
      <alignment horizontal="center" vertical="center"/>
    </xf>
    <xf numFmtId="49" fontId="1" fillId="0" borderId="38" xfId="0" applyNumberFormat="1" applyFont="1" applyFill="1" applyBorder="1" applyAlignment="1">
      <alignment horizontal="centerContinuous" vertical="center"/>
    </xf>
    <xf numFmtId="49" fontId="1" fillId="0" borderId="6" xfId="0" applyNumberFormat="1" applyFont="1" applyFill="1" applyBorder="1" applyAlignment="1">
      <alignment horizontal="centerContinuous" vertical="center"/>
    </xf>
    <xf numFmtId="0" fontId="1" fillId="0" borderId="7" xfId="0" applyFont="1" applyFill="1" applyBorder="1" applyAlignment="1">
      <alignment horizontal="centerContinuous" vertical="center"/>
    </xf>
    <xf numFmtId="0" fontId="33" fillId="2" borderId="49" xfId="1" applyFont="1" applyFill="1" applyBorder="1" applyAlignment="1" applyProtection="1">
      <alignment horizontal="right" vertical="center"/>
    </xf>
    <xf numFmtId="0" fontId="6" fillId="6" borderId="23" xfId="0" quotePrefix="1" applyNumberFormat="1" applyFont="1" applyFill="1" applyBorder="1" applyAlignment="1">
      <alignment horizontal="center"/>
    </xf>
    <xf numFmtId="1" fontId="1" fillId="0" borderId="0" xfId="0" applyNumberFormat="1" applyFont="1" applyBorder="1" applyAlignment="1">
      <alignment horizontal="center"/>
    </xf>
    <xf numFmtId="1" fontId="3" fillId="0" borderId="0" xfId="0" applyNumberFormat="1" applyFont="1" applyBorder="1" applyAlignment="1">
      <alignment horizontal="center"/>
    </xf>
    <xf numFmtId="1" fontId="4" fillId="0" borderId="0" xfId="0" applyNumberFormat="1" applyFont="1" applyBorder="1" applyAlignment="1">
      <alignment horizontal="center"/>
    </xf>
    <xf numFmtId="0" fontId="1" fillId="0" borderId="65" xfId="0" applyFont="1" applyBorder="1" applyAlignment="1">
      <alignment horizontal="center" vertical="center" shrinkToFit="1"/>
    </xf>
    <xf numFmtId="0" fontId="19" fillId="7" borderId="26" xfId="0" applyFont="1" applyFill="1" applyBorder="1" applyAlignment="1">
      <alignment horizontal="center" vertical="center"/>
    </xf>
    <xf numFmtId="1" fontId="1" fillId="0" borderId="83" xfId="0" applyNumberFormat="1" applyFont="1" applyFill="1" applyBorder="1" applyAlignment="1">
      <alignment horizontal="center" vertical="center"/>
    </xf>
    <xf numFmtId="1" fontId="1" fillId="0" borderId="2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0" fontId="1" fillId="0" borderId="68" xfId="0" quotePrefix="1" applyFont="1" applyBorder="1" applyAlignment="1">
      <alignment horizontal="center" vertical="center"/>
    </xf>
    <xf numFmtId="9" fontId="1" fillId="0" borderId="68" xfId="0" applyNumberFormat="1" applyFont="1" applyBorder="1" applyAlignment="1">
      <alignment horizontal="center" vertical="center"/>
    </xf>
    <xf numFmtId="0" fontId="1" fillId="0" borderId="68" xfId="0" applyNumberFormat="1" applyFont="1" applyBorder="1" applyAlignment="1">
      <alignment horizontal="center" vertical="center"/>
    </xf>
    <xf numFmtId="164" fontId="1" fillId="0" borderId="68" xfId="0" applyNumberFormat="1" applyFont="1" applyBorder="1" applyAlignment="1">
      <alignment horizontal="center" vertical="center"/>
    </xf>
    <xf numFmtId="0" fontId="1" fillId="0" borderId="78" xfId="0" applyFont="1" applyFill="1" applyBorder="1" applyAlignment="1">
      <alignment horizontal="center" shrinkToFit="1"/>
    </xf>
    <xf numFmtId="164" fontId="4" fillId="0" borderId="33" xfId="0" applyNumberFormat="1" applyFont="1" applyFill="1" applyBorder="1" applyAlignment="1">
      <alignment horizontal="center" shrinkToFit="1"/>
    </xf>
    <xf numFmtId="0" fontId="1" fillId="0" borderId="33" xfId="0" quotePrefix="1" applyFont="1" applyFill="1" applyBorder="1" applyAlignment="1">
      <alignment horizontal="left"/>
    </xf>
    <xf numFmtId="0" fontId="1" fillId="0" borderId="46" xfId="0" applyFont="1" applyFill="1" applyBorder="1" applyAlignment="1">
      <alignment horizontal="center" shrinkToFit="1"/>
    </xf>
    <xf numFmtId="164" fontId="1" fillId="0" borderId="33" xfId="0" applyNumberFormat="1" applyFont="1" applyFill="1" applyBorder="1" applyAlignment="1">
      <alignment horizontal="center" shrinkToFit="1"/>
    </xf>
    <xf numFmtId="0" fontId="1" fillId="0" borderId="74" xfId="0" applyFont="1" applyFill="1" applyBorder="1" applyAlignment="1">
      <alignment horizontal="center" shrinkToFit="1"/>
    </xf>
    <xf numFmtId="0" fontId="1" fillId="0" borderId="80" xfId="0" applyFont="1" applyFill="1" applyBorder="1" applyAlignment="1">
      <alignment horizontal="center" shrinkToFit="1"/>
    </xf>
    <xf numFmtId="164" fontId="4" fillId="0" borderId="75" xfId="0" applyNumberFormat="1" applyFont="1" applyFill="1" applyBorder="1" applyAlignment="1">
      <alignment horizontal="center" shrinkToFit="1"/>
    </xf>
    <xf numFmtId="0" fontId="1" fillId="0" borderId="64" xfId="0" applyFont="1" applyFill="1" applyBorder="1" applyAlignment="1">
      <alignment horizontal="center" shrinkToFit="1"/>
    </xf>
    <xf numFmtId="0" fontId="1" fillId="0" borderId="79" xfId="0" applyFont="1" applyFill="1" applyBorder="1" applyAlignment="1">
      <alignment horizontal="center" shrinkToFit="1"/>
    </xf>
    <xf numFmtId="164" fontId="4" fillId="0" borderId="35" xfId="0" applyNumberFormat="1" applyFont="1" applyFill="1" applyBorder="1" applyAlignment="1">
      <alignment horizontal="center" shrinkToFit="1"/>
    </xf>
    <xf numFmtId="0" fontId="4" fillId="0" borderId="35" xfId="0" applyFont="1" applyFill="1" applyBorder="1" applyAlignment="1">
      <alignment horizontal="left"/>
    </xf>
    <xf numFmtId="1" fontId="19" fillId="3" borderId="26" xfId="0" applyNumberFormat="1" applyFont="1" applyFill="1" applyBorder="1" applyAlignment="1">
      <alignment horizontal="center" vertical="center"/>
    </xf>
    <xf numFmtId="1" fontId="1" fillId="0" borderId="29"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0" fontId="19" fillId="7" borderId="84" xfId="0" applyFont="1" applyFill="1" applyBorder="1" applyAlignment="1">
      <alignment horizontal="center" vertical="center"/>
    </xf>
    <xf numFmtId="0" fontId="1" fillId="0" borderId="0" xfId="0" applyFont="1" applyBorder="1" applyAlignment="1">
      <alignment vertical="center"/>
    </xf>
    <xf numFmtId="0" fontId="1" fillId="0" borderId="59" xfId="0" applyFont="1" applyFill="1" applyBorder="1" applyAlignment="1">
      <alignment horizontal="centerContinuous" vertical="center" shrinkToFit="1"/>
    </xf>
    <xf numFmtId="0" fontId="19" fillId="0" borderId="70" xfId="0" applyFont="1" applyFill="1" applyBorder="1" applyAlignment="1">
      <alignment horizontal="centerContinuous" vertical="center"/>
    </xf>
    <xf numFmtId="0" fontId="1" fillId="0" borderId="71" xfId="0" applyFont="1" applyFill="1" applyBorder="1" applyAlignment="1">
      <alignment horizontal="centerContinuous" vertical="center"/>
    </xf>
    <xf numFmtId="0" fontId="1" fillId="0" borderId="85" xfId="0" applyFont="1" applyFill="1" applyBorder="1" applyAlignment="1">
      <alignment horizontal="centerContinuous" vertical="center" shrinkToFit="1"/>
    </xf>
    <xf numFmtId="0" fontId="19" fillId="0" borderId="86"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88" xfId="0" applyFont="1" applyFill="1" applyBorder="1" applyAlignment="1">
      <alignment horizontal="centerContinuous" vertical="center" shrinkToFit="1"/>
    </xf>
    <xf numFmtId="0" fontId="19" fillId="0" borderId="72" xfId="0" applyFont="1" applyFill="1" applyBorder="1" applyAlignment="1">
      <alignment horizontal="centerContinuous" vertical="center"/>
    </xf>
    <xf numFmtId="0" fontId="1" fillId="0" borderId="68" xfId="0" applyFont="1" applyFill="1" applyBorder="1" applyAlignment="1">
      <alignment horizontal="center" vertical="center"/>
    </xf>
    <xf numFmtId="164" fontId="1" fillId="0" borderId="69" xfId="0" quotePrefix="1" applyNumberFormat="1" applyFont="1" applyBorder="1" applyAlignment="1">
      <alignment horizontal="centerContinuous" vertical="center"/>
    </xf>
    <xf numFmtId="0" fontId="3" fillId="0" borderId="0" xfId="0" applyFont="1" applyBorder="1" applyAlignment="1">
      <alignment horizontal="right" vertical="center"/>
    </xf>
    <xf numFmtId="165" fontId="1" fillId="0" borderId="0" xfId="0" applyNumberFormat="1" applyFont="1" applyBorder="1" applyAlignment="1">
      <alignment horizontal="center" vertical="center"/>
    </xf>
    <xf numFmtId="0" fontId="1" fillId="0" borderId="21" xfId="0" applyFont="1" applyBorder="1" applyAlignment="1">
      <alignment horizontal="center" vertical="center"/>
    </xf>
    <xf numFmtId="1" fontId="1" fillId="0" borderId="89" xfId="0" applyNumberFormat="1" applyFont="1" applyFill="1" applyBorder="1" applyAlignment="1">
      <alignment horizontal="center" vertical="center"/>
    </xf>
    <xf numFmtId="0" fontId="37" fillId="0" borderId="43" xfId="0" applyFont="1" applyFill="1" applyBorder="1" applyAlignment="1">
      <alignment horizontal="center" shrinkToFit="1"/>
    </xf>
    <xf numFmtId="0" fontId="49" fillId="0" borderId="26" xfId="0" applyFont="1" applyFill="1" applyBorder="1" applyAlignment="1">
      <alignment horizontal="centerContinuous"/>
    </xf>
    <xf numFmtId="0" fontId="37" fillId="0" borderId="39" xfId="0" applyFont="1" applyFill="1" applyBorder="1" applyAlignment="1">
      <alignment horizontal="center" shrinkToFit="1"/>
    </xf>
    <xf numFmtId="0" fontId="5" fillId="0" borderId="24" xfId="0" applyFont="1" applyBorder="1" applyAlignment="1">
      <alignment horizontal="center" vertical="center"/>
    </xf>
    <xf numFmtId="1" fontId="1" fillId="0" borderId="43" xfId="0" applyNumberFormat="1" applyFont="1" applyFill="1" applyBorder="1" applyAlignment="1">
      <alignment horizontal="center" vertical="center"/>
    </xf>
    <xf numFmtId="0" fontId="1" fillId="0" borderId="74" xfId="0" applyFont="1" applyBorder="1" applyAlignment="1">
      <alignment horizontal="center" shrinkToFit="1"/>
    </xf>
    <xf numFmtId="0" fontId="1" fillId="0" borderId="80" xfId="0" applyFont="1" applyBorder="1" applyAlignment="1">
      <alignment horizontal="center" shrinkToFit="1"/>
    </xf>
    <xf numFmtId="164" fontId="4" fillId="0" borderId="75" xfId="0" applyNumberFormat="1" applyFont="1" applyBorder="1" applyAlignment="1">
      <alignment horizontal="center" shrinkToFit="1"/>
    </xf>
    <xf numFmtId="1" fontId="1" fillId="0" borderId="90" xfId="0" applyNumberFormat="1" applyFont="1" applyBorder="1" applyAlignment="1">
      <alignment horizontal="center" vertical="center" shrinkToFit="1"/>
    </xf>
    <xf numFmtId="0" fontId="1" fillId="0" borderId="75" xfId="0" quotePrefix="1" applyFont="1" applyBorder="1" applyAlignment="1">
      <alignment horizontal="left"/>
    </xf>
    <xf numFmtId="0" fontId="1" fillId="0" borderId="75" xfId="0" applyFont="1" applyBorder="1" applyAlignment="1">
      <alignment horizontal="left"/>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2" xfId="0" quotePrefix="1" applyFont="1" applyFill="1" applyBorder="1" applyAlignment="1">
      <alignment horizontal="center" vertical="center" wrapText="1"/>
    </xf>
    <xf numFmtId="49" fontId="1" fillId="0" borderId="92" xfId="2" applyNumberFormat="1" applyFont="1" applyFill="1" applyBorder="1" applyAlignment="1">
      <alignment horizontal="center" vertical="center"/>
    </xf>
    <xf numFmtId="0" fontId="1" fillId="0" borderId="92" xfId="0" applyFont="1" applyFill="1" applyBorder="1" applyAlignment="1">
      <alignment horizontal="center" vertical="center" shrinkToFit="1"/>
    </xf>
    <xf numFmtId="164" fontId="4" fillId="0" borderId="93" xfId="0" applyNumberFormat="1" applyFont="1" applyBorder="1" applyAlignment="1">
      <alignment horizontal="center" vertical="center"/>
    </xf>
    <xf numFmtId="1" fontId="47" fillId="8" borderId="93" xfId="0" applyNumberFormat="1" applyFont="1" applyFill="1" applyBorder="1" applyAlignment="1">
      <alignment horizontal="center" vertical="center"/>
    </xf>
    <xf numFmtId="1" fontId="1" fillId="0" borderId="93" xfId="0" applyNumberFormat="1" applyFont="1" applyBorder="1" applyAlignment="1">
      <alignment horizontal="center" vertical="center"/>
    </xf>
    <xf numFmtId="0" fontId="1" fillId="0" borderId="23" xfId="0" quotePrefix="1" applyFont="1" applyBorder="1" applyAlignment="1">
      <alignment horizontal="center" vertical="center"/>
    </xf>
    <xf numFmtId="164" fontId="1" fillId="0" borderId="94" xfId="0" applyNumberFormat="1" applyFont="1" applyFill="1" applyBorder="1" applyAlignment="1">
      <alignment horizontal="center" vertical="center"/>
    </xf>
    <xf numFmtId="1" fontId="1" fillId="0" borderId="90" xfId="0" applyNumberFormat="1" applyFont="1" applyFill="1" applyBorder="1" applyAlignment="1">
      <alignment horizontal="center" vertical="center"/>
    </xf>
    <xf numFmtId="1" fontId="1" fillId="0" borderId="45" xfId="0" applyNumberFormat="1" applyFont="1" applyFill="1" applyBorder="1" applyAlignment="1">
      <alignment horizontal="center" vertical="center"/>
    </xf>
    <xf numFmtId="164" fontId="1" fillId="9" borderId="92" xfId="0" applyNumberFormat="1" applyFont="1" applyFill="1" applyBorder="1" applyAlignment="1">
      <alignment horizontal="center" vertical="center"/>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6" xfId="0" quotePrefix="1" applyFont="1" applyFill="1" applyBorder="1" applyAlignment="1">
      <alignment horizontal="center" vertical="center" wrapText="1"/>
    </xf>
    <xf numFmtId="49" fontId="1" fillId="0" borderId="96" xfId="2" applyNumberFormat="1" applyFont="1" applyFill="1" applyBorder="1" applyAlignment="1">
      <alignment horizontal="center" vertical="center"/>
    </xf>
    <xf numFmtId="0" fontId="1" fillId="0" borderId="96" xfId="0" applyFont="1" applyFill="1" applyBorder="1" applyAlignment="1">
      <alignment horizontal="center" vertical="center" shrinkToFit="1"/>
    </xf>
    <xf numFmtId="164" fontId="1" fillId="0" borderId="96" xfId="0" applyNumberFormat="1" applyFont="1" applyFill="1" applyBorder="1" applyAlignment="1">
      <alignment horizontal="center" vertical="center"/>
    </xf>
    <xf numFmtId="164" fontId="4" fillId="0" borderId="97" xfId="0" applyNumberFormat="1" applyFont="1" applyBorder="1" applyAlignment="1">
      <alignment horizontal="center" vertical="center"/>
    </xf>
    <xf numFmtId="1" fontId="47" fillId="8" borderId="97" xfId="0" applyNumberFormat="1" applyFont="1" applyFill="1" applyBorder="1" applyAlignment="1">
      <alignment horizontal="center" vertical="center"/>
    </xf>
    <xf numFmtId="1" fontId="1" fillId="0" borderId="97" xfId="0" applyNumberFormat="1" applyFont="1" applyBorder="1" applyAlignment="1">
      <alignment horizontal="center" vertical="center"/>
    </xf>
    <xf numFmtId="0" fontId="1" fillId="0" borderId="98" xfId="0" quotePrefix="1" applyFont="1" applyBorder="1" applyAlignment="1">
      <alignment horizontal="center" vertical="center"/>
    </xf>
    <xf numFmtId="0" fontId="1" fillId="0" borderId="1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1" xfId="0" quotePrefix="1" applyFont="1" applyFill="1" applyBorder="1" applyAlignment="1">
      <alignment horizontal="center" vertical="center" wrapText="1"/>
    </xf>
    <xf numFmtId="49" fontId="1" fillId="0" borderId="21" xfId="2" applyNumberFormat="1" applyFont="1" applyFill="1" applyBorder="1" applyAlignment="1">
      <alignment horizontal="center" vertical="center"/>
    </xf>
    <xf numFmtId="0" fontId="1" fillId="0" borderId="21" xfId="0" applyFont="1" applyFill="1" applyBorder="1" applyAlignment="1">
      <alignment horizontal="center" vertical="center" shrinkToFit="1"/>
    </xf>
    <xf numFmtId="164" fontId="4" fillId="0" borderId="22" xfId="0" applyNumberFormat="1" applyFont="1" applyBorder="1" applyAlignment="1">
      <alignment horizontal="center" vertical="center"/>
    </xf>
    <xf numFmtId="1" fontId="47" fillId="8" borderId="22" xfId="0" applyNumberFormat="1" applyFont="1" applyFill="1" applyBorder="1" applyAlignment="1">
      <alignment horizontal="center" vertical="center"/>
    </xf>
    <xf numFmtId="1" fontId="1" fillId="0" borderId="22" xfId="0" applyNumberFormat="1" applyFont="1" applyBorder="1" applyAlignment="1">
      <alignment horizontal="center" vertical="center"/>
    </xf>
    <xf numFmtId="0" fontId="1" fillId="0" borderId="37" xfId="0" applyFont="1" applyBorder="1" applyAlignment="1">
      <alignment horizontal="center" vertical="center"/>
    </xf>
    <xf numFmtId="0" fontId="4" fillId="0" borderId="37" xfId="0" quotePrefix="1" applyFont="1" applyBorder="1" applyAlignment="1">
      <alignment horizontal="center" vertical="center" wrapText="1"/>
    </xf>
    <xf numFmtId="49" fontId="1" fillId="0" borderId="37" xfId="2" applyNumberFormat="1" applyFont="1" applyBorder="1" applyAlignment="1">
      <alignment horizontal="center" vertical="center"/>
    </xf>
    <xf numFmtId="0" fontId="1" fillId="0" borderId="37" xfId="0" applyFont="1" applyBorder="1" applyAlignment="1">
      <alignment horizontal="center" vertical="center" shrinkToFit="1"/>
    </xf>
    <xf numFmtId="164" fontId="4" fillId="0" borderId="38" xfId="0" applyNumberFormat="1" applyFont="1" applyBorder="1" applyAlignment="1">
      <alignment horizontal="center" vertical="center"/>
    </xf>
    <xf numFmtId="1" fontId="1" fillId="0" borderId="38" xfId="0" applyNumberFormat="1" applyFont="1" applyFill="1" applyBorder="1" applyAlignment="1">
      <alignment horizontal="center" vertical="center"/>
    </xf>
    <xf numFmtId="164" fontId="1" fillId="9" borderId="37" xfId="0" applyNumberFormat="1" applyFont="1" applyFill="1" applyBorder="1" applyAlignment="1">
      <alignment horizontal="center" vertical="center"/>
    </xf>
    <xf numFmtId="0" fontId="1" fillId="9" borderId="92" xfId="0" applyFont="1" applyFill="1" applyBorder="1" applyAlignment="1">
      <alignment horizontal="center" vertical="center"/>
    </xf>
    <xf numFmtId="49" fontId="1" fillId="9" borderId="92" xfId="2" applyNumberFormat="1" applyFont="1" applyFill="1" applyBorder="1" applyAlignment="1">
      <alignment horizontal="center" vertical="center"/>
    </xf>
    <xf numFmtId="0" fontId="1" fillId="9" borderId="92" xfId="0" applyFont="1" applyFill="1" applyBorder="1" applyAlignment="1">
      <alignment horizontal="center" vertical="center" shrinkToFit="1"/>
    </xf>
    <xf numFmtId="0" fontId="1" fillId="9" borderId="99" xfId="0" quotePrefix="1" applyFont="1" applyFill="1" applyBorder="1" applyAlignment="1">
      <alignment horizontal="center" vertical="center"/>
    </xf>
    <xf numFmtId="0" fontId="6" fillId="0" borderId="11" xfId="0" applyFont="1" applyFill="1" applyBorder="1" applyAlignment="1">
      <alignment horizontal="center" vertical="center"/>
    </xf>
    <xf numFmtId="49" fontId="15" fillId="0" borderId="27" xfId="0" applyNumberFormat="1" applyFont="1" applyBorder="1" applyAlignment="1">
      <alignment horizontal="center" shrinkToFit="1"/>
    </xf>
    <xf numFmtId="1" fontId="6" fillId="0" borderId="56" xfId="0" applyNumberFormat="1" applyFont="1" applyFill="1" applyBorder="1" applyAlignment="1">
      <alignment horizontal="center"/>
    </xf>
    <xf numFmtId="0" fontId="1" fillId="0" borderId="12" xfId="0" applyFont="1" applyFill="1" applyBorder="1" applyAlignment="1">
      <alignment horizontal="center" vertical="center"/>
    </xf>
    <xf numFmtId="49" fontId="52" fillId="12" borderId="24" xfId="0" applyNumberFormat="1" applyFont="1" applyFill="1" applyBorder="1" applyAlignment="1">
      <alignment horizontal="center"/>
    </xf>
    <xf numFmtId="164" fontId="1" fillId="9" borderId="21" xfId="0" applyNumberFormat="1" applyFont="1" applyFill="1" applyBorder="1" applyAlignment="1">
      <alignment horizontal="center" vertical="center"/>
    </xf>
    <xf numFmtId="1" fontId="1" fillId="9" borderId="89" xfId="0" applyNumberFormat="1" applyFont="1" applyFill="1" applyBorder="1" applyAlignment="1">
      <alignment horizontal="center" vertical="center"/>
    </xf>
    <xf numFmtId="1" fontId="1" fillId="9" borderId="45" xfId="0" applyNumberFormat="1" applyFont="1" applyFill="1" applyBorder="1" applyAlignment="1">
      <alignment horizontal="center" vertical="center"/>
    </xf>
    <xf numFmtId="1" fontId="1" fillId="9" borderId="44" xfId="0" applyNumberFormat="1" applyFont="1" applyFill="1" applyBorder="1" applyAlignment="1">
      <alignment horizontal="center" vertical="center"/>
    </xf>
    <xf numFmtId="164" fontId="1" fillId="9" borderId="94" xfId="0" applyNumberFormat="1" applyFont="1" applyFill="1" applyBorder="1" applyAlignment="1">
      <alignment horizontal="center" vertical="center"/>
    </xf>
    <xf numFmtId="0" fontId="1" fillId="0" borderId="10" xfId="0" applyFont="1" applyBorder="1" applyAlignment="1">
      <alignment horizontal="center" vertical="center"/>
    </xf>
    <xf numFmtId="49" fontId="1" fillId="0" borderId="21" xfId="0" applyNumberFormat="1" applyFont="1" applyBorder="1" applyAlignment="1">
      <alignment horizontal="center" vertical="center"/>
    </xf>
    <xf numFmtId="0" fontId="37" fillId="0" borderId="29" xfId="0" applyFont="1" applyFill="1" applyBorder="1" applyAlignment="1">
      <alignment horizontal="centerContinuous"/>
    </xf>
    <xf numFmtId="0" fontId="2" fillId="0" borderId="0" xfId="0" applyFont="1" applyBorder="1" applyAlignment="1">
      <alignment vertical="center"/>
    </xf>
    <xf numFmtId="0" fontId="42" fillId="4" borderId="77" xfId="0" applyFont="1" applyFill="1" applyBorder="1" applyAlignment="1">
      <alignment horizontal="right" vertical="center"/>
    </xf>
    <xf numFmtId="49" fontId="6" fillId="0" borderId="9" xfId="0" applyNumberFormat="1" applyFont="1" applyFill="1" applyBorder="1" applyAlignment="1">
      <alignment horizontal="center" vertical="center"/>
    </xf>
    <xf numFmtId="49" fontId="6" fillId="0" borderId="22" xfId="0" applyNumberFormat="1" applyFont="1" applyFill="1" applyBorder="1" applyAlignment="1">
      <alignment horizontal="center" wrapText="1"/>
    </xf>
    <xf numFmtId="49" fontId="6" fillId="6" borderId="22" xfId="0" applyNumberFormat="1" applyFont="1" applyFill="1" applyBorder="1" applyAlignment="1">
      <alignment horizontal="center" wrapText="1"/>
    </xf>
    <xf numFmtId="49" fontId="6" fillId="9" borderId="22" xfId="0" applyNumberFormat="1" applyFont="1" applyFill="1" applyBorder="1" applyAlignment="1">
      <alignment horizontal="center" wrapText="1"/>
    </xf>
    <xf numFmtId="0" fontId="6" fillId="6" borderId="22" xfId="0" applyNumberFormat="1" applyFont="1" applyFill="1" applyBorder="1" applyAlignment="1">
      <alignment horizontal="center" wrapText="1"/>
    </xf>
    <xf numFmtId="1" fontId="6" fillId="6" borderId="22" xfId="0" applyNumberFormat="1" applyFont="1" applyFill="1" applyBorder="1" applyAlignment="1">
      <alignment horizontal="center" wrapText="1"/>
    </xf>
    <xf numFmtId="0" fontId="1" fillId="0" borderId="102" xfId="0" applyFont="1" applyFill="1" applyBorder="1" applyAlignment="1">
      <alignment horizontal="centerContinuous" vertical="center" shrinkToFit="1"/>
    </xf>
    <xf numFmtId="0" fontId="19" fillId="0" borderId="103"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104" xfId="0" applyFont="1" applyFill="1" applyBorder="1" applyAlignment="1">
      <alignment horizontal="centerContinuous" vertical="center" shrinkToFit="1"/>
    </xf>
    <xf numFmtId="0" fontId="1" fillId="0" borderId="73" xfId="0" applyFont="1" applyFill="1" applyBorder="1" applyAlignment="1">
      <alignment horizontal="centerContinuous" vertical="center" shrinkToFit="1"/>
    </xf>
    <xf numFmtId="0" fontId="1" fillId="11" borderId="92" xfId="0" quotePrefix="1" applyFont="1" applyFill="1" applyBorder="1" applyAlignment="1">
      <alignment horizontal="center" vertical="center" wrapText="1"/>
    </xf>
    <xf numFmtId="1" fontId="1" fillId="9" borderId="92" xfId="0" applyNumberFormat="1" applyFont="1" applyFill="1" applyBorder="1" applyAlignment="1">
      <alignment horizontal="center" vertical="center"/>
    </xf>
    <xf numFmtId="0" fontId="8" fillId="0" borderId="3" xfId="0" quotePrefix="1" applyFont="1" applyFill="1" applyBorder="1" applyAlignment="1">
      <alignment horizontal="center"/>
    </xf>
    <xf numFmtId="0" fontId="8" fillId="0" borderId="3" xfId="0" applyFont="1" applyFill="1" applyBorder="1" applyAlignment="1">
      <alignment horizontal="center"/>
    </xf>
    <xf numFmtId="0" fontId="6" fillId="0" borderId="20" xfId="0" quotePrefix="1" applyFont="1" applyFill="1" applyBorder="1" applyAlignment="1">
      <alignment horizontal="center"/>
    </xf>
    <xf numFmtId="164" fontId="1" fillId="9" borderId="53" xfId="0" applyNumberFormat="1" applyFont="1" applyFill="1" applyBorder="1" applyAlignment="1">
      <alignment horizontal="center" vertical="center"/>
    </xf>
    <xf numFmtId="0" fontId="1" fillId="0" borderId="108" xfId="0" applyFont="1" applyBorder="1" applyAlignment="1">
      <alignment horizontal="center" vertical="center"/>
    </xf>
    <xf numFmtId="0" fontId="1" fillId="0" borderId="53" xfId="0" applyFont="1" applyBorder="1" applyAlignment="1">
      <alignment horizontal="center" vertical="center"/>
    </xf>
    <xf numFmtId="49" fontId="1" fillId="0" borderId="53" xfId="0" applyNumberFormat="1" applyFont="1" applyBorder="1" applyAlignment="1">
      <alignment horizontal="center" vertical="center"/>
    </xf>
    <xf numFmtId="1" fontId="47" fillId="8" borderId="11"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44" xfId="0" applyNumberFormat="1" applyFont="1" applyFill="1" applyBorder="1" applyAlignment="1">
      <alignment horizontal="center" vertical="center"/>
    </xf>
    <xf numFmtId="164" fontId="4" fillId="0" borderId="11" xfId="0" applyNumberFormat="1" applyFont="1" applyBorder="1" applyAlignment="1">
      <alignment horizontal="center" vertical="center"/>
    </xf>
    <xf numFmtId="0" fontId="1" fillId="0" borderId="27" xfId="0" quotePrefix="1" applyFont="1" applyBorder="1" applyAlignment="1">
      <alignment horizontal="center" vertical="center"/>
    </xf>
    <xf numFmtId="1" fontId="1" fillId="9" borderId="107" xfId="0" applyNumberFormat="1" applyFont="1" applyFill="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1" fillId="0" borderId="105" xfId="0" applyFont="1" applyFill="1" applyBorder="1" applyAlignment="1">
      <alignment horizontal="centerContinuous" vertical="center" shrinkToFit="1"/>
    </xf>
    <xf numFmtId="0" fontId="19" fillId="0" borderId="109" xfId="0" applyFont="1" applyFill="1" applyBorder="1" applyAlignment="1">
      <alignment horizontal="centerContinuous" vertical="center"/>
    </xf>
    <xf numFmtId="0" fontId="1" fillId="0" borderId="106" xfId="0" applyFont="1" applyFill="1" applyBorder="1" applyAlignment="1">
      <alignment horizontal="centerContinuous" vertical="center"/>
    </xf>
    <xf numFmtId="1" fontId="6" fillId="0" borderId="100" xfId="0" applyNumberFormat="1" applyFont="1" applyFill="1" applyBorder="1" applyAlignment="1">
      <alignment horizontal="centerContinuous"/>
    </xf>
    <xf numFmtId="1" fontId="1" fillId="0" borderId="101" xfId="0" applyNumberFormat="1" applyFont="1" applyFill="1" applyBorder="1" applyAlignment="1">
      <alignment horizontal="centerContinuous"/>
    </xf>
    <xf numFmtId="49" fontId="6" fillId="0" borderId="24" xfId="0" applyNumberFormat="1" applyFont="1" applyFill="1" applyBorder="1" applyAlignment="1">
      <alignment horizontal="center"/>
    </xf>
    <xf numFmtId="0" fontId="6" fillId="0" borderId="23" xfId="0" quotePrefix="1" applyNumberFormat="1" applyFont="1" applyFill="1" applyBorder="1" applyAlignment="1">
      <alignment horizontal="center"/>
    </xf>
    <xf numFmtId="0" fontId="19" fillId="3" borderId="30" xfId="0" applyFont="1" applyFill="1" applyBorder="1" applyAlignment="1">
      <alignment horizontal="center" vertical="center"/>
    </xf>
    <xf numFmtId="0" fontId="19" fillId="3" borderId="32" xfId="0" applyFont="1" applyFill="1" applyBorder="1" applyAlignment="1">
      <alignment vertical="center"/>
    </xf>
    <xf numFmtId="0" fontId="1" fillId="0" borderId="33" xfId="0" applyFont="1" applyBorder="1" applyAlignment="1">
      <alignment horizontal="center" vertical="center"/>
    </xf>
    <xf numFmtId="0" fontId="4" fillId="0" borderId="33" xfId="0" applyFont="1" applyBorder="1" applyAlignment="1">
      <alignment horizontal="center"/>
    </xf>
    <xf numFmtId="0" fontId="4" fillId="0" borderId="35" xfId="0" applyFont="1" applyBorder="1" applyAlignment="1">
      <alignment horizontal="center"/>
    </xf>
    <xf numFmtId="37" fontId="6" fillId="0" borderId="111" xfId="9" applyNumberFormat="1" applyFont="1" applyFill="1" applyBorder="1" applyAlignment="1">
      <alignment horizontal="centerContinuous" vertical="center"/>
    </xf>
    <xf numFmtId="0" fontId="6" fillId="0" borderId="110" xfId="0" applyFont="1" applyFill="1" applyBorder="1" applyAlignment="1">
      <alignment horizontal="centerContinuous" vertical="center"/>
    </xf>
    <xf numFmtId="0" fontId="6" fillId="0" borderId="5" xfId="0" applyFont="1" applyBorder="1" applyAlignment="1">
      <alignment horizontal="left"/>
    </xf>
    <xf numFmtId="0" fontId="6" fillId="0" borderId="7" xfId="0" applyFont="1" applyBorder="1" applyAlignment="1">
      <alignment horizontal="left"/>
    </xf>
    <xf numFmtId="0" fontId="7" fillId="6" borderId="1" xfId="0" applyFont="1" applyFill="1" applyBorder="1" applyAlignment="1"/>
    <xf numFmtId="49" fontId="16" fillId="6" borderId="21" xfId="0" applyNumberFormat="1" applyFont="1" applyFill="1" applyBorder="1" applyAlignment="1">
      <alignment horizontal="center"/>
    </xf>
    <xf numFmtId="0" fontId="16" fillId="6" borderId="22" xfId="0" applyNumberFormat="1" applyFont="1" applyFill="1" applyBorder="1" applyAlignment="1">
      <alignment horizontal="center"/>
    </xf>
    <xf numFmtId="0" fontId="7" fillId="6" borderId="22" xfId="0" applyNumberFormat="1" applyFont="1" applyFill="1" applyBorder="1" applyAlignment="1">
      <alignment horizontal="center"/>
    </xf>
    <xf numFmtId="0" fontId="54" fillId="0" borderId="26" xfId="0" applyFont="1" applyFill="1" applyBorder="1" applyAlignment="1">
      <alignment horizontal="centerContinuous" vertical="center" wrapText="1"/>
    </xf>
    <xf numFmtId="0" fontId="6" fillId="0" borderId="45" xfId="0" applyFont="1" applyFill="1" applyBorder="1" applyAlignment="1">
      <alignment horizontal="centerContinuous"/>
    </xf>
    <xf numFmtId="0" fontId="6" fillId="0" borderId="29" xfId="0" applyFont="1" applyFill="1" applyBorder="1" applyAlignment="1">
      <alignment horizontal="centerContinuous"/>
    </xf>
    <xf numFmtId="0" fontId="6" fillId="0" borderId="39" xfId="0" applyFont="1" applyFill="1" applyBorder="1" applyAlignment="1">
      <alignment horizontal="centerContinuous"/>
    </xf>
    <xf numFmtId="0" fontId="50" fillId="0" borderId="26" xfId="0" applyFont="1" applyFill="1" applyBorder="1" applyAlignment="1">
      <alignment horizontal="centerContinuous" vertical="center" wrapText="1"/>
    </xf>
    <xf numFmtId="0" fontId="6" fillId="0" borderId="44" xfId="0" applyFont="1" applyFill="1" applyBorder="1" applyAlignment="1">
      <alignment horizontal="centerContinuous"/>
    </xf>
    <xf numFmtId="0" fontId="56" fillId="0" borderId="29" xfId="0" applyFont="1" applyFill="1" applyBorder="1" applyAlignment="1">
      <alignment horizontal="center" shrinkToFit="1"/>
    </xf>
    <xf numFmtId="0" fontId="56" fillId="0" borderId="90" xfId="0" applyFont="1" applyFill="1" applyBorder="1" applyAlignment="1">
      <alignment horizontal="center" shrinkToFit="1"/>
    </xf>
    <xf numFmtId="0" fontId="56" fillId="0" borderId="43" xfId="0" applyFont="1" applyFill="1" applyBorder="1" applyAlignment="1">
      <alignment horizontal="center" shrinkToFit="1"/>
    </xf>
    <xf numFmtId="0" fontId="6" fillId="0" borderId="22" xfId="0" applyNumberFormat="1" applyFont="1" applyFill="1" applyBorder="1" applyAlignment="1">
      <alignment horizontal="center"/>
    </xf>
    <xf numFmtId="0" fontId="12" fillId="6" borderId="5" xfId="0" applyFont="1" applyFill="1" applyBorder="1" applyAlignment="1"/>
    <xf numFmtId="0" fontId="6" fillId="6" borderId="37" xfId="0" applyNumberFormat="1" applyFont="1" applyFill="1" applyBorder="1" applyAlignment="1">
      <alignment horizontal="center"/>
    </xf>
    <xf numFmtId="49" fontId="22" fillId="6" borderId="37" xfId="0" applyNumberFormat="1" applyFont="1" applyFill="1" applyBorder="1" applyAlignment="1">
      <alignment horizontal="center"/>
    </xf>
    <xf numFmtId="0" fontId="22" fillId="6" borderId="38" xfId="0" applyNumberFormat="1" applyFont="1" applyFill="1" applyBorder="1" applyAlignment="1">
      <alignment horizontal="center"/>
    </xf>
    <xf numFmtId="0" fontId="12" fillId="6" borderId="38" xfId="0" applyNumberFormat="1" applyFont="1" applyFill="1" applyBorder="1" applyAlignment="1">
      <alignment horizontal="center"/>
    </xf>
    <xf numFmtId="49" fontId="6" fillId="6" borderId="38" xfId="0" applyNumberFormat="1" applyFont="1" applyFill="1" applyBorder="1" applyAlignment="1">
      <alignment horizontal="center" wrapText="1"/>
    </xf>
    <xf numFmtId="49" fontId="6" fillId="6" borderId="38" xfId="0" applyNumberFormat="1" applyFont="1" applyFill="1" applyBorder="1" applyAlignment="1">
      <alignment horizontal="center"/>
    </xf>
    <xf numFmtId="0" fontId="6" fillId="6" borderId="28" xfId="0" applyNumberFormat="1" applyFont="1" applyFill="1" applyBorder="1" applyAlignment="1">
      <alignment horizontal="center"/>
    </xf>
    <xf numFmtId="0" fontId="57" fillId="2" borderId="47" xfId="0" applyFont="1" applyFill="1" applyBorder="1" applyAlignment="1">
      <alignment horizontal="right"/>
    </xf>
    <xf numFmtId="0" fontId="57" fillId="2" borderId="48" xfId="0" applyFont="1" applyFill="1" applyBorder="1" applyAlignment="1">
      <alignment horizontal="left"/>
    </xf>
    <xf numFmtId="0" fontId="37" fillId="0" borderId="29" xfId="0" applyFont="1" applyFill="1" applyBorder="1" applyAlignment="1">
      <alignment horizontal="centerContinuous" shrinkToFit="1"/>
    </xf>
    <xf numFmtId="0" fontId="25" fillId="0" borderId="29" xfId="0" applyFont="1" applyFill="1" applyBorder="1" applyAlignment="1">
      <alignment horizontal="centerContinuous" shrinkToFit="1"/>
    </xf>
    <xf numFmtId="0" fontId="37" fillId="0" borderId="39" xfId="0" quotePrefix="1" applyFont="1" applyFill="1" applyBorder="1" applyAlignment="1">
      <alignment horizontal="center" shrinkToFit="1"/>
    </xf>
    <xf numFmtId="0" fontId="41" fillId="8" borderId="37" xfId="0" applyNumberFormat="1" applyFont="1" applyFill="1" applyBorder="1" applyAlignment="1">
      <alignment horizontal="center"/>
    </xf>
    <xf numFmtId="0" fontId="5" fillId="4" borderId="8" xfId="0" applyFont="1" applyFill="1" applyBorder="1" applyAlignment="1">
      <alignment horizontal="right" vertical="center"/>
    </xf>
    <xf numFmtId="0" fontId="37" fillId="0" borderId="29" xfId="0" applyFont="1" applyFill="1" applyBorder="1" applyAlignment="1">
      <alignment horizontal="centerContinuous" vertical="center" shrinkToFit="1"/>
    </xf>
    <xf numFmtId="0" fontId="39" fillId="0" borderId="29" xfId="0" applyFont="1" applyFill="1" applyBorder="1" applyAlignment="1">
      <alignment horizontal="centerContinuous" vertical="center" shrinkToFit="1"/>
    </xf>
    <xf numFmtId="0" fontId="25" fillId="0" borderId="29" xfId="0" applyFont="1" applyFill="1" applyBorder="1" applyAlignment="1">
      <alignment horizontal="centerContinuous" vertical="center" shrinkToFit="1"/>
    </xf>
    <xf numFmtId="0" fontId="37" fillId="0" borderId="45" xfId="0" applyFont="1" applyFill="1" applyBorder="1" applyAlignment="1">
      <alignment horizontal="center" vertical="center" shrinkToFit="1"/>
    </xf>
    <xf numFmtId="0" fontId="58" fillId="0" borderId="26" xfId="0" applyFont="1" applyBorder="1" applyAlignment="1">
      <alignment horizontal="centerContinuous" vertical="center"/>
    </xf>
    <xf numFmtId="0" fontId="59" fillId="0" borderId="26" xfId="0" applyFont="1" applyFill="1" applyBorder="1" applyAlignment="1">
      <alignment horizontal="centerContinuous"/>
    </xf>
    <xf numFmtId="0" fontId="60" fillId="0" borderId="26" xfId="0" applyFont="1" applyFill="1" applyBorder="1" applyAlignment="1">
      <alignment horizontal="centerContinuous"/>
    </xf>
    <xf numFmtId="0" fontId="37" fillId="0" borderId="39" xfId="0" quotePrefix="1" applyFont="1" applyFill="1" applyBorder="1" applyAlignment="1">
      <alignment horizontal="center" vertical="center" shrinkToFit="1"/>
    </xf>
    <xf numFmtId="0" fontId="1" fillId="0" borderId="34" xfId="0" applyFont="1" applyBorder="1" applyAlignment="1">
      <alignment horizontal="left" shrinkToFit="1"/>
    </xf>
    <xf numFmtId="0" fontId="1" fillId="0" borderId="76" xfId="0" applyFont="1" applyBorder="1" applyAlignment="1">
      <alignment horizontal="left" shrinkToFit="1"/>
    </xf>
    <xf numFmtId="0" fontId="1" fillId="0" borderId="36" xfId="0" applyFont="1" applyBorder="1" applyAlignment="1">
      <alignment horizontal="left" shrinkToFit="1"/>
    </xf>
    <xf numFmtId="0" fontId="1" fillId="0" borderId="0" xfId="0" applyFont="1" applyBorder="1" applyAlignment="1"/>
    <xf numFmtId="0" fontId="39" fillId="0" borderId="29" xfId="0" applyFont="1" applyFill="1" applyBorder="1" applyAlignment="1">
      <alignment horizontal="centerContinuous" shrinkToFit="1"/>
    </xf>
    <xf numFmtId="0" fontId="39" fillId="0" borderId="39" xfId="0" applyFont="1" applyFill="1" applyBorder="1" applyAlignment="1">
      <alignment horizontal="center" shrinkToFit="1"/>
    </xf>
    <xf numFmtId="0" fontId="39" fillId="0" borderId="90" xfId="0" applyFont="1" applyFill="1" applyBorder="1" applyAlignment="1">
      <alignment horizontal="centerContinuous"/>
    </xf>
    <xf numFmtId="0" fontId="1" fillId="0" borderId="99" xfId="0" quotePrefix="1" applyFont="1" applyBorder="1" applyAlignment="1">
      <alignment horizontal="center" vertical="center"/>
    </xf>
    <xf numFmtId="0" fontId="1" fillId="0" borderId="28" xfId="0" quotePrefix="1" applyFont="1" applyFill="1" applyBorder="1" applyAlignment="1">
      <alignment horizontal="center" vertical="center"/>
    </xf>
    <xf numFmtId="0" fontId="37" fillId="0" borderId="0" xfId="0" applyFont="1" applyBorder="1" applyAlignment="1">
      <alignment horizontal="centerContinuous"/>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13">
    <dxf>
      <font>
        <color rgb="FFFF0000"/>
      </font>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8000"/>
      <color rgb="FF66FFFF"/>
      <color rgb="FFCC66FF"/>
      <color rgb="FF9933FF"/>
      <color rgb="FF66FF33"/>
      <color rgb="FFCCFF99"/>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60960</xdr:colOff>
      <xdr:row>12</xdr:row>
      <xdr:rowOff>175260</xdr:rowOff>
    </xdr:from>
    <xdr:to>
      <xdr:col>6</xdr:col>
      <xdr:colOff>1714499</xdr:colOff>
      <xdr:row>16</xdr:row>
      <xdr:rowOff>160020</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20540" y="2506980"/>
          <a:ext cx="3428999" cy="838200"/>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68580</xdr:colOff>
      <xdr:row>2</xdr:row>
      <xdr:rowOff>114300</xdr:rowOff>
    </xdr:from>
    <xdr:to>
      <xdr:col>6</xdr:col>
      <xdr:colOff>1710055</xdr:colOff>
      <xdr:row>11</xdr:row>
      <xdr:rowOff>163830</xdr:rowOff>
    </xdr:to>
    <xdr:pic>
      <xdr:nvPicPr>
        <xdr:cNvPr id="6" name="Picture 5" descr="http://vidshomepage.weebly.com/uploads/8/7/9/8/8798003/7292027.jpg?40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08120" y="708660"/>
          <a:ext cx="3416935" cy="19926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5</xdr:col>
      <xdr:colOff>30480</xdr:colOff>
      <xdr:row>0</xdr:row>
      <xdr:rowOff>0</xdr:rowOff>
    </xdr:from>
    <xdr:to>
      <xdr:col>10</xdr:col>
      <xdr:colOff>350520</xdr:colOff>
      <xdr:row>17</xdr:row>
      <xdr:rowOff>187952</xdr:rowOff>
    </xdr:to>
    <xdr:pic>
      <xdr:nvPicPr>
        <xdr:cNvPr id="4" name="Picture 3">
          <a:extLst>
            <a:ext uri="{FF2B5EF4-FFF2-40B4-BE49-F238E27FC236}">
              <a16:creationId xmlns:a16="http://schemas.microsoft.com/office/drawing/2014/main" id="{4EBB9468-8B10-488D-BE83-23D8C10BE018}"/>
            </a:ext>
          </a:extLst>
        </xdr:cNvPr>
        <xdr:cNvPicPr>
          <a:picLocks noChangeAspect="1"/>
        </xdr:cNvPicPr>
      </xdr:nvPicPr>
      <xdr:blipFill>
        <a:blip xmlns:r="http://schemas.openxmlformats.org/officeDocument/2006/relationships" r:embed="rId1"/>
        <a:stretch>
          <a:fillRect/>
        </a:stretch>
      </xdr:blipFill>
      <xdr:spPr>
        <a:xfrm>
          <a:off x="6637020" y="0"/>
          <a:ext cx="3634740" cy="41808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491490</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114300</xdr:colOff>
      <xdr:row>0</xdr:row>
      <xdr:rowOff>274320</xdr:rowOff>
    </xdr:from>
    <xdr:to>
      <xdr:col>10</xdr:col>
      <xdr:colOff>655320</xdr:colOff>
      <xdr:row>20</xdr:row>
      <xdr:rowOff>68580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673340" y="274320"/>
          <a:ext cx="3512820" cy="3931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Legend Lore:  </a:t>
          </a:r>
          <a:r>
            <a:rPr lang="en-US" sz="1100" baseline="0"/>
            <a:t>Reveals legendary gossip about the high-level accomplices in the heist.  Takes several hours to cast.</a:t>
          </a:r>
        </a:p>
        <a:p>
          <a:pPr algn="l"/>
          <a:endParaRPr lang="en-US" sz="1100" baseline="0"/>
        </a:p>
        <a:p>
          <a:r>
            <a:rPr lang="en-US" sz="1100" b="1">
              <a:solidFill>
                <a:srgbClr val="7030A0"/>
              </a:solidFill>
              <a:effectLst/>
              <a:latin typeface="+mn-lt"/>
              <a:ea typeface="+mn-ea"/>
              <a:cs typeface="+mn-cs"/>
            </a:rPr>
            <a:t>Identify Transgressor:  </a:t>
          </a:r>
          <a:r>
            <a:rPr lang="en-US" sz="1100">
              <a:solidFill>
                <a:srgbClr val="7030A0"/>
              </a:solidFill>
              <a:effectLst/>
              <a:latin typeface="+mn-lt"/>
              <a:ea typeface="+mn-ea"/>
              <a:cs typeface="+mn-cs"/>
            </a:rPr>
            <a:t>has an evil</a:t>
          </a:r>
          <a:r>
            <a:rPr lang="en-US" sz="1100" baseline="0">
              <a:solidFill>
                <a:srgbClr val="7030A0"/>
              </a:solidFill>
              <a:effectLst/>
              <a:latin typeface="+mn-lt"/>
              <a:ea typeface="+mn-ea"/>
              <a:cs typeface="+mn-cs"/>
            </a:rPr>
            <a:t> descriptor, so maybe they can get one of Whisper's friends to help.</a:t>
          </a:r>
          <a:endParaRPr lang="en-US">
            <a:solidFill>
              <a:srgbClr val="7030A0"/>
            </a:solidFill>
            <a:effectLst/>
          </a:endParaRPr>
        </a:p>
        <a:p>
          <a:endParaRPr lang="en-US" sz="1100">
            <a:solidFill>
              <a:srgbClr val="7030A0"/>
            </a:solidFill>
            <a:effectLst/>
            <a:latin typeface="+mn-lt"/>
            <a:ea typeface="+mn-ea"/>
            <a:cs typeface="+mn-cs"/>
          </a:endParaRPr>
        </a:p>
        <a:p>
          <a:r>
            <a:rPr lang="en-US" sz="1100" b="1">
              <a:solidFill>
                <a:srgbClr val="7030A0"/>
              </a:solidFill>
              <a:effectLst/>
              <a:latin typeface="+mn-lt"/>
              <a:ea typeface="+mn-ea"/>
              <a:cs typeface="+mn-cs"/>
            </a:rPr>
            <a:t>Contact Other Plane:  </a:t>
          </a:r>
          <a:r>
            <a:rPr lang="en-US" sz="1100">
              <a:solidFill>
                <a:srgbClr val="7030A0"/>
              </a:solidFill>
              <a:effectLst/>
              <a:latin typeface="+mn-lt"/>
              <a:ea typeface="+mn-ea"/>
              <a:cs typeface="+mn-cs"/>
            </a:rPr>
            <a:t>May be deemed</a:t>
          </a:r>
          <a:r>
            <a:rPr lang="en-US" sz="1100" baseline="0">
              <a:solidFill>
                <a:srgbClr val="7030A0"/>
              </a:solidFill>
              <a:effectLst/>
              <a:latin typeface="+mn-lt"/>
              <a:ea typeface="+mn-ea"/>
              <a:cs typeface="+mn-cs"/>
            </a:rPr>
            <a:t> useful by the PCs before casting </a:t>
          </a:r>
          <a:r>
            <a:rPr lang="en-US" sz="1100" i="1" baseline="0">
              <a:solidFill>
                <a:srgbClr val="7030A0"/>
              </a:solidFill>
              <a:effectLst/>
              <a:latin typeface="+mn-lt"/>
              <a:ea typeface="+mn-ea"/>
              <a:cs typeface="+mn-cs"/>
            </a:rPr>
            <a:t>hindsight</a:t>
          </a:r>
          <a:r>
            <a:rPr lang="en-US" sz="1100" i="0" baseline="0">
              <a:solidFill>
                <a:srgbClr val="7030A0"/>
              </a:solidFill>
              <a:effectLst/>
              <a:latin typeface="+mn-lt"/>
              <a:ea typeface="+mn-ea"/>
              <a:cs typeface="+mn-cs"/>
            </a:rPr>
            <a:t>.</a:t>
          </a:r>
          <a:endParaRPr lang="en-US">
            <a:solidFill>
              <a:srgbClr val="7030A0"/>
            </a:solidFill>
            <a:effectLst/>
          </a:endParaRPr>
        </a:p>
        <a:p>
          <a:pPr algn="l"/>
          <a:endParaRPr lang="en-US" sz="1100" baseline="0"/>
        </a:p>
        <a:p>
          <a:pPr algn="l"/>
          <a:r>
            <a:rPr lang="en-US" sz="1100" b="1">
              <a:solidFill>
                <a:schemeClr val="dk1"/>
              </a:solidFill>
              <a:effectLst/>
              <a:latin typeface="+mn-lt"/>
              <a:ea typeface="+mn-ea"/>
              <a:cs typeface="+mn-cs"/>
            </a:rPr>
            <a:t>Hindsight:  </a:t>
          </a:r>
          <a:r>
            <a:rPr lang="en-US" sz="1100">
              <a:solidFill>
                <a:schemeClr val="dk1"/>
              </a:solidFill>
              <a:effectLst/>
              <a:latin typeface="+mn-lt"/>
              <a:ea typeface="+mn-ea"/>
              <a:cs typeface="+mn-cs"/>
            </a:rPr>
            <a:t>Looks back into the past and divulges info on theft.</a:t>
          </a:r>
        </a:p>
        <a:p>
          <a:pPr algn="l"/>
          <a:endParaRPr lang="en-US" sz="1100" baseline="0"/>
        </a:p>
        <a:p>
          <a:pPr algn="l"/>
          <a:r>
            <a:rPr lang="en-US" sz="1100" b="1" baseline="0"/>
            <a:t>Discern Location:  </a:t>
          </a:r>
          <a:r>
            <a:rPr lang="en-US" sz="1100" baseline="0"/>
            <a:t>Good for finding out the current whereabouts of the items.</a:t>
          </a:r>
        </a:p>
        <a:p>
          <a:pPr algn="l"/>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rgbClr val="FF0000"/>
              </a:solidFill>
              <a:effectLst/>
              <a:latin typeface="+mn-lt"/>
              <a:ea typeface="+mn-ea"/>
              <a:cs typeface="+mn-cs"/>
            </a:rPr>
            <a:t>Mind Blank:  </a:t>
          </a:r>
          <a:r>
            <a:rPr lang="en-US" sz="1100">
              <a:solidFill>
                <a:srgbClr val="FF0000"/>
              </a:solidFill>
              <a:effectLst/>
              <a:latin typeface="+mn-lt"/>
              <a:ea typeface="+mn-ea"/>
              <a:cs typeface="+mn-cs"/>
            </a:rPr>
            <a:t>moot since the targets of discern location</a:t>
          </a:r>
          <a:r>
            <a:rPr lang="en-US" sz="1100" baseline="0">
              <a:solidFill>
                <a:srgbClr val="FF0000"/>
              </a:solidFill>
              <a:effectLst/>
              <a:latin typeface="+mn-lt"/>
              <a:ea typeface="+mn-ea"/>
              <a:cs typeface="+mn-cs"/>
            </a:rPr>
            <a:t> </a:t>
          </a:r>
          <a:r>
            <a:rPr lang="en-US" sz="1100">
              <a:solidFill>
                <a:srgbClr val="FF0000"/>
              </a:solidFill>
              <a:effectLst/>
              <a:latin typeface="+mn-lt"/>
              <a:ea typeface="+mn-ea"/>
              <a:cs typeface="+mn-cs"/>
            </a:rPr>
            <a:t>are items.</a:t>
          </a:r>
          <a:endParaRPr lang="en-US">
            <a:solidFill>
              <a:srgbClr val="FF0000"/>
            </a:solidFill>
            <a:effectLst/>
          </a:endParaRPr>
        </a:p>
        <a:p>
          <a:pPr algn="l"/>
          <a:endParaRPr lang="en-US">
            <a:solidFill>
              <a:srgbClr val="FF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effectLst/>
              <a:latin typeface="+mn-lt"/>
              <a:ea typeface="+mn-ea"/>
              <a:cs typeface="+mn-cs"/>
            </a:rPr>
            <a:t>Vision:  </a:t>
          </a:r>
          <a:r>
            <a:rPr lang="en-US" sz="1100" baseline="0">
              <a:solidFill>
                <a:srgbClr val="FF0000"/>
              </a:solidFill>
              <a:effectLst/>
              <a:latin typeface="+mn-lt"/>
              <a:ea typeface="+mn-ea"/>
              <a:cs typeface="+mn-cs"/>
            </a:rPr>
            <a:t>too costly, and doesn't do much more than legend lore, which is probably not necessary.</a:t>
          </a:r>
          <a:endParaRPr lang="en-US">
            <a:solidFill>
              <a:srgbClr val="FF0000"/>
            </a:solidFill>
            <a:effectLst/>
          </a:endParaRPr>
        </a:p>
        <a:p>
          <a:pPr algn="l"/>
          <a:endParaRPr lang="en-US" sz="1100">
            <a:solidFill>
              <a:srgbClr val="FF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effectLst/>
              <a:latin typeface="+mn-lt"/>
              <a:ea typeface="+mn-ea"/>
              <a:cs typeface="+mn-cs"/>
            </a:rPr>
            <a:t>Locate object:  </a:t>
          </a:r>
          <a:r>
            <a:rPr lang="en-US" sz="1100" baseline="0">
              <a:solidFill>
                <a:srgbClr val="FF0000"/>
              </a:solidFill>
              <a:effectLst/>
              <a:latin typeface="+mn-lt"/>
              <a:ea typeface="+mn-ea"/>
              <a:cs typeface="+mn-cs"/>
            </a:rPr>
            <a:t>far too limited in range.</a:t>
          </a:r>
          <a:endParaRPr lang="en-US">
            <a:solidFill>
              <a:srgbClr val="FF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GridLines="0" tabSelected="1" zoomScaleNormal="100" workbookViewId="0"/>
  </sheetViews>
  <sheetFormatPr defaultColWidth="13" defaultRowHeight="15.6" x14ac:dyDescent="0.3"/>
  <cols>
    <col min="1" max="1" width="13.69921875" style="8" bestFit="1" customWidth="1"/>
    <col min="2" max="2" width="10.296875" style="9" customWidth="1"/>
    <col min="3" max="3" width="4.59765625" style="9" customWidth="1"/>
    <col min="4" max="4" width="13.296875" style="8" bestFit="1" customWidth="1"/>
    <col min="5" max="5" width="9.796875" style="9" bestFit="1" customWidth="1"/>
    <col min="6" max="6" width="23.296875" style="8" customWidth="1"/>
    <col min="7" max="7" width="23.296875" style="9" customWidth="1"/>
    <col min="8" max="16384" width="13" style="1"/>
  </cols>
  <sheetData>
    <row r="1" spans="1:7" ht="29.4" thickTop="1" thickBot="1" x14ac:dyDescent="0.55000000000000004">
      <c r="A1" s="388" t="s">
        <v>209</v>
      </c>
      <c r="B1" s="389" t="s">
        <v>210</v>
      </c>
      <c r="C1" s="116"/>
      <c r="D1" s="97"/>
      <c r="E1" s="98"/>
      <c r="F1" s="97"/>
      <c r="G1" s="208" t="s">
        <v>183</v>
      </c>
    </row>
    <row r="2" spans="1:7" ht="17.399999999999999" thickTop="1" x14ac:dyDescent="0.3">
      <c r="A2" s="2" t="s">
        <v>161</v>
      </c>
      <c r="B2" s="19" t="s">
        <v>186</v>
      </c>
      <c r="C2" s="19"/>
      <c r="D2" s="4" t="s">
        <v>168</v>
      </c>
      <c r="E2" s="30" t="s">
        <v>184</v>
      </c>
      <c r="F2"/>
      <c r="G2" s="5"/>
    </row>
    <row r="3" spans="1:7" ht="16.8" x14ac:dyDescent="0.3">
      <c r="A3" s="2" t="s">
        <v>162</v>
      </c>
      <c r="B3" s="19" t="s">
        <v>70</v>
      </c>
      <c r="C3" s="19"/>
      <c r="D3" s="4" t="s">
        <v>113</v>
      </c>
      <c r="E3" s="30">
        <v>8</v>
      </c>
      <c r="F3" s="4"/>
      <c r="G3" s="5"/>
    </row>
    <row r="4" spans="1:7" ht="16.8" x14ac:dyDescent="0.3">
      <c r="A4" s="2" t="s">
        <v>162</v>
      </c>
      <c r="B4" s="19" t="s">
        <v>185</v>
      </c>
      <c r="C4" s="19"/>
      <c r="D4" s="4" t="s">
        <v>113</v>
      </c>
      <c r="E4" s="30">
        <v>5</v>
      </c>
      <c r="F4" s="4"/>
      <c r="G4" s="5"/>
    </row>
    <row r="5" spans="1:7" ht="16.8" x14ac:dyDescent="0.3">
      <c r="A5" s="2" t="s">
        <v>162</v>
      </c>
      <c r="B5" s="19" t="s">
        <v>213</v>
      </c>
      <c r="C5" s="19"/>
      <c r="D5" s="4" t="s">
        <v>113</v>
      </c>
      <c r="E5" s="30">
        <v>4</v>
      </c>
      <c r="F5" s="4"/>
      <c r="G5" s="5"/>
    </row>
    <row r="6" spans="1:7" ht="16.8" x14ac:dyDescent="0.3">
      <c r="A6" s="2" t="s">
        <v>162</v>
      </c>
      <c r="B6" s="19" t="s">
        <v>224</v>
      </c>
      <c r="C6" s="19"/>
      <c r="D6" s="4" t="s">
        <v>113</v>
      </c>
      <c r="E6" s="30">
        <v>3</v>
      </c>
      <c r="F6" s="4"/>
      <c r="G6" s="5"/>
    </row>
    <row r="7" spans="1:7" ht="16.8" x14ac:dyDescent="0.3">
      <c r="A7" s="2" t="s">
        <v>163</v>
      </c>
      <c r="B7" s="19" t="s">
        <v>109</v>
      </c>
      <c r="C7" s="19"/>
      <c r="D7" s="4" t="s">
        <v>169</v>
      </c>
      <c r="E7" s="30">
        <v>27</v>
      </c>
      <c r="F7" s="4"/>
      <c r="G7" s="5"/>
    </row>
    <row r="8" spans="1:7" ht="16.8" x14ac:dyDescent="0.3">
      <c r="A8" s="2" t="s">
        <v>164</v>
      </c>
      <c r="B8" s="19" t="s">
        <v>212</v>
      </c>
      <c r="C8" s="19"/>
      <c r="D8" s="4" t="s">
        <v>170</v>
      </c>
      <c r="E8" s="30" t="s">
        <v>214</v>
      </c>
      <c r="F8" s="4"/>
      <c r="G8" s="5"/>
    </row>
    <row r="9" spans="1:7" ht="17.399999999999999" thickBot="1" x14ac:dyDescent="0.35">
      <c r="A9" s="2" t="s">
        <v>165</v>
      </c>
      <c r="B9" s="412" t="s">
        <v>79</v>
      </c>
      <c r="C9" s="412"/>
      <c r="D9" s="4" t="s">
        <v>171</v>
      </c>
      <c r="E9" s="30" t="s">
        <v>187</v>
      </c>
      <c r="F9" s="4"/>
      <c r="G9" s="5"/>
    </row>
    <row r="10" spans="1:7" ht="17.399999999999999" thickTop="1" x14ac:dyDescent="0.3">
      <c r="A10" s="114" t="s">
        <v>166</v>
      </c>
      <c r="B10" s="353">
        <f>6+3+3+2</f>
        <v>14</v>
      </c>
      <c r="C10" s="354"/>
      <c r="D10" s="115" t="s">
        <v>172</v>
      </c>
      <c r="E10" s="308" t="s">
        <v>106</v>
      </c>
      <c r="F10" s="3"/>
      <c r="G10" s="5"/>
    </row>
    <row r="11" spans="1:7" ht="17.399999999999999" thickBot="1" x14ac:dyDescent="0.35">
      <c r="A11" s="394" t="s">
        <v>167</v>
      </c>
      <c r="B11" s="362" t="str">
        <f>C13</f>
        <v>+5</v>
      </c>
      <c r="C11" s="363"/>
      <c r="D11" s="320" t="s">
        <v>173</v>
      </c>
      <c r="E11" s="321" t="s">
        <v>106</v>
      </c>
      <c r="F11" s="3"/>
      <c r="G11" s="5"/>
    </row>
    <row r="12" spans="1:7" ht="17.399999999999999" thickTop="1" x14ac:dyDescent="0.3">
      <c r="A12" s="16" t="s">
        <v>160</v>
      </c>
      <c r="B12" s="306">
        <v>15</v>
      </c>
      <c r="C12" s="77" t="str">
        <f t="shared" ref="C12:C17" si="0">IF(B12&gt;9.9,CONCATENATE("+",ROUNDDOWN((B12-10)/2,0)),ROUNDUP((B12-10)/2,0))</f>
        <v>+2</v>
      </c>
      <c r="D12" s="47" t="s">
        <v>174</v>
      </c>
      <c r="E12" s="307" t="s">
        <v>132</v>
      </c>
      <c r="F12" s="3"/>
      <c r="G12" s="5"/>
    </row>
    <row r="13" spans="1:7" ht="16.8" x14ac:dyDescent="0.3">
      <c r="A13" s="6" t="s">
        <v>156</v>
      </c>
      <c r="B13" s="37">
        <f>20</f>
        <v>20</v>
      </c>
      <c r="C13" s="27" t="str">
        <f t="shared" si="0"/>
        <v>+5</v>
      </c>
      <c r="D13" s="48" t="s">
        <v>175</v>
      </c>
      <c r="E13" s="32">
        <f>SUM(Martial!G3:G29)+SUM(Equipment!C3:C17)-SUM(Equipment!C12:C17)</f>
        <v>18.25</v>
      </c>
      <c r="F13" s="3"/>
      <c r="G13" s="5"/>
    </row>
    <row r="14" spans="1:7" ht="16.8" x14ac:dyDescent="0.3">
      <c r="A14" s="14" t="s">
        <v>155</v>
      </c>
      <c r="B14" s="334">
        <v>13</v>
      </c>
      <c r="C14" s="20" t="str">
        <f t="shared" si="0"/>
        <v>+1</v>
      </c>
      <c r="D14" s="48" t="s">
        <v>176</v>
      </c>
      <c r="E14" s="256">
        <f>ROUNDUP(((E3*6)*0.75)+((E4*6)*0.75)+((E5*6)*0.75)+((E6*8)*0.75)+(SUM(E3:E6)*C14),0)</f>
        <v>115</v>
      </c>
      <c r="F14" s="3"/>
      <c r="G14" s="5"/>
    </row>
    <row r="15" spans="1:7" ht="16.8" x14ac:dyDescent="0.3">
      <c r="A15" s="56" t="s">
        <v>158</v>
      </c>
      <c r="B15" s="334">
        <v>15</v>
      </c>
      <c r="C15" s="27" t="str">
        <f t="shared" si="0"/>
        <v>+2</v>
      </c>
      <c r="D15" s="156" t="s">
        <v>177</v>
      </c>
      <c r="E15" s="355">
        <f>10+C13+C16+4</f>
        <v>22</v>
      </c>
      <c r="F15" s="2"/>
      <c r="G15" s="5"/>
    </row>
    <row r="16" spans="1:7" ht="16.8" x14ac:dyDescent="0.3">
      <c r="A16" s="15" t="s">
        <v>157</v>
      </c>
      <c r="B16" s="335">
        <v>16</v>
      </c>
      <c r="C16" s="27" t="str">
        <f t="shared" si="0"/>
        <v>+3</v>
      </c>
      <c r="D16" s="156" t="s">
        <v>178</v>
      </c>
      <c r="E16" s="310">
        <f>E17-C13</f>
        <v>22</v>
      </c>
      <c r="F16" s="3"/>
      <c r="G16" s="5"/>
    </row>
    <row r="17" spans="1:7" ht="17.399999999999999" thickBot="1" x14ac:dyDescent="0.35">
      <c r="A17" s="17" t="s">
        <v>159</v>
      </c>
      <c r="B17" s="336">
        <v>9</v>
      </c>
      <c r="C17" s="21">
        <f t="shared" si="0"/>
        <v>-1</v>
      </c>
      <c r="D17" s="157" t="s">
        <v>179</v>
      </c>
      <c r="E17" s="31">
        <f>E15+SUM(Martial!B24:B25)</f>
        <v>27</v>
      </c>
      <c r="F17" s="364"/>
      <c r="G17" s="365"/>
    </row>
    <row r="18" spans="1:7" ht="16.2" thickTop="1" x14ac:dyDescent="0.3"/>
  </sheetData>
  <phoneticPr fontId="0" type="noConversion"/>
  <conditionalFormatting sqref="E13">
    <cfRule type="cellIs" dxfId="12" priority="4" stopIfTrue="1" operator="greaterThan">
      <formula>76</formula>
    </cfRule>
    <cfRule type="cellIs" dxfId="11" priority="5" stopIfTrue="1" operator="between">
      <formula>38</formula>
      <formula>76</formula>
    </cfRule>
  </conditionalFormatting>
  <hyperlinks>
    <hyperlink ref="G1" r:id="rId1" display="Played by Larry Creager"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showGridLines="0" workbookViewId="0">
      <pane ySplit="2" topLeftCell="A3" activePane="bottomLeft" state="frozen"/>
      <selection pane="bottomLeft" activeCell="A3" sqref="A3"/>
    </sheetView>
  </sheetViews>
  <sheetFormatPr defaultColWidth="13" defaultRowHeight="15.6" x14ac:dyDescent="0.3"/>
  <cols>
    <col min="1" max="1" width="29" style="8" bestFit="1" customWidth="1"/>
    <col min="2" max="2" width="5.8984375" style="8" bestFit="1" customWidth="1"/>
    <col min="3" max="3" width="11.59765625" style="9" hidden="1" customWidth="1"/>
    <col min="4" max="4" width="5.796875" style="9" hidden="1" customWidth="1"/>
    <col min="5" max="5" width="9.19921875" style="9" bestFit="1" customWidth="1"/>
    <col min="6" max="6" width="7.8984375" style="9" bestFit="1" customWidth="1"/>
    <col min="7" max="7" width="6" style="29" bestFit="1" customWidth="1"/>
    <col min="8" max="8" width="5.19921875" style="29" bestFit="1" customWidth="1"/>
    <col min="9" max="9" width="6.8984375" style="29" bestFit="1" customWidth="1"/>
    <col min="10" max="10" width="55" style="8" bestFit="1" customWidth="1"/>
    <col min="11" max="16384" width="13" style="1"/>
  </cols>
  <sheetData>
    <row r="1" spans="1:10" ht="23.4" thickBot="1" x14ac:dyDescent="0.45">
      <c r="A1" s="18" t="s">
        <v>6</v>
      </c>
      <c r="B1" s="10"/>
      <c r="C1" s="10"/>
      <c r="D1" s="10"/>
      <c r="E1" s="10"/>
      <c r="F1" s="10"/>
      <c r="G1" s="28"/>
      <c r="H1" s="28"/>
      <c r="I1" s="28"/>
      <c r="J1" s="10"/>
    </row>
    <row r="2" spans="1:10" s="138" customFormat="1" ht="34.200000000000003" thickBot="1" x14ac:dyDescent="0.35">
      <c r="A2" s="131" t="s">
        <v>91</v>
      </c>
      <c r="B2" s="132" t="s">
        <v>20</v>
      </c>
      <c r="C2" s="132" t="s">
        <v>22</v>
      </c>
      <c r="D2" s="132" t="s">
        <v>19</v>
      </c>
      <c r="E2" s="133" t="s">
        <v>47</v>
      </c>
      <c r="F2" s="133" t="s">
        <v>23</v>
      </c>
      <c r="G2" s="134" t="s">
        <v>49</v>
      </c>
      <c r="H2" s="135" t="s">
        <v>78</v>
      </c>
      <c r="I2" s="136" t="s">
        <v>60</v>
      </c>
      <c r="J2" s="137" t="s">
        <v>59</v>
      </c>
    </row>
    <row r="3" spans="1:10" s="7" customFormat="1" ht="16.8" x14ac:dyDescent="0.3">
      <c r="A3" s="99" t="s">
        <v>51</v>
      </c>
      <c r="B3" s="100">
        <f>2+1+1+1</f>
        <v>5</v>
      </c>
      <c r="C3" s="101" t="s">
        <v>155</v>
      </c>
      <c r="D3" s="101" t="str">
        <f>VLOOKUP(C3,'Personal File'!$A$12:$C$17,3,FALSE)</f>
        <v>+1</v>
      </c>
      <c r="E3" s="112" t="str">
        <f t="shared" ref="E3:E43" si="0">CONCATENATE(LEFT(C3,3)," (",D3,")")</f>
        <v>Con (+1)</v>
      </c>
      <c r="F3" s="101">
        <v>0</v>
      </c>
      <c r="G3" s="102">
        <f t="shared" ref="G3:G5" si="1">B3+D3+F3</f>
        <v>6</v>
      </c>
      <c r="H3" s="103">
        <f t="shared" ref="H3:H43" ca="1" si="2">RANDBETWEEN(1,20)</f>
        <v>8</v>
      </c>
      <c r="I3" s="104">
        <f t="shared" ref="I3:I5" ca="1" si="3">SUM(G3:H3)</f>
        <v>14</v>
      </c>
      <c r="J3" s="356" t="s">
        <v>247</v>
      </c>
    </row>
    <row r="4" spans="1:10" s="7" customFormat="1" ht="16.8" x14ac:dyDescent="0.3">
      <c r="A4" s="105" t="s">
        <v>52</v>
      </c>
      <c r="B4" s="100">
        <f>6+4+4+3</f>
        <v>17</v>
      </c>
      <c r="C4" s="101" t="s">
        <v>156</v>
      </c>
      <c r="D4" s="101" t="str">
        <f>VLOOKUP(C4,'Personal File'!$A$12:$C$17,3,FALSE)</f>
        <v>+5</v>
      </c>
      <c r="E4" s="85" t="str">
        <f t="shared" si="0"/>
        <v>Dex (+5)</v>
      </c>
      <c r="F4" s="379">
        <v>0</v>
      </c>
      <c r="G4" s="102">
        <f t="shared" si="1"/>
        <v>22</v>
      </c>
      <c r="H4" s="103">
        <f t="shared" ca="1" si="2"/>
        <v>19</v>
      </c>
      <c r="I4" s="104">
        <f t="shared" ca="1" si="3"/>
        <v>41</v>
      </c>
      <c r="J4" s="356" t="s">
        <v>149</v>
      </c>
    </row>
    <row r="5" spans="1:10" s="7" customFormat="1" ht="16.8" x14ac:dyDescent="0.3">
      <c r="A5" s="106" t="s">
        <v>53</v>
      </c>
      <c r="B5" s="107">
        <f>2+1+1+1</f>
        <v>5</v>
      </c>
      <c r="C5" s="108" t="s">
        <v>157</v>
      </c>
      <c r="D5" s="108" t="str">
        <f>VLOOKUP(C5,'Personal File'!$A$12:$C$17,3,FALSE)</f>
        <v>+3</v>
      </c>
      <c r="E5" s="113" t="str">
        <f t="shared" si="0"/>
        <v>Wis (+3)</v>
      </c>
      <c r="F5" s="108">
        <v>0</v>
      </c>
      <c r="G5" s="109">
        <f t="shared" si="1"/>
        <v>8</v>
      </c>
      <c r="H5" s="110">
        <f t="shared" ca="1" si="2"/>
        <v>6</v>
      </c>
      <c r="I5" s="111">
        <f t="shared" ca="1" si="3"/>
        <v>14</v>
      </c>
      <c r="J5" s="117" t="s">
        <v>194</v>
      </c>
    </row>
    <row r="6" spans="1:10" s="22" customFormat="1" ht="16.8" x14ac:dyDescent="0.3">
      <c r="A6" s="59" t="s">
        <v>24</v>
      </c>
      <c r="B6" s="50">
        <v>5</v>
      </c>
      <c r="C6" s="60" t="s">
        <v>158</v>
      </c>
      <c r="D6" s="61" t="str">
        <f>VLOOKUP(C6,'Personal File'!$A$12:$C$17,3,FALSE)</f>
        <v>+2</v>
      </c>
      <c r="E6" s="62" t="str">
        <f t="shared" si="0"/>
        <v>Int (+2)</v>
      </c>
      <c r="F6" s="323" t="s">
        <v>48</v>
      </c>
      <c r="G6" s="53">
        <f t="shared" ref="G6:G43" si="4">B6+D6+F6</f>
        <v>7</v>
      </c>
      <c r="H6" s="103">
        <f t="shared" ca="1" si="2"/>
        <v>19</v>
      </c>
      <c r="I6" s="53">
        <f t="shared" ref="I6:I7" ca="1" si="5">SUM(G6:H6)</f>
        <v>26</v>
      </c>
      <c r="J6" s="54"/>
    </row>
    <row r="7" spans="1:10" s="26" customFormat="1" ht="16.8" x14ac:dyDescent="0.3">
      <c r="A7" s="63" t="s">
        <v>25</v>
      </c>
      <c r="B7" s="50">
        <v>10</v>
      </c>
      <c r="C7" s="64" t="s">
        <v>156</v>
      </c>
      <c r="D7" s="65" t="str">
        <f>VLOOKUP(C7,'Personal File'!$A$12:$C$17,3,FALSE)</f>
        <v>+5</v>
      </c>
      <c r="E7" s="66" t="str">
        <f t="shared" si="0"/>
        <v>Dex (+5)</v>
      </c>
      <c r="F7" s="323" t="s">
        <v>75</v>
      </c>
      <c r="G7" s="53">
        <f t="shared" si="4"/>
        <v>17</v>
      </c>
      <c r="H7" s="103">
        <f t="shared" ca="1" si="2"/>
        <v>17</v>
      </c>
      <c r="I7" s="53">
        <f t="shared" ca="1" si="5"/>
        <v>34</v>
      </c>
      <c r="J7" s="54" t="s">
        <v>249</v>
      </c>
    </row>
    <row r="8" spans="1:10" s="24" customFormat="1" ht="16.8" x14ac:dyDescent="0.3">
      <c r="A8" s="49" t="s">
        <v>26</v>
      </c>
      <c r="B8" s="50">
        <v>4</v>
      </c>
      <c r="C8" s="51" t="s">
        <v>159</v>
      </c>
      <c r="D8" s="52">
        <f>VLOOKUP(C8,'Personal File'!$A$12:$C$17,3,FALSE)</f>
        <v>-1</v>
      </c>
      <c r="E8" s="57" t="str">
        <f t="shared" si="0"/>
        <v>Cha (-1)</v>
      </c>
      <c r="F8" s="323" t="s">
        <v>48</v>
      </c>
      <c r="G8" s="53">
        <f t="shared" si="4"/>
        <v>3</v>
      </c>
      <c r="H8" s="103">
        <f t="shared" ca="1" si="2"/>
        <v>5</v>
      </c>
      <c r="I8" s="53">
        <f t="shared" ref="I8:I43" ca="1" si="6">SUM(G8:H8)</f>
        <v>8</v>
      </c>
      <c r="J8" s="54"/>
    </row>
    <row r="9" spans="1:10" s="23" customFormat="1" ht="16.8" x14ac:dyDescent="0.3">
      <c r="A9" s="366" t="s">
        <v>27</v>
      </c>
      <c r="B9" s="50">
        <v>10</v>
      </c>
      <c r="C9" s="367" t="s">
        <v>160</v>
      </c>
      <c r="D9" s="368" t="str">
        <f>VLOOKUP(C9,'Personal File'!$A$12:$C$17,3,FALSE)</f>
        <v>+2</v>
      </c>
      <c r="E9" s="369" t="str">
        <f t="shared" si="0"/>
        <v>Str (+2)</v>
      </c>
      <c r="F9" s="323" t="s">
        <v>75</v>
      </c>
      <c r="G9" s="53">
        <f t="shared" si="4"/>
        <v>14</v>
      </c>
      <c r="H9" s="103">
        <f t="shared" ca="1" si="2"/>
        <v>17</v>
      </c>
      <c r="I9" s="53">
        <f t="shared" ca="1" si="6"/>
        <v>31</v>
      </c>
      <c r="J9" s="54" t="s">
        <v>249</v>
      </c>
    </row>
    <row r="10" spans="1:10" s="23" customFormat="1" ht="16.8" x14ac:dyDescent="0.3">
      <c r="A10" s="71" t="s">
        <v>7</v>
      </c>
      <c r="B10" s="34">
        <v>0</v>
      </c>
      <c r="C10" s="72" t="s">
        <v>155</v>
      </c>
      <c r="D10" s="73" t="str">
        <f>VLOOKUP(C10,'Personal File'!$A$12:$C$17,3,FALSE)</f>
        <v>+1</v>
      </c>
      <c r="E10" s="74" t="str">
        <f t="shared" si="0"/>
        <v>Con (+1)</v>
      </c>
      <c r="F10" s="322" t="s">
        <v>48</v>
      </c>
      <c r="G10" s="35">
        <f t="shared" si="4"/>
        <v>1</v>
      </c>
      <c r="H10" s="103">
        <f t="shared" ca="1" si="2"/>
        <v>15</v>
      </c>
      <c r="I10" s="35">
        <f t="shared" ca="1" si="6"/>
        <v>16</v>
      </c>
      <c r="J10" s="36"/>
    </row>
    <row r="11" spans="1:10" s="22" customFormat="1" ht="16.8" x14ac:dyDescent="0.3">
      <c r="A11" s="139" t="s">
        <v>193</v>
      </c>
      <c r="B11" s="140">
        <v>0</v>
      </c>
      <c r="C11" s="141" t="s">
        <v>158</v>
      </c>
      <c r="D11" s="142" t="str">
        <f>VLOOKUP(C11,'Personal File'!$A$12:$C$17,3,FALSE)</f>
        <v>+2</v>
      </c>
      <c r="E11" s="143" t="str">
        <f t="shared" si="0"/>
        <v>Int (+2)</v>
      </c>
      <c r="F11" s="324" t="s">
        <v>48</v>
      </c>
      <c r="G11" s="144">
        <f t="shared" si="4"/>
        <v>2</v>
      </c>
      <c r="H11" s="103">
        <f t="shared" ca="1" si="2"/>
        <v>17</v>
      </c>
      <c r="I11" s="144">
        <f t="shared" ca="1" si="6"/>
        <v>19</v>
      </c>
      <c r="J11" s="146"/>
    </row>
    <row r="12" spans="1:10" s="25" customFormat="1" ht="16.8" x14ac:dyDescent="0.3">
      <c r="A12" s="139" t="s">
        <v>28</v>
      </c>
      <c r="B12" s="140">
        <v>0</v>
      </c>
      <c r="C12" s="141" t="s">
        <v>158</v>
      </c>
      <c r="D12" s="142" t="str">
        <f>VLOOKUP(C12,'Personal File'!$A$12:$C$17,3,FALSE)</f>
        <v>+2</v>
      </c>
      <c r="E12" s="143" t="str">
        <f t="shared" si="0"/>
        <v>Int (+2)</v>
      </c>
      <c r="F12" s="324" t="s">
        <v>48</v>
      </c>
      <c r="G12" s="144">
        <f t="shared" si="4"/>
        <v>2</v>
      </c>
      <c r="H12" s="103">
        <f t="shared" ca="1" si="2"/>
        <v>10</v>
      </c>
      <c r="I12" s="144">
        <f t="shared" ca="1" si="6"/>
        <v>12</v>
      </c>
      <c r="J12" s="146"/>
    </row>
    <row r="13" spans="1:10" s="26" customFormat="1" ht="16.8" x14ac:dyDescent="0.3">
      <c r="A13" s="78" t="s">
        <v>29</v>
      </c>
      <c r="B13" s="34">
        <v>0</v>
      </c>
      <c r="C13" s="79" t="s">
        <v>159</v>
      </c>
      <c r="D13" s="80">
        <f>VLOOKUP(C13,'Personal File'!$A$12:$C$17,3,FALSE)</f>
        <v>-1</v>
      </c>
      <c r="E13" s="81" t="str">
        <f t="shared" si="0"/>
        <v>Cha (-1)</v>
      </c>
      <c r="F13" s="322" t="s">
        <v>75</v>
      </c>
      <c r="G13" s="35">
        <f t="shared" si="4"/>
        <v>1</v>
      </c>
      <c r="H13" s="103">
        <f t="shared" ca="1" si="2"/>
        <v>7</v>
      </c>
      <c r="I13" s="35">
        <f t="shared" ca="1" si="6"/>
        <v>8</v>
      </c>
      <c r="J13" s="36"/>
    </row>
    <row r="14" spans="1:10" s="26" customFormat="1" ht="16.8" x14ac:dyDescent="0.3">
      <c r="A14" s="59" t="s">
        <v>30</v>
      </c>
      <c r="B14" s="50">
        <v>5</v>
      </c>
      <c r="C14" s="60" t="s">
        <v>158</v>
      </c>
      <c r="D14" s="61" t="str">
        <f>VLOOKUP(C14,'Personal File'!$A$12:$C$17,3,FALSE)</f>
        <v>+2</v>
      </c>
      <c r="E14" s="62" t="str">
        <f t="shared" si="0"/>
        <v>Int (+2)</v>
      </c>
      <c r="F14" s="325">
        <f>2+2</f>
        <v>4</v>
      </c>
      <c r="G14" s="53">
        <f t="shared" si="4"/>
        <v>11</v>
      </c>
      <c r="H14" s="103">
        <f t="shared" ca="1" si="2"/>
        <v>19</v>
      </c>
      <c r="I14" s="53">
        <f t="shared" ca="1" si="6"/>
        <v>30</v>
      </c>
      <c r="J14" s="54" t="s">
        <v>121</v>
      </c>
    </row>
    <row r="15" spans="1:10" s="26" customFormat="1" ht="16.8" x14ac:dyDescent="0.3">
      <c r="A15" s="49" t="s">
        <v>31</v>
      </c>
      <c r="B15" s="50">
        <v>1</v>
      </c>
      <c r="C15" s="51" t="s">
        <v>159</v>
      </c>
      <c r="D15" s="52">
        <f>VLOOKUP(C15,'Personal File'!$A$12:$C$17,3,FALSE)</f>
        <v>-1</v>
      </c>
      <c r="E15" s="57" t="str">
        <f t="shared" si="0"/>
        <v>Cha (-1)</v>
      </c>
      <c r="F15" s="325">
        <f>2</f>
        <v>2</v>
      </c>
      <c r="G15" s="53">
        <f t="shared" si="4"/>
        <v>2</v>
      </c>
      <c r="H15" s="103">
        <f t="shared" ca="1" si="2"/>
        <v>6</v>
      </c>
      <c r="I15" s="53">
        <f t="shared" ca="1" si="6"/>
        <v>8</v>
      </c>
      <c r="J15" s="209"/>
    </row>
    <row r="16" spans="1:10" s="26" customFormat="1" ht="16.8" x14ac:dyDescent="0.3">
      <c r="A16" s="82" t="s">
        <v>32</v>
      </c>
      <c r="B16" s="34">
        <v>0</v>
      </c>
      <c r="C16" s="83" t="s">
        <v>156</v>
      </c>
      <c r="D16" s="84" t="str">
        <f>VLOOKUP(C16,'Personal File'!$A$12:$C$17,3,FALSE)</f>
        <v>+5</v>
      </c>
      <c r="E16" s="85" t="str">
        <f t="shared" si="0"/>
        <v>Dex (+5)</v>
      </c>
      <c r="F16" s="322" t="s">
        <v>48</v>
      </c>
      <c r="G16" s="35">
        <f t="shared" si="4"/>
        <v>5</v>
      </c>
      <c r="H16" s="103">
        <f t="shared" ca="1" si="2"/>
        <v>7</v>
      </c>
      <c r="I16" s="35">
        <f t="shared" ca="1" si="6"/>
        <v>12</v>
      </c>
      <c r="J16" s="36" t="s">
        <v>223</v>
      </c>
    </row>
    <row r="17" spans="1:10" s="26" customFormat="1" ht="16.8" x14ac:dyDescent="0.3">
      <c r="A17" s="118" t="s">
        <v>33</v>
      </c>
      <c r="B17" s="34">
        <v>0</v>
      </c>
      <c r="C17" s="119" t="s">
        <v>158</v>
      </c>
      <c r="D17" s="120" t="str">
        <f>VLOOKUP(C17,'Personal File'!$A$12:$C$17,3,FALSE)</f>
        <v>+2</v>
      </c>
      <c r="E17" s="121" t="str">
        <f t="shared" si="0"/>
        <v>Int (+2)</v>
      </c>
      <c r="F17" s="322" t="s">
        <v>48</v>
      </c>
      <c r="G17" s="35">
        <f t="shared" si="4"/>
        <v>2</v>
      </c>
      <c r="H17" s="103">
        <f t="shared" ca="1" si="2"/>
        <v>19</v>
      </c>
      <c r="I17" s="35">
        <f t="shared" ca="1" si="6"/>
        <v>21</v>
      </c>
      <c r="J17" s="36"/>
    </row>
    <row r="18" spans="1:10" s="26" customFormat="1" ht="16.8" x14ac:dyDescent="0.3">
      <c r="A18" s="49" t="s">
        <v>34</v>
      </c>
      <c r="B18" s="50">
        <v>5</v>
      </c>
      <c r="C18" s="51" t="s">
        <v>159</v>
      </c>
      <c r="D18" s="52">
        <f>VLOOKUP(C18,'Personal File'!$A$12:$C$17,3,FALSE)</f>
        <v>-1</v>
      </c>
      <c r="E18" s="57" t="str">
        <f t="shared" si="0"/>
        <v>Cha (-1)</v>
      </c>
      <c r="F18" s="323" t="s">
        <v>75</v>
      </c>
      <c r="G18" s="53">
        <f t="shared" si="4"/>
        <v>6</v>
      </c>
      <c r="H18" s="103">
        <f t="shared" ca="1" si="2"/>
        <v>16</v>
      </c>
      <c r="I18" s="53">
        <f t="shared" ca="1" si="6"/>
        <v>22</v>
      </c>
      <c r="J18" s="54"/>
    </row>
    <row r="19" spans="1:10" s="26" customFormat="1" ht="16.8" x14ac:dyDescent="0.3">
      <c r="A19" s="78" t="s">
        <v>9</v>
      </c>
      <c r="B19" s="34">
        <v>0</v>
      </c>
      <c r="C19" s="79" t="s">
        <v>159</v>
      </c>
      <c r="D19" s="80">
        <f>VLOOKUP(C19,'Personal File'!$A$12:$C$17,3,FALSE)</f>
        <v>-1</v>
      </c>
      <c r="E19" s="81" t="str">
        <f t="shared" si="0"/>
        <v>Cha (-1)</v>
      </c>
      <c r="F19" s="322" t="s">
        <v>48</v>
      </c>
      <c r="G19" s="35">
        <f t="shared" si="4"/>
        <v>-1</v>
      </c>
      <c r="H19" s="103">
        <f t="shared" ca="1" si="2"/>
        <v>8</v>
      </c>
      <c r="I19" s="35">
        <f t="shared" ca="1" si="6"/>
        <v>7</v>
      </c>
      <c r="J19" s="36"/>
    </row>
    <row r="20" spans="1:10" s="26" customFormat="1" ht="16.8" x14ac:dyDescent="0.3">
      <c r="A20" s="86" t="s">
        <v>35</v>
      </c>
      <c r="B20" s="34">
        <v>0</v>
      </c>
      <c r="C20" s="87" t="s">
        <v>157</v>
      </c>
      <c r="D20" s="88" t="str">
        <f>VLOOKUP(C20,'Personal File'!$A$12:$C$17,3,FALSE)</f>
        <v>+3</v>
      </c>
      <c r="E20" s="89" t="str">
        <f t="shared" si="0"/>
        <v>Wis (+3)</v>
      </c>
      <c r="F20" s="322" t="s">
        <v>48</v>
      </c>
      <c r="G20" s="35">
        <f t="shared" si="4"/>
        <v>3</v>
      </c>
      <c r="H20" s="103">
        <f t="shared" ca="1" si="2"/>
        <v>17</v>
      </c>
      <c r="I20" s="35">
        <f t="shared" ca="1" si="6"/>
        <v>20</v>
      </c>
      <c r="J20" s="36"/>
    </row>
    <row r="21" spans="1:10" s="26" customFormat="1" ht="16.8" x14ac:dyDescent="0.3">
      <c r="A21" s="63" t="s">
        <v>36</v>
      </c>
      <c r="B21" s="50">
        <v>10</v>
      </c>
      <c r="C21" s="64" t="s">
        <v>156</v>
      </c>
      <c r="D21" s="65" t="str">
        <f>VLOOKUP(C21,'Personal File'!$A$12:$C$17,3,FALSE)</f>
        <v>+5</v>
      </c>
      <c r="E21" s="66" t="str">
        <f t="shared" si="0"/>
        <v>Dex (+5)</v>
      </c>
      <c r="F21" s="325">
        <f>4+3</f>
        <v>7</v>
      </c>
      <c r="G21" s="53">
        <f t="shared" si="4"/>
        <v>22</v>
      </c>
      <c r="H21" s="103">
        <f t="shared" ca="1" si="2"/>
        <v>10</v>
      </c>
      <c r="I21" s="53">
        <f t="shared" ca="1" si="6"/>
        <v>32</v>
      </c>
      <c r="J21" s="209"/>
    </row>
    <row r="22" spans="1:10" s="26" customFormat="1" ht="16.8" x14ac:dyDescent="0.3">
      <c r="A22" s="78" t="s">
        <v>37</v>
      </c>
      <c r="B22" s="34">
        <v>0</v>
      </c>
      <c r="C22" s="79" t="s">
        <v>159</v>
      </c>
      <c r="D22" s="80">
        <f>VLOOKUP(C22,'Personal File'!$A$12:$C$17,3,FALSE)</f>
        <v>-1</v>
      </c>
      <c r="E22" s="81" t="str">
        <f t="shared" si="0"/>
        <v>Cha (-1)</v>
      </c>
      <c r="F22" s="322" t="s">
        <v>75</v>
      </c>
      <c r="G22" s="35">
        <f t="shared" si="4"/>
        <v>1</v>
      </c>
      <c r="H22" s="103">
        <f t="shared" ca="1" si="2"/>
        <v>5</v>
      </c>
      <c r="I22" s="35">
        <f t="shared" ca="1" si="6"/>
        <v>6</v>
      </c>
      <c r="J22" s="36"/>
    </row>
    <row r="23" spans="1:10" s="26" customFormat="1" ht="16.8" x14ac:dyDescent="0.3">
      <c r="A23" s="366" t="s">
        <v>38</v>
      </c>
      <c r="B23" s="50">
        <v>10</v>
      </c>
      <c r="C23" s="367" t="s">
        <v>160</v>
      </c>
      <c r="D23" s="368" t="str">
        <f>VLOOKUP(C23,'Personal File'!$A$12:$C$17,3,FALSE)</f>
        <v>+2</v>
      </c>
      <c r="E23" s="369" t="str">
        <f t="shared" si="0"/>
        <v>Str (+2)</v>
      </c>
      <c r="F23" s="325">
        <f>2+2+4</f>
        <v>8</v>
      </c>
      <c r="G23" s="53">
        <f t="shared" si="4"/>
        <v>20</v>
      </c>
      <c r="H23" s="103">
        <f t="shared" ca="1" si="2"/>
        <v>5</v>
      </c>
      <c r="I23" s="53">
        <f t="shared" ca="1" si="6"/>
        <v>25</v>
      </c>
      <c r="J23" s="54" t="s">
        <v>250</v>
      </c>
    </row>
    <row r="24" spans="1:10" s="26" customFormat="1" ht="16.8" x14ac:dyDescent="0.3">
      <c r="A24" s="59" t="s">
        <v>108</v>
      </c>
      <c r="B24" s="50">
        <v>6</v>
      </c>
      <c r="C24" s="60" t="s">
        <v>158</v>
      </c>
      <c r="D24" s="61" t="str">
        <f>VLOOKUP(C24,'Personal File'!$A$12:$C$17,3,FALSE)</f>
        <v>+2</v>
      </c>
      <c r="E24" s="62" t="str">
        <f t="shared" si="0"/>
        <v>Int (+2)</v>
      </c>
      <c r="F24" s="323" t="s">
        <v>48</v>
      </c>
      <c r="G24" s="53">
        <f t="shared" si="4"/>
        <v>8</v>
      </c>
      <c r="H24" s="103">
        <f t="shared" ca="1" si="2"/>
        <v>7</v>
      </c>
      <c r="I24" s="53">
        <f t="shared" ca="1" si="6"/>
        <v>15</v>
      </c>
      <c r="J24" s="54"/>
    </row>
    <row r="25" spans="1:10" s="26" customFormat="1" ht="16.8" x14ac:dyDescent="0.3">
      <c r="A25" s="59" t="s">
        <v>208</v>
      </c>
      <c r="B25" s="50">
        <v>5</v>
      </c>
      <c r="C25" s="60" t="s">
        <v>158</v>
      </c>
      <c r="D25" s="61" t="str">
        <f>VLOOKUP(C25,'Personal File'!$A$12:$C$17,3,FALSE)</f>
        <v>+2</v>
      </c>
      <c r="E25" s="62" t="str">
        <f t="shared" ref="E25" si="7">CONCATENATE(LEFT(C25,3)," (",D25,")")</f>
        <v>Int (+2)</v>
      </c>
      <c r="F25" s="323" t="s">
        <v>48</v>
      </c>
      <c r="G25" s="53">
        <f t="shared" ref="G25" si="8">B25+D25+F25</f>
        <v>7</v>
      </c>
      <c r="H25" s="103">
        <f t="shared" ca="1" si="2"/>
        <v>18</v>
      </c>
      <c r="I25" s="53">
        <f t="shared" ref="I25" ca="1" si="9">SUM(G25:H25)</f>
        <v>25</v>
      </c>
      <c r="J25" s="54"/>
    </row>
    <row r="26" spans="1:10" s="26" customFormat="1" ht="16.8" x14ac:dyDescent="0.3">
      <c r="A26" s="59" t="s">
        <v>71</v>
      </c>
      <c r="B26" s="50">
        <v>6</v>
      </c>
      <c r="C26" s="60" t="s">
        <v>158</v>
      </c>
      <c r="D26" s="61" t="str">
        <f>VLOOKUP(C26,'Personal File'!$A$12:$C$17,3,FALSE)</f>
        <v>+2</v>
      </c>
      <c r="E26" s="62" t="str">
        <f t="shared" si="0"/>
        <v>Int (+2)</v>
      </c>
      <c r="F26" s="323" t="s">
        <v>48</v>
      </c>
      <c r="G26" s="53">
        <f t="shared" ref="G26" si="10">B26+D26+F26</f>
        <v>8</v>
      </c>
      <c r="H26" s="103">
        <f t="shared" ca="1" si="2"/>
        <v>8</v>
      </c>
      <c r="I26" s="53">
        <f t="shared" ref="I26" ca="1" si="11">SUM(G26:H26)</f>
        <v>16</v>
      </c>
      <c r="J26" s="54"/>
    </row>
    <row r="27" spans="1:10" s="26" customFormat="1" ht="16.8" x14ac:dyDescent="0.3">
      <c r="A27" s="67" t="s">
        <v>39</v>
      </c>
      <c r="B27" s="50">
        <v>8</v>
      </c>
      <c r="C27" s="68" t="s">
        <v>157</v>
      </c>
      <c r="D27" s="69" t="str">
        <f>VLOOKUP(C27,'Personal File'!$A$12:$C$17,3,FALSE)</f>
        <v>+3</v>
      </c>
      <c r="E27" s="70" t="str">
        <f t="shared" si="0"/>
        <v>Wis (+3)</v>
      </c>
      <c r="F27" s="323" t="s">
        <v>48</v>
      </c>
      <c r="G27" s="53">
        <f t="shared" si="4"/>
        <v>11</v>
      </c>
      <c r="H27" s="103">
        <f t="shared" ca="1" si="2"/>
        <v>16</v>
      </c>
      <c r="I27" s="53">
        <f t="shared" ca="1" si="6"/>
        <v>27</v>
      </c>
      <c r="J27" s="54"/>
    </row>
    <row r="28" spans="1:10" s="26" customFormat="1" ht="16.8" x14ac:dyDescent="0.3">
      <c r="A28" s="63" t="s">
        <v>10</v>
      </c>
      <c r="B28" s="50">
        <v>10</v>
      </c>
      <c r="C28" s="64" t="s">
        <v>156</v>
      </c>
      <c r="D28" s="65" t="str">
        <f>VLOOKUP(C28,'Personal File'!$A$12:$C$17,3,FALSE)</f>
        <v>+5</v>
      </c>
      <c r="E28" s="66" t="str">
        <f t="shared" si="0"/>
        <v>Dex (+5)</v>
      </c>
      <c r="F28" s="325">
        <f>2+3</f>
        <v>5</v>
      </c>
      <c r="G28" s="53">
        <f t="shared" si="4"/>
        <v>20</v>
      </c>
      <c r="H28" s="103">
        <f t="shared" ca="1" si="2"/>
        <v>10</v>
      </c>
      <c r="I28" s="53">
        <f t="shared" ca="1" si="6"/>
        <v>30</v>
      </c>
      <c r="J28" s="54"/>
    </row>
    <row r="29" spans="1:10" s="26" customFormat="1" ht="16.8" x14ac:dyDescent="0.3">
      <c r="A29" s="63" t="s">
        <v>40</v>
      </c>
      <c r="B29" s="50">
        <v>10</v>
      </c>
      <c r="C29" s="64" t="s">
        <v>156</v>
      </c>
      <c r="D29" s="65" t="str">
        <f>VLOOKUP(C29,'Personal File'!$A$12:$C$17,3,FALSE)</f>
        <v>+5</v>
      </c>
      <c r="E29" s="66" t="str">
        <f t="shared" si="0"/>
        <v>Dex (+5)</v>
      </c>
      <c r="F29" s="326">
        <f>2+5</f>
        <v>7</v>
      </c>
      <c r="G29" s="53">
        <f t="shared" si="4"/>
        <v>22</v>
      </c>
      <c r="H29" s="103">
        <f t="shared" ca="1" si="2"/>
        <v>15</v>
      </c>
      <c r="I29" s="53">
        <f t="shared" ca="1" si="6"/>
        <v>37</v>
      </c>
      <c r="J29" s="54" t="s">
        <v>123</v>
      </c>
    </row>
    <row r="30" spans="1:10" ht="16.8" x14ac:dyDescent="0.3">
      <c r="A30" s="78" t="s">
        <v>81</v>
      </c>
      <c r="B30" s="34">
        <v>0</v>
      </c>
      <c r="C30" s="79" t="s">
        <v>159</v>
      </c>
      <c r="D30" s="80">
        <f>VLOOKUP(C30,'Personal File'!$A$12:$C$17,3,FALSE)</f>
        <v>-1</v>
      </c>
      <c r="E30" s="81" t="str">
        <f t="shared" si="0"/>
        <v>Cha (-1)</v>
      </c>
      <c r="F30" s="322" t="s">
        <v>48</v>
      </c>
      <c r="G30" s="35">
        <f t="shared" si="4"/>
        <v>-1</v>
      </c>
      <c r="H30" s="103">
        <f t="shared" ca="1" si="2"/>
        <v>16</v>
      </c>
      <c r="I30" s="35">
        <f t="shared" ca="1" si="6"/>
        <v>15</v>
      </c>
      <c r="J30" s="36"/>
    </row>
    <row r="31" spans="1:10" ht="16.8" x14ac:dyDescent="0.3">
      <c r="A31" s="147" t="s">
        <v>82</v>
      </c>
      <c r="B31" s="140">
        <v>0</v>
      </c>
      <c r="C31" s="148" t="s">
        <v>157</v>
      </c>
      <c r="D31" s="149" t="str">
        <f>VLOOKUP(C31,'Personal File'!$A$12:$C$17,3,FALSE)</f>
        <v>+3</v>
      </c>
      <c r="E31" s="150" t="str">
        <f t="shared" si="0"/>
        <v>Wis (+3)</v>
      </c>
      <c r="F31" s="324" t="s">
        <v>48</v>
      </c>
      <c r="G31" s="144">
        <f t="shared" si="4"/>
        <v>3</v>
      </c>
      <c r="H31" s="103">
        <f t="shared" ca="1" si="2"/>
        <v>2</v>
      </c>
      <c r="I31" s="144">
        <f t="shared" ca="1" si="6"/>
        <v>5</v>
      </c>
      <c r="J31" s="146"/>
    </row>
    <row r="32" spans="1:10" ht="16.8" x14ac:dyDescent="0.3">
      <c r="A32" s="82" t="s">
        <v>11</v>
      </c>
      <c r="B32" s="34">
        <v>0</v>
      </c>
      <c r="C32" s="83" t="s">
        <v>156</v>
      </c>
      <c r="D32" s="84" t="str">
        <f>VLOOKUP(C32,'Personal File'!$A$12:$C$17,3,FALSE)</f>
        <v>+5</v>
      </c>
      <c r="E32" s="85" t="str">
        <f t="shared" si="0"/>
        <v>Dex (+5)</v>
      </c>
      <c r="F32" s="322" t="s">
        <v>48</v>
      </c>
      <c r="G32" s="35">
        <f t="shared" si="4"/>
        <v>5</v>
      </c>
      <c r="H32" s="103">
        <f t="shared" ca="1" si="2"/>
        <v>18</v>
      </c>
      <c r="I32" s="35">
        <f t="shared" ca="1" si="6"/>
        <v>23</v>
      </c>
      <c r="J32" s="36" t="s">
        <v>223</v>
      </c>
    </row>
    <row r="33" spans="1:10" ht="16.8" x14ac:dyDescent="0.3">
      <c r="A33" s="59" t="s">
        <v>12</v>
      </c>
      <c r="B33" s="50">
        <v>10</v>
      </c>
      <c r="C33" s="60" t="s">
        <v>158</v>
      </c>
      <c r="D33" s="61" t="str">
        <f>VLOOKUP(C33,'Personal File'!$A$12:$C$17,3,FALSE)</f>
        <v>+2</v>
      </c>
      <c r="E33" s="62" t="str">
        <f t="shared" si="0"/>
        <v>Int (+2)</v>
      </c>
      <c r="F33" s="323" t="s">
        <v>48</v>
      </c>
      <c r="G33" s="53">
        <f t="shared" si="4"/>
        <v>12</v>
      </c>
      <c r="H33" s="103">
        <f t="shared" ca="1" si="2"/>
        <v>12</v>
      </c>
      <c r="I33" s="53">
        <f t="shared" ca="1" si="6"/>
        <v>24</v>
      </c>
      <c r="J33" s="209" t="s">
        <v>125</v>
      </c>
    </row>
    <row r="34" spans="1:10" ht="16.8" x14ac:dyDescent="0.3">
      <c r="A34" s="86" t="s">
        <v>41</v>
      </c>
      <c r="B34" s="34">
        <v>0</v>
      </c>
      <c r="C34" s="87" t="s">
        <v>157</v>
      </c>
      <c r="D34" s="88" t="str">
        <f>VLOOKUP(C34,'Personal File'!$A$12:$C$17,3,FALSE)</f>
        <v>+3</v>
      </c>
      <c r="E34" s="89" t="str">
        <f t="shared" si="0"/>
        <v>Wis (+3)</v>
      </c>
      <c r="F34" s="322" t="s">
        <v>48</v>
      </c>
      <c r="G34" s="35">
        <f t="shared" si="4"/>
        <v>3</v>
      </c>
      <c r="H34" s="103">
        <f t="shared" ca="1" si="2"/>
        <v>20</v>
      </c>
      <c r="I34" s="35">
        <f t="shared" ca="1" si="6"/>
        <v>23</v>
      </c>
      <c r="J34" s="36"/>
    </row>
    <row r="35" spans="1:10" ht="16.8" x14ac:dyDescent="0.3">
      <c r="A35" s="63" t="s">
        <v>64</v>
      </c>
      <c r="B35" s="50">
        <v>5</v>
      </c>
      <c r="C35" s="64" t="s">
        <v>156</v>
      </c>
      <c r="D35" s="65" t="str">
        <f>VLOOKUP(C35,'Personal File'!$A$12:$C$17,3,FALSE)</f>
        <v>+5</v>
      </c>
      <c r="E35" s="66" t="str">
        <f t="shared" si="0"/>
        <v>Dex (+5)</v>
      </c>
      <c r="F35" s="323" t="s">
        <v>75</v>
      </c>
      <c r="G35" s="53">
        <f t="shared" si="4"/>
        <v>12</v>
      </c>
      <c r="H35" s="103">
        <f t="shared" ca="1" si="2"/>
        <v>16</v>
      </c>
      <c r="I35" s="53">
        <f t="shared" ca="1" si="6"/>
        <v>28</v>
      </c>
      <c r="J35" s="54" t="s">
        <v>121</v>
      </c>
    </row>
    <row r="36" spans="1:10" ht="16.8" x14ac:dyDescent="0.3">
      <c r="A36" s="139" t="s">
        <v>63</v>
      </c>
      <c r="B36" s="140">
        <v>0</v>
      </c>
      <c r="C36" s="141" t="s">
        <v>158</v>
      </c>
      <c r="D36" s="142" t="str">
        <f>VLOOKUP(C36,'Personal File'!$A$12:$C$17,3,FALSE)</f>
        <v>+2</v>
      </c>
      <c r="E36" s="143" t="str">
        <f t="shared" si="0"/>
        <v>Int (+2)</v>
      </c>
      <c r="F36" s="324" t="s">
        <v>48</v>
      </c>
      <c r="G36" s="144">
        <f t="shared" si="4"/>
        <v>2</v>
      </c>
      <c r="H36" s="103">
        <f t="shared" ca="1" si="2"/>
        <v>8</v>
      </c>
      <c r="I36" s="144">
        <f t="shared" ca="1" si="6"/>
        <v>10</v>
      </c>
      <c r="J36" s="145"/>
    </row>
    <row r="37" spans="1:10" ht="16.8" x14ac:dyDescent="0.3">
      <c r="A37" s="139" t="s">
        <v>42</v>
      </c>
      <c r="B37" s="140">
        <v>0</v>
      </c>
      <c r="C37" s="141" t="s">
        <v>158</v>
      </c>
      <c r="D37" s="142" t="str">
        <f>VLOOKUP(C37,'Personal File'!$A$12:$C$17,3,FALSE)</f>
        <v>+2</v>
      </c>
      <c r="E37" s="143" t="str">
        <f t="shared" si="0"/>
        <v>Int (+2)</v>
      </c>
      <c r="F37" s="324" t="s">
        <v>48</v>
      </c>
      <c r="G37" s="144">
        <f t="shared" si="4"/>
        <v>2</v>
      </c>
      <c r="H37" s="103">
        <f t="shared" ca="1" si="2"/>
        <v>16</v>
      </c>
      <c r="I37" s="144">
        <f t="shared" ca="1" si="6"/>
        <v>18</v>
      </c>
      <c r="J37" s="145"/>
    </row>
    <row r="38" spans="1:10" ht="16.8" x14ac:dyDescent="0.3">
      <c r="A38" s="67" t="s">
        <v>43</v>
      </c>
      <c r="B38" s="50">
        <v>10</v>
      </c>
      <c r="C38" s="68" t="s">
        <v>157</v>
      </c>
      <c r="D38" s="69" t="str">
        <f>VLOOKUP(C38,'Personal File'!$A$12:$C$17,3,FALSE)</f>
        <v>+3</v>
      </c>
      <c r="E38" s="70" t="str">
        <f t="shared" si="0"/>
        <v>Wis (+3)</v>
      </c>
      <c r="F38" s="323" t="s">
        <v>75</v>
      </c>
      <c r="G38" s="53">
        <f t="shared" si="4"/>
        <v>15</v>
      </c>
      <c r="H38" s="103">
        <f t="shared" ca="1" si="2"/>
        <v>7</v>
      </c>
      <c r="I38" s="53">
        <f t="shared" ca="1" si="6"/>
        <v>22</v>
      </c>
      <c r="J38" s="54"/>
    </row>
    <row r="39" spans="1:10" ht="16.8" x14ac:dyDescent="0.3">
      <c r="A39" s="86" t="s">
        <v>65</v>
      </c>
      <c r="B39" s="34">
        <v>0</v>
      </c>
      <c r="C39" s="87" t="s">
        <v>157</v>
      </c>
      <c r="D39" s="88" t="str">
        <f>VLOOKUP(C39,'Personal File'!$A$12:$C$17,3,FALSE)</f>
        <v>+3</v>
      </c>
      <c r="E39" s="89" t="str">
        <f t="shared" si="0"/>
        <v>Wis (+3)</v>
      </c>
      <c r="F39" s="322" t="s">
        <v>48</v>
      </c>
      <c r="G39" s="35">
        <f t="shared" si="4"/>
        <v>3</v>
      </c>
      <c r="H39" s="103">
        <f t="shared" ca="1" si="2"/>
        <v>4</v>
      </c>
      <c r="I39" s="35">
        <f t="shared" ca="1" si="6"/>
        <v>7</v>
      </c>
      <c r="J39" s="36"/>
    </row>
    <row r="40" spans="1:10" ht="16.8" x14ac:dyDescent="0.3">
      <c r="A40" s="90" t="s">
        <v>13</v>
      </c>
      <c r="B40" s="34">
        <v>0</v>
      </c>
      <c r="C40" s="91" t="s">
        <v>160</v>
      </c>
      <c r="D40" s="92" t="str">
        <f>VLOOKUP(C40,'Personal File'!$A$12:$C$17,3,FALSE)</f>
        <v>+2</v>
      </c>
      <c r="E40" s="93" t="str">
        <f t="shared" si="0"/>
        <v>Str (+2)</v>
      </c>
      <c r="F40" s="322" t="s">
        <v>48</v>
      </c>
      <c r="G40" s="35">
        <f t="shared" si="4"/>
        <v>2</v>
      </c>
      <c r="H40" s="103">
        <f t="shared" ca="1" si="2"/>
        <v>13</v>
      </c>
      <c r="I40" s="35">
        <f t="shared" ca="1" si="6"/>
        <v>15</v>
      </c>
      <c r="J40" s="36" t="s">
        <v>223</v>
      </c>
    </row>
    <row r="41" spans="1:10" ht="16.8" x14ac:dyDescent="0.3">
      <c r="A41" s="63" t="s">
        <v>44</v>
      </c>
      <c r="B41" s="50">
        <v>8</v>
      </c>
      <c r="C41" s="64" t="s">
        <v>156</v>
      </c>
      <c r="D41" s="65" t="str">
        <f>VLOOKUP(C41,'Personal File'!$A$12:$C$17,3,FALSE)</f>
        <v>+5</v>
      </c>
      <c r="E41" s="66" t="str">
        <f t="shared" si="0"/>
        <v>Dex (+5)</v>
      </c>
      <c r="F41" s="323" t="s">
        <v>75</v>
      </c>
      <c r="G41" s="53">
        <f t="shared" si="4"/>
        <v>15</v>
      </c>
      <c r="H41" s="103">
        <f t="shared" ca="1" si="2"/>
        <v>14</v>
      </c>
      <c r="I41" s="53">
        <f t="shared" ca="1" si="6"/>
        <v>29</v>
      </c>
      <c r="J41" s="54" t="s">
        <v>249</v>
      </c>
    </row>
    <row r="42" spans="1:10" ht="16.8" x14ac:dyDescent="0.3">
      <c r="A42" s="49" t="s">
        <v>45</v>
      </c>
      <c r="B42" s="50">
        <v>8</v>
      </c>
      <c r="C42" s="51" t="s">
        <v>159</v>
      </c>
      <c r="D42" s="52">
        <f>VLOOKUP(C42,'Personal File'!$A$12:$C$17,3,FALSE)</f>
        <v>-1</v>
      </c>
      <c r="E42" s="57" t="str">
        <f t="shared" si="0"/>
        <v>Cha (-1)</v>
      </c>
      <c r="F42" s="323" t="s">
        <v>48</v>
      </c>
      <c r="G42" s="53">
        <f t="shared" si="4"/>
        <v>7</v>
      </c>
      <c r="H42" s="103">
        <f t="shared" ca="1" si="2"/>
        <v>5</v>
      </c>
      <c r="I42" s="53">
        <f t="shared" ca="1" si="6"/>
        <v>12</v>
      </c>
      <c r="J42" s="54"/>
    </row>
    <row r="43" spans="1:10" ht="17.399999999999999" thickBot="1" x14ac:dyDescent="0.35">
      <c r="A43" s="380" t="s">
        <v>46</v>
      </c>
      <c r="B43" s="381">
        <v>4</v>
      </c>
      <c r="C43" s="382" t="s">
        <v>156</v>
      </c>
      <c r="D43" s="383" t="str">
        <f>VLOOKUP(C43,'Personal File'!$A$12:$C$17,3,FALSE)</f>
        <v>+5</v>
      </c>
      <c r="E43" s="384" t="str">
        <f t="shared" si="0"/>
        <v>Dex (+5)</v>
      </c>
      <c r="F43" s="385" t="s">
        <v>48</v>
      </c>
      <c r="G43" s="386">
        <f t="shared" si="4"/>
        <v>9</v>
      </c>
      <c r="H43" s="393">
        <f t="shared" ca="1" si="2"/>
        <v>10</v>
      </c>
      <c r="I43" s="386">
        <f t="shared" ca="1" si="6"/>
        <v>19</v>
      </c>
      <c r="J43" s="387"/>
    </row>
    <row r="44" spans="1:10" ht="16.2" thickTop="1" x14ac:dyDescent="0.3">
      <c r="B44" s="33">
        <f>SUM(B6:B43)</f>
        <v>150</v>
      </c>
      <c r="E44" s="211">
        <f>SUM(E45:E57)</f>
        <v>150</v>
      </c>
    </row>
    <row r="45" spans="1:10" x14ac:dyDescent="0.3">
      <c r="B45" s="33">
        <v>1</v>
      </c>
      <c r="E45" s="210">
        <f>4*(8+'Personal File'!$C$15)</f>
        <v>40</v>
      </c>
      <c r="F45" s="94" t="s">
        <v>83</v>
      </c>
    </row>
    <row r="46" spans="1:10" x14ac:dyDescent="0.3">
      <c r="B46" s="33">
        <v>2</v>
      </c>
      <c r="E46" s="212">
        <f>8+'Personal File'!$C$15</f>
        <v>10</v>
      </c>
      <c r="F46" s="94" t="s">
        <v>84</v>
      </c>
    </row>
    <row r="47" spans="1:10" x14ac:dyDescent="0.3">
      <c r="B47" s="33">
        <v>3</v>
      </c>
      <c r="E47" s="212">
        <f>8+'Personal File'!$C$15</f>
        <v>10</v>
      </c>
      <c r="F47" s="94" t="s">
        <v>86</v>
      </c>
    </row>
    <row r="48" spans="1:10" x14ac:dyDescent="0.3">
      <c r="B48" s="33">
        <v>4</v>
      </c>
      <c r="E48" s="212">
        <f>8+'Personal File'!$C$15</f>
        <v>10</v>
      </c>
      <c r="F48" s="94" t="s">
        <v>104</v>
      </c>
    </row>
    <row r="49" spans="2:6" x14ac:dyDescent="0.3">
      <c r="B49" s="33">
        <v>5</v>
      </c>
      <c r="E49" s="212">
        <f>8+'Personal File'!$C$15</f>
        <v>10</v>
      </c>
      <c r="F49" s="94" t="s">
        <v>120</v>
      </c>
    </row>
    <row r="50" spans="2:6" x14ac:dyDescent="0.3">
      <c r="B50" s="33">
        <v>6</v>
      </c>
      <c r="E50" s="212">
        <f>8+'Personal File'!$C$15</f>
        <v>10</v>
      </c>
      <c r="F50" s="94" t="s">
        <v>131</v>
      </c>
    </row>
    <row r="51" spans="2:6" x14ac:dyDescent="0.3">
      <c r="B51" s="33">
        <v>7</v>
      </c>
      <c r="E51" s="212">
        <f>8+'Personal File'!$C$15</f>
        <v>10</v>
      </c>
      <c r="F51" s="94" t="s">
        <v>137</v>
      </c>
    </row>
    <row r="52" spans="2:6" x14ac:dyDescent="0.3">
      <c r="B52" s="33">
        <v>8</v>
      </c>
      <c r="E52" s="212">
        <f>8+'Personal File'!$C$15</f>
        <v>10</v>
      </c>
      <c r="F52" s="94" t="s">
        <v>181</v>
      </c>
    </row>
    <row r="53" spans="2:6" x14ac:dyDescent="0.3">
      <c r="B53" s="33">
        <v>9</v>
      </c>
      <c r="E53" s="210">
        <f>6+'Personal File'!$C$15</f>
        <v>8</v>
      </c>
      <c r="F53" s="94" t="s">
        <v>188</v>
      </c>
    </row>
    <row r="54" spans="2:6" x14ac:dyDescent="0.3">
      <c r="B54" s="33">
        <v>10</v>
      </c>
      <c r="E54" s="210">
        <f>6+'Personal File'!$C$15</f>
        <v>8</v>
      </c>
      <c r="F54" s="94" t="s">
        <v>189</v>
      </c>
    </row>
    <row r="55" spans="2:6" x14ac:dyDescent="0.3">
      <c r="B55" s="33">
        <v>11</v>
      </c>
      <c r="E55" s="210">
        <f>6+'Personal File'!$C$15</f>
        <v>8</v>
      </c>
      <c r="F55" s="94" t="s">
        <v>190</v>
      </c>
    </row>
    <row r="56" spans="2:6" x14ac:dyDescent="0.3">
      <c r="B56" s="33">
        <v>12</v>
      </c>
      <c r="E56" s="210">
        <f>6+'Personal File'!$C$15</f>
        <v>8</v>
      </c>
      <c r="F56" s="94" t="s">
        <v>191</v>
      </c>
    </row>
    <row r="57" spans="2:6" x14ac:dyDescent="0.3">
      <c r="B57" s="33">
        <v>13</v>
      </c>
      <c r="E57" s="210">
        <f>6+'Personal File'!$C$15</f>
        <v>8</v>
      </c>
      <c r="F57" s="94" t="s">
        <v>192</v>
      </c>
    </row>
    <row r="58" spans="2:6" x14ac:dyDescent="0.3">
      <c r="B58" s="33">
        <v>14</v>
      </c>
      <c r="E58" s="210">
        <f>6+'Personal File'!$C$15</f>
        <v>8</v>
      </c>
      <c r="F58" s="94" t="s">
        <v>219</v>
      </c>
    </row>
    <row r="59" spans="2:6" x14ac:dyDescent="0.3">
      <c r="B59" s="33">
        <v>15</v>
      </c>
      <c r="E59" s="210">
        <f>6+'Personal File'!$C$15</f>
        <v>8</v>
      </c>
      <c r="F59" s="94" t="s">
        <v>220</v>
      </c>
    </row>
    <row r="60" spans="2:6" x14ac:dyDescent="0.3">
      <c r="B60" s="33">
        <v>16</v>
      </c>
      <c r="E60" s="210">
        <f>6+'Personal File'!$C$15</f>
        <v>8</v>
      </c>
      <c r="F60" s="94" t="s">
        <v>221</v>
      </c>
    </row>
    <row r="61" spans="2:6" x14ac:dyDescent="0.3">
      <c r="B61" s="33">
        <v>17</v>
      </c>
      <c r="E61" s="210">
        <f>6+'Personal File'!$C$15</f>
        <v>8</v>
      </c>
      <c r="F61" s="94" t="s">
        <v>222</v>
      </c>
    </row>
    <row r="62" spans="2:6" x14ac:dyDescent="0.3">
      <c r="B62" s="33">
        <v>18</v>
      </c>
      <c r="E62" s="210">
        <f>8+'Personal File'!$C$15</f>
        <v>10</v>
      </c>
      <c r="F62" s="94" t="s">
        <v>225</v>
      </c>
    </row>
    <row r="63" spans="2:6" x14ac:dyDescent="0.3">
      <c r="B63" s="33">
        <v>19</v>
      </c>
      <c r="E63" s="210">
        <f>8+'Personal File'!$C$15</f>
        <v>10</v>
      </c>
      <c r="F63" s="94" t="s">
        <v>226</v>
      </c>
    </row>
    <row r="64" spans="2:6" x14ac:dyDescent="0.3">
      <c r="B64" s="33">
        <v>20</v>
      </c>
      <c r="E64" s="210">
        <f>8+'Personal File'!$C$15</f>
        <v>10</v>
      </c>
      <c r="F64" s="94" t="s">
        <v>227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showGridLines="0" workbookViewId="0"/>
  </sheetViews>
  <sheetFormatPr defaultColWidth="8.69921875" defaultRowHeight="16.8" x14ac:dyDescent="0.3"/>
  <cols>
    <col min="1" max="1" width="31.19921875" style="75" bestFit="1" customWidth="1"/>
    <col min="2" max="2" width="3" style="75" customWidth="1"/>
    <col min="3" max="3" width="28.5" style="75" bestFit="1" customWidth="1"/>
    <col min="4" max="4" width="3" style="75" customWidth="1"/>
    <col min="5" max="5" width="21" style="75" bestFit="1" customWidth="1"/>
    <col min="6" max="16384" width="8.69921875" style="75"/>
  </cols>
  <sheetData>
    <row r="1" spans="1:5" ht="22.2" thickTop="1" thickBot="1" x14ac:dyDescent="0.45">
      <c r="A1" s="254" t="s">
        <v>69</v>
      </c>
      <c r="C1" s="254" t="s">
        <v>199</v>
      </c>
      <c r="E1" s="401" t="s">
        <v>215</v>
      </c>
    </row>
    <row r="2" spans="1:5" x14ac:dyDescent="0.3">
      <c r="A2" s="96" t="s">
        <v>118</v>
      </c>
      <c r="C2" s="253" t="s">
        <v>73</v>
      </c>
      <c r="E2" s="390" t="s">
        <v>234</v>
      </c>
    </row>
    <row r="3" spans="1:5" x14ac:dyDescent="0.3">
      <c r="A3" s="96" t="s">
        <v>119</v>
      </c>
      <c r="C3" s="96" t="str">
        <f>CONCATENATE("Trap Sense +",2+2+4)</f>
        <v>Trap Sense +8</v>
      </c>
      <c r="E3" s="390" t="s">
        <v>216</v>
      </c>
    </row>
    <row r="4" spans="1:5" x14ac:dyDescent="0.3">
      <c r="A4" s="96" t="s">
        <v>243</v>
      </c>
      <c r="C4" s="76" t="s">
        <v>235</v>
      </c>
      <c r="E4" s="391" t="s">
        <v>218</v>
      </c>
    </row>
    <row r="5" spans="1:5" x14ac:dyDescent="0.3">
      <c r="A5" s="318" t="s">
        <v>228</v>
      </c>
      <c r="C5" s="76" t="s">
        <v>133</v>
      </c>
      <c r="E5" s="407" t="s">
        <v>74</v>
      </c>
    </row>
    <row r="6" spans="1:5" x14ac:dyDescent="0.3">
      <c r="A6" s="409" t="s">
        <v>238</v>
      </c>
      <c r="C6" s="76" t="s">
        <v>180</v>
      </c>
      <c r="E6" s="391" t="s">
        <v>245</v>
      </c>
    </row>
    <row r="7" spans="1:5" ht="17.399999999999999" thickBot="1" x14ac:dyDescent="0.35">
      <c r="A7" s="409" t="s">
        <v>241</v>
      </c>
      <c r="C7" s="408" t="s">
        <v>74</v>
      </c>
      <c r="E7" s="392" t="s">
        <v>217</v>
      </c>
    </row>
    <row r="8" spans="1:5" ht="18" thickTop="1" thickBot="1" x14ac:dyDescent="0.35">
      <c r="A8" s="408" t="s">
        <v>242</v>
      </c>
    </row>
    <row r="9" spans="1:5" ht="24" thickTop="1" thickBot="1" x14ac:dyDescent="0.45">
      <c r="C9" s="400" t="s">
        <v>200</v>
      </c>
      <c r="E9" s="399" t="s">
        <v>233</v>
      </c>
    </row>
    <row r="10" spans="1:5" ht="22.2" thickTop="1" thickBot="1" x14ac:dyDescent="0.35">
      <c r="A10" s="370" t="s">
        <v>66</v>
      </c>
      <c r="C10" s="378" t="s">
        <v>198</v>
      </c>
      <c r="E10" s="395" t="s">
        <v>236</v>
      </c>
    </row>
    <row r="11" spans="1:5" x14ac:dyDescent="0.3">
      <c r="A11" s="371" t="s">
        <v>80</v>
      </c>
      <c r="C11" s="76" t="s">
        <v>201</v>
      </c>
      <c r="E11" s="396" t="s">
        <v>74</v>
      </c>
    </row>
    <row r="12" spans="1:5" x14ac:dyDescent="0.3">
      <c r="A12" s="372" t="s">
        <v>102</v>
      </c>
      <c r="C12" s="76" t="s">
        <v>202</v>
      </c>
      <c r="E12" s="395" t="s">
        <v>229</v>
      </c>
    </row>
    <row r="13" spans="1:5" ht="17.399999999999999" thickBot="1" x14ac:dyDescent="0.35">
      <c r="A13" s="373" t="s">
        <v>85</v>
      </c>
      <c r="C13" s="76" t="s">
        <v>203</v>
      </c>
      <c r="E13" s="395" t="s">
        <v>133</v>
      </c>
    </row>
    <row r="14" spans="1:5" ht="18" thickTop="1" thickBot="1" x14ac:dyDescent="0.35">
      <c r="C14" s="376" t="s">
        <v>204</v>
      </c>
      <c r="E14" s="397" t="s">
        <v>230</v>
      </c>
    </row>
    <row r="15" spans="1:5" ht="22.2" thickTop="1" thickBot="1" x14ac:dyDescent="0.35">
      <c r="A15" s="374" t="s">
        <v>56</v>
      </c>
      <c r="C15" s="377" t="s">
        <v>205</v>
      </c>
      <c r="E15" s="396" t="s">
        <v>231</v>
      </c>
    </row>
    <row r="16" spans="1:5" ht="17.399999999999999" thickBot="1" x14ac:dyDescent="0.35">
      <c r="A16" s="375" t="s">
        <v>197</v>
      </c>
      <c r="C16" s="377" t="s">
        <v>239</v>
      </c>
      <c r="E16" s="398" t="s">
        <v>232</v>
      </c>
    </row>
    <row r="17" spans="3:5" ht="18" thickTop="1" thickBot="1" x14ac:dyDescent="0.35">
      <c r="C17" s="377" t="s">
        <v>206</v>
      </c>
      <c r="E17" s="402" t="s">
        <v>73</v>
      </c>
    </row>
    <row r="18" spans="3:5" ht="18" thickTop="1" thickBot="1" x14ac:dyDescent="0.35">
      <c r="C18" s="255" t="s">
        <v>207</v>
      </c>
    </row>
    <row r="19" spans="3:5"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workbookViewId="0"/>
  </sheetViews>
  <sheetFormatPr defaultColWidth="13" defaultRowHeight="15.6" x14ac:dyDescent="0.3"/>
  <cols>
    <col min="1" max="1" width="35.19921875" style="166" bestFit="1" customWidth="1"/>
    <col min="2" max="2" width="8.59765625" style="166" customWidth="1"/>
    <col min="3" max="3" width="4.3984375" style="166" bestFit="1" customWidth="1"/>
    <col min="4" max="4" width="6.19921875" style="166" bestFit="1" customWidth="1"/>
    <col min="5" max="5" width="8.5" style="166" bestFit="1" customWidth="1"/>
    <col min="6" max="6" width="8.8984375" style="166" bestFit="1" customWidth="1"/>
    <col min="7" max="7" width="4.3984375" style="166" bestFit="1" customWidth="1"/>
    <col min="8" max="8" width="5.59765625" style="166" bestFit="1" customWidth="1"/>
    <col min="9" max="9" width="5.5" style="166" bestFit="1" customWidth="1"/>
    <col min="10" max="10" width="6.19921875" style="166" bestFit="1" customWidth="1"/>
    <col min="11" max="11" width="30.69921875" style="166" bestFit="1" customWidth="1"/>
    <col min="12" max="12" width="3" style="159" customWidth="1"/>
    <col min="13" max="13" width="8.796875" style="159" bestFit="1" customWidth="1"/>
    <col min="14" max="16384" width="13" style="159"/>
  </cols>
  <sheetData>
    <row r="1" spans="1:14" ht="23.4" thickBot="1" x14ac:dyDescent="0.35">
      <c r="A1" s="158" t="s">
        <v>14</v>
      </c>
      <c r="B1" s="158"/>
      <c r="C1" s="158"/>
      <c r="D1" s="158"/>
      <c r="E1" s="158"/>
      <c r="F1" s="158"/>
      <c r="G1" s="158"/>
      <c r="H1" s="158"/>
      <c r="I1" s="158"/>
      <c r="J1" s="158"/>
      <c r="K1" s="158"/>
    </row>
    <row r="2" spans="1:14" ht="16.8" thickTop="1" thickBot="1" x14ac:dyDescent="0.35">
      <c r="A2" s="160" t="s">
        <v>0</v>
      </c>
      <c r="B2" s="161" t="s">
        <v>1</v>
      </c>
      <c r="C2" s="161" t="s">
        <v>16</v>
      </c>
      <c r="D2" s="161" t="s">
        <v>17</v>
      </c>
      <c r="E2" s="162" t="s">
        <v>50</v>
      </c>
      <c r="F2" s="161" t="s">
        <v>15</v>
      </c>
      <c r="G2" s="161" t="s">
        <v>18</v>
      </c>
      <c r="H2" s="163" t="s">
        <v>67</v>
      </c>
      <c r="I2" s="164" t="s">
        <v>78</v>
      </c>
      <c r="J2" s="163" t="s">
        <v>60</v>
      </c>
      <c r="K2" s="165" t="s">
        <v>59</v>
      </c>
      <c r="M2" s="214" t="s">
        <v>110</v>
      </c>
      <c r="N2" s="238"/>
    </row>
    <row r="3" spans="1:14" x14ac:dyDescent="0.3">
      <c r="A3" s="277" t="s">
        <v>147</v>
      </c>
      <c r="B3" s="278" t="s">
        <v>87</v>
      </c>
      <c r="C3" s="279">
        <v>1</v>
      </c>
      <c r="D3" s="280" t="s">
        <v>68</v>
      </c>
      <c r="E3" s="280" t="s">
        <v>148</v>
      </c>
      <c r="F3" s="281" t="s">
        <v>93</v>
      </c>
      <c r="G3" s="282">
        <v>1</v>
      </c>
      <c r="H3" s="283" t="str">
        <f>CONCATENATE("+",'Personal File'!$B$10+'Personal File'!$C$12+D3)</f>
        <v>+17</v>
      </c>
      <c r="I3" s="284">
        <f t="shared" ref="I3:I12" ca="1" si="0">RANDBETWEEN(1,20)</f>
        <v>11</v>
      </c>
      <c r="J3" s="285">
        <f t="shared" ref="J3:J8" ca="1" si="1">I3+H3</f>
        <v>28</v>
      </c>
      <c r="K3" s="286" t="str">
        <f>CONCATENATE(Feats!$C$4,", ",Feats!$E$3)</f>
        <v>Sneak Attack 4d6, Sudden Strike 2d6</v>
      </c>
      <c r="M3" s="215">
        <v>32310</v>
      </c>
      <c r="N3" s="238"/>
    </row>
    <row r="4" spans="1:14" x14ac:dyDescent="0.3">
      <c r="A4" s="287" t="s">
        <v>146</v>
      </c>
      <c r="B4" s="288" t="s">
        <v>87</v>
      </c>
      <c r="C4" s="289">
        <v>1</v>
      </c>
      <c r="D4" s="290" t="s">
        <v>68</v>
      </c>
      <c r="E4" s="290" t="s">
        <v>148</v>
      </c>
      <c r="F4" s="291" t="s">
        <v>93</v>
      </c>
      <c r="G4" s="311" t="s">
        <v>107</v>
      </c>
      <c r="H4" s="292" t="str">
        <f>CONCATENATE("+",H3-5)</f>
        <v>+12</v>
      </c>
      <c r="I4" s="293">
        <f t="shared" ca="1" si="0"/>
        <v>18</v>
      </c>
      <c r="J4" s="294">
        <f t="shared" ref="J4:J6" ca="1" si="2">I4+H4</f>
        <v>30</v>
      </c>
      <c r="K4" s="272" t="str">
        <f>CONCATENATE(Feats!$C$4,", ",Feats!$E$3)</f>
        <v>Sneak Attack 4d6, Sudden Strike 2d6</v>
      </c>
      <c r="M4" s="312" t="s">
        <v>107</v>
      </c>
      <c r="N4" s="238"/>
    </row>
    <row r="5" spans="1:14" x14ac:dyDescent="0.3">
      <c r="A5" s="287" t="s">
        <v>252</v>
      </c>
      <c r="B5" s="288" t="s">
        <v>87</v>
      </c>
      <c r="C5" s="289">
        <v>1</v>
      </c>
      <c r="D5" s="290" t="s">
        <v>68</v>
      </c>
      <c r="E5" s="290" t="s">
        <v>148</v>
      </c>
      <c r="F5" s="291" t="s">
        <v>93</v>
      </c>
      <c r="G5" s="311" t="s">
        <v>107</v>
      </c>
      <c r="H5" s="292" t="str">
        <f>CONCATENATE("+",H4-5)</f>
        <v>+7</v>
      </c>
      <c r="I5" s="293">
        <f t="shared" ca="1" si="0"/>
        <v>11</v>
      </c>
      <c r="J5" s="294">
        <f t="shared" ref="J5" ca="1" si="3">I5+H5</f>
        <v>18</v>
      </c>
      <c r="K5" s="272" t="str">
        <f>CONCATENATE(Feats!$C$4,", ",Feats!$E$3)</f>
        <v>Sneak Attack 4d6, Sudden Strike 2d6</v>
      </c>
      <c r="M5" s="312" t="s">
        <v>107</v>
      </c>
      <c r="N5" s="238"/>
    </row>
    <row r="6" spans="1:14" x14ac:dyDescent="0.3">
      <c r="A6" s="287" t="s">
        <v>145</v>
      </c>
      <c r="B6" s="288" t="s">
        <v>87</v>
      </c>
      <c r="C6" s="289">
        <v>1</v>
      </c>
      <c r="D6" s="290" t="s">
        <v>68</v>
      </c>
      <c r="E6" s="290" t="s">
        <v>148</v>
      </c>
      <c r="F6" s="291" t="s">
        <v>93</v>
      </c>
      <c r="G6" s="311" t="s">
        <v>107</v>
      </c>
      <c r="H6" s="292" t="str">
        <f>CONCATENATE("+",'Personal File'!$B$10+'Personal File'!$C$12+D6)</f>
        <v>+17</v>
      </c>
      <c r="I6" s="270">
        <f t="shared" ca="1" si="0"/>
        <v>8</v>
      </c>
      <c r="J6" s="271">
        <f t="shared" ca="1" si="2"/>
        <v>25</v>
      </c>
      <c r="K6" s="272" t="str">
        <f>CONCATENATE(Feats!$C$4,", ",Feats!$E$3)</f>
        <v>Sneak Attack 4d6, Sudden Strike 2d6</v>
      </c>
      <c r="M6" s="312" t="s">
        <v>107</v>
      </c>
      <c r="N6" s="238"/>
    </row>
    <row r="7" spans="1:14" x14ac:dyDescent="0.3">
      <c r="A7" s="264" t="s">
        <v>130</v>
      </c>
      <c r="B7" s="302" t="s">
        <v>107</v>
      </c>
      <c r="C7" s="332" t="s">
        <v>98</v>
      </c>
      <c r="D7" s="303" t="s">
        <v>107</v>
      </c>
      <c r="E7" s="303" t="s">
        <v>107</v>
      </c>
      <c r="F7" s="304" t="s">
        <v>107</v>
      </c>
      <c r="G7" s="276" t="s">
        <v>107</v>
      </c>
      <c r="H7" s="276" t="s">
        <v>107</v>
      </c>
      <c r="I7" s="333" t="s">
        <v>107</v>
      </c>
      <c r="J7" s="276" t="s">
        <v>107</v>
      </c>
      <c r="K7" s="305"/>
      <c r="M7" s="275">
        <v>3000</v>
      </c>
      <c r="N7" s="238"/>
    </row>
    <row r="8" spans="1:14" x14ac:dyDescent="0.3">
      <c r="A8" s="287" t="s">
        <v>240</v>
      </c>
      <c r="B8" s="288" t="s">
        <v>256</v>
      </c>
      <c r="C8" s="289">
        <v>1</v>
      </c>
      <c r="D8" s="290" t="s">
        <v>68</v>
      </c>
      <c r="E8" s="290" t="s">
        <v>88</v>
      </c>
      <c r="F8" s="291" t="s">
        <v>89</v>
      </c>
      <c r="G8" s="273">
        <v>0.5</v>
      </c>
      <c r="H8" s="292" t="str">
        <f>CONCATENATE("+",'Personal File'!$B$10+'Personal File'!$C$12+D8)</f>
        <v>+17</v>
      </c>
      <c r="I8" s="293">
        <f t="shared" ca="1" si="0"/>
        <v>18</v>
      </c>
      <c r="J8" s="294">
        <f t="shared" ca="1" si="1"/>
        <v>35</v>
      </c>
      <c r="K8" s="272" t="str">
        <f>CONCATENATE(Feats!$C$4,", ",Feats!$E$3)</f>
        <v>Sneak Attack 4d6, Sudden Strike 2d6</v>
      </c>
      <c r="M8" s="274">
        <v>2000</v>
      </c>
      <c r="N8" s="238"/>
    </row>
    <row r="9" spans="1:14" x14ac:dyDescent="0.3">
      <c r="A9" s="287" t="s">
        <v>128</v>
      </c>
      <c r="B9" s="288" t="s">
        <v>256</v>
      </c>
      <c r="C9" s="289">
        <v>1</v>
      </c>
      <c r="D9" s="290" t="s">
        <v>68</v>
      </c>
      <c r="E9" s="290" t="s">
        <v>88</v>
      </c>
      <c r="F9" s="291" t="s">
        <v>89</v>
      </c>
      <c r="G9" s="315" t="s">
        <v>107</v>
      </c>
      <c r="H9" s="292" t="str">
        <f>CONCATENATE("+",H8-5)</f>
        <v>+12</v>
      </c>
      <c r="I9" s="293">
        <f t="shared" ca="1" si="0"/>
        <v>12</v>
      </c>
      <c r="J9" s="294">
        <f t="shared" ref="J9:J12" ca="1" si="4">I9+H9</f>
        <v>24</v>
      </c>
      <c r="K9" s="272" t="str">
        <f>CONCATENATE(Feats!$C$4,", ",Feats!$E$3)</f>
        <v>Sneak Attack 4d6, Sudden Strike 2d6</v>
      </c>
      <c r="M9" s="312" t="s">
        <v>107</v>
      </c>
      <c r="N9" s="238"/>
    </row>
    <row r="10" spans="1:14" x14ac:dyDescent="0.3">
      <c r="A10" s="287" t="s">
        <v>253</v>
      </c>
      <c r="B10" s="288" t="s">
        <v>256</v>
      </c>
      <c r="C10" s="289">
        <v>1</v>
      </c>
      <c r="D10" s="290" t="s">
        <v>68</v>
      </c>
      <c r="E10" s="290" t="s">
        <v>88</v>
      </c>
      <c r="F10" s="291" t="s">
        <v>89</v>
      </c>
      <c r="G10" s="315" t="s">
        <v>107</v>
      </c>
      <c r="H10" s="292" t="str">
        <f>CONCATENATE("+",H9-5)</f>
        <v>+7</v>
      </c>
      <c r="I10" s="293">
        <f t="shared" ca="1" si="0"/>
        <v>4</v>
      </c>
      <c r="J10" s="294">
        <f t="shared" ref="J10" ca="1" si="5">I10+H10</f>
        <v>11</v>
      </c>
      <c r="K10" s="272" t="str">
        <f>CONCATENATE(Feats!$C$4,", ",Feats!$E$3)</f>
        <v>Sneak Attack 4d6, Sudden Strike 2d6</v>
      </c>
      <c r="M10" s="312" t="s">
        <v>107</v>
      </c>
      <c r="N10" s="238"/>
    </row>
    <row r="11" spans="1:14" x14ac:dyDescent="0.3">
      <c r="A11" s="264" t="s">
        <v>135</v>
      </c>
      <c r="B11" s="265" t="s">
        <v>256</v>
      </c>
      <c r="C11" s="266">
        <v>1</v>
      </c>
      <c r="D11" s="267" t="s">
        <v>68</v>
      </c>
      <c r="E11" s="267" t="s">
        <v>88</v>
      </c>
      <c r="F11" s="268" t="s">
        <v>89</v>
      </c>
      <c r="G11" s="276" t="s">
        <v>107</v>
      </c>
      <c r="H11" s="269" t="str">
        <f>CONCATENATE("+",'Personal File'!$B$10+'Personal File'!$C$12+D11)</f>
        <v>+17</v>
      </c>
      <c r="I11" s="270">
        <f t="shared" ref="I11:I14" ca="1" si="6">RANDBETWEEN(1,20)</f>
        <v>1</v>
      </c>
      <c r="J11" s="271">
        <f t="shared" ca="1" si="4"/>
        <v>18</v>
      </c>
      <c r="K11" s="410" t="str">
        <f>CONCATENATE(Feats!$C$4,", ",Feats!$E$3)</f>
        <v>Sneak Attack 4d6, Sudden Strike 2d6</v>
      </c>
      <c r="M11" s="313" t="s">
        <v>107</v>
      </c>
      <c r="N11" s="238"/>
    </row>
    <row r="12" spans="1:14" x14ac:dyDescent="0.3">
      <c r="A12" s="287" t="s">
        <v>90</v>
      </c>
      <c r="B12" s="288" t="s">
        <v>257</v>
      </c>
      <c r="C12" s="289">
        <v>0</v>
      </c>
      <c r="D12" s="290">
        <v>0</v>
      </c>
      <c r="E12" s="290" t="s">
        <v>94</v>
      </c>
      <c r="F12" s="291" t="s">
        <v>95</v>
      </c>
      <c r="G12" s="273">
        <v>1</v>
      </c>
      <c r="H12" s="292" t="str">
        <f>CONCATENATE("+",'Personal File'!$B$10+'Personal File'!$C$12+D12)</f>
        <v>+16</v>
      </c>
      <c r="I12" s="293">
        <f t="shared" ca="1" si="0"/>
        <v>9</v>
      </c>
      <c r="J12" s="294">
        <f t="shared" ca="1" si="4"/>
        <v>25</v>
      </c>
      <c r="K12" s="272" t="str">
        <f>CONCATENATE(Feats!$C$4,", ",Feats!$E$3)</f>
        <v>Sneak Attack 4d6, Sudden Strike 2d6</v>
      </c>
      <c r="M12" s="274">
        <v>0</v>
      </c>
      <c r="N12" s="238"/>
    </row>
    <row r="13" spans="1:14" x14ac:dyDescent="0.3">
      <c r="A13" s="287" t="s">
        <v>129</v>
      </c>
      <c r="B13" s="288" t="s">
        <v>257</v>
      </c>
      <c r="C13" s="289">
        <v>0</v>
      </c>
      <c r="D13" s="290">
        <v>0</v>
      </c>
      <c r="E13" s="290" t="s">
        <v>94</v>
      </c>
      <c r="F13" s="291" t="s">
        <v>95</v>
      </c>
      <c r="G13" s="315" t="s">
        <v>107</v>
      </c>
      <c r="H13" s="292" t="str">
        <f>CONCATENATE("+",H12-5)</f>
        <v>+11</v>
      </c>
      <c r="I13" s="293">
        <f t="shared" ca="1" si="6"/>
        <v>8</v>
      </c>
      <c r="J13" s="294">
        <f t="shared" ref="J13:J14" ca="1" si="7">I13+H13</f>
        <v>19</v>
      </c>
      <c r="K13" s="272" t="str">
        <f>CONCATENATE(Feats!$C$4,", ",Feats!$E$3)</f>
        <v>Sneak Attack 4d6, Sudden Strike 2d6</v>
      </c>
      <c r="M13" s="312" t="s">
        <v>107</v>
      </c>
      <c r="N13" s="238"/>
    </row>
    <row r="14" spans="1:14" ht="16.2" thickBot="1" x14ac:dyDescent="0.35">
      <c r="A14" s="309" t="s">
        <v>136</v>
      </c>
      <c r="B14" s="295" t="s">
        <v>257</v>
      </c>
      <c r="C14" s="296">
        <v>0</v>
      </c>
      <c r="D14" s="297">
        <v>0</v>
      </c>
      <c r="E14" s="297" t="s">
        <v>94</v>
      </c>
      <c r="F14" s="298" t="s">
        <v>95</v>
      </c>
      <c r="G14" s="301" t="s">
        <v>107</v>
      </c>
      <c r="H14" s="299" t="str">
        <f>CONCATENATE("+",'Personal File'!$B$10+'Personal File'!$C$12+D14)</f>
        <v>+16</v>
      </c>
      <c r="I14" s="173">
        <f t="shared" ca="1" si="6"/>
        <v>3</v>
      </c>
      <c r="J14" s="300">
        <f t="shared" ca="1" si="7"/>
        <v>19</v>
      </c>
      <c r="K14" s="411" t="str">
        <f>CONCATENATE(Feats!$C$4,", ",Feats!$E$3)</f>
        <v>Sneak Attack 4d6, Sudden Strike 2d6</v>
      </c>
      <c r="M14" s="314" t="s">
        <v>107</v>
      </c>
      <c r="N14" s="238"/>
    </row>
    <row r="15" spans="1:14" ht="6" customHeight="1" thickTop="1" thickBot="1" x14ac:dyDescent="0.35">
      <c r="N15" s="238"/>
    </row>
    <row r="16" spans="1:14" ht="16.8" thickTop="1" thickBot="1" x14ac:dyDescent="0.35">
      <c r="A16" s="160" t="s">
        <v>3</v>
      </c>
      <c r="B16" s="161" t="s">
        <v>4</v>
      </c>
      <c r="C16" s="161" t="s">
        <v>16</v>
      </c>
      <c r="D16" s="161" t="s">
        <v>17</v>
      </c>
      <c r="E16" s="162" t="s">
        <v>50</v>
      </c>
      <c r="F16" s="161" t="s">
        <v>5</v>
      </c>
      <c r="G16" s="161" t="s">
        <v>18</v>
      </c>
      <c r="H16" s="163" t="s">
        <v>67</v>
      </c>
      <c r="I16" s="164" t="s">
        <v>78</v>
      </c>
      <c r="J16" s="163" t="s">
        <v>60</v>
      </c>
      <c r="K16" s="165" t="s">
        <v>59</v>
      </c>
      <c r="M16" s="214" t="s">
        <v>110</v>
      </c>
      <c r="N16" s="238"/>
    </row>
    <row r="17" spans="1:14" x14ac:dyDescent="0.3">
      <c r="A17" s="316" t="s">
        <v>150</v>
      </c>
      <c r="B17" s="251">
        <v>1</v>
      </c>
      <c r="C17" s="317" t="s">
        <v>75</v>
      </c>
      <c r="D17" s="317" t="s">
        <v>75</v>
      </c>
      <c r="E17" s="251" t="s">
        <v>94</v>
      </c>
      <c r="F17" s="317" t="s">
        <v>153</v>
      </c>
      <c r="G17" s="347">
        <v>1</v>
      </c>
      <c r="H17" s="348" t="str">
        <f>CONCATENATE("+",'Personal File'!$B$10+'Personal File'!$C$13+D17)</f>
        <v>+21</v>
      </c>
      <c r="I17" s="293">
        <f ca="1">RANDBETWEEN(1,20)</f>
        <v>12</v>
      </c>
      <c r="J17" s="349">
        <f ca="1">I17+H17</f>
        <v>33</v>
      </c>
      <c r="K17" s="272" t="str">
        <f>CONCATENATE(Feats!$C$4,", ",Feats!$E$3)</f>
        <v>Sneak Attack 4d6, Sudden Strike 2d6</v>
      </c>
      <c r="M17" s="252">
        <v>18000</v>
      </c>
      <c r="N17" s="238"/>
    </row>
    <row r="18" spans="1:14" x14ac:dyDescent="0.3">
      <c r="A18" s="316" t="s">
        <v>151</v>
      </c>
      <c r="B18" s="251">
        <v>1</v>
      </c>
      <c r="C18" s="317" t="s">
        <v>75</v>
      </c>
      <c r="D18" s="317" t="s">
        <v>75</v>
      </c>
      <c r="E18" s="251" t="s">
        <v>94</v>
      </c>
      <c r="F18" s="317" t="s">
        <v>153</v>
      </c>
      <c r="G18" s="311" t="s">
        <v>107</v>
      </c>
      <c r="H18" s="292" t="str">
        <f>CONCATENATE("+",H17-5)</f>
        <v>+16</v>
      </c>
      <c r="I18" s="293">
        <f t="shared" ref="I18:I20" ca="1" si="8">RANDBETWEEN(1,20)</f>
        <v>11</v>
      </c>
      <c r="J18" s="294">
        <f t="shared" ref="J18:J20" ca="1" si="9">I18+H18</f>
        <v>27</v>
      </c>
      <c r="K18" s="272" t="str">
        <f>CONCATENATE(Feats!$C$4,", ",Feats!$E$3)</f>
        <v>Sneak Attack 4d6, Sudden Strike 2d6</v>
      </c>
      <c r="M18" s="312" t="s">
        <v>107</v>
      </c>
      <c r="N18" s="238"/>
    </row>
    <row r="19" spans="1:14" x14ac:dyDescent="0.3">
      <c r="A19" s="316" t="s">
        <v>254</v>
      </c>
      <c r="B19" s="251">
        <v>1</v>
      </c>
      <c r="C19" s="317" t="s">
        <v>75</v>
      </c>
      <c r="D19" s="317" t="s">
        <v>75</v>
      </c>
      <c r="E19" s="251" t="s">
        <v>94</v>
      </c>
      <c r="F19" s="317" t="s">
        <v>153</v>
      </c>
      <c r="G19" s="311" t="s">
        <v>107</v>
      </c>
      <c r="H19" s="292" t="str">
        <f>CONCATENATE("+",H18-5)</f>
        <v>+11</v>
      </c>
      <c r="I19" s="293">
        <f t="shared" ca="1" si="8"/>
        <v>7</v>
      </c>
      <c r="J19" s="294">
        <f t="shared" ref="J19" ca="1" si="10">I19+H19</f>
        <v>18</v>
      </c>
      <c r="K19" s="272" t="str">
        <f>CONCATENATE(Feats!$C$4,", ",Feats!$E$3)</f>
        <v>Sneak Attack 4d6, Sudden Strike 2d6</v>
      </c>
      <c r="M19" s="312" t="s">
        <v>107</v>
      </c>
      <c r="N19" s="238"/>
    </row>
    <row r="20" spans="1:14" x14ac:dyDescent="0.3">
      <c r="A20" s="338" t="s">
        <v>152</v>
      </c>
      <c r="B20" s="339">
        <v>1</v>
      </c>
      <c r="C20" s="340" t="s">
        <v>75</v>
      </c>
      <c r="D20" s="340" t="s">
        <v>75</v>
      </c>
      <c r="E20" s="339" t="s">
        <v>94</v>
      </c>
      <c r="F20" s="340" t="s">
        <v>153</v>
      </c>
      <c r="G20" s="337" t="s">
        <v>107</v>
      </c>
      <c r="H20" s="344" t="str">
        <f>CONCATENATE("+",'Personal File'!$B$10+'Personal File'!$C$13+D20)</f>
        <v>+21</v>
      </c>
      <c r="I20" s="341">
        <f t="shared" ca="1" si="8"/>
        <v>19</v>
      </c>
      <c r="J20" s="342">
        <f t="shared" ca="1" si="9"/>
        <v>40</v>
      </c>
      <c r="K20" s="345" t="str">
        <f>CONCATENATE(Feats!$C$4,", ",Feats!$E$3)</f>
        <v>Sneak Attack 4d6, Sudden Strike 2d6</v>
      </c>
      <c r="M20" s="346" t="s">
        <v>107</v>
      </c>
      <c r="N20" s="238"/>
    </row>
    <row r="21" spans="1:14" ht="16.2" thickBot="1" x14ac:dyDescent="0.35">
      <c r="A21" s="168" t="s">
        <v>103</v>
      </c>
      <c r="B21" s="169" t="s">
        <v>107</v>
      </c>
      <c r="C21" s="170" t="s">
        <v>48</v>
      </c>
      <c r="D21" s="170" t="s">
        <v>72</v>
      </c>
      <c r="E21" s="169" t="s">
        <v>107</v>
      </c>
      <c r="F21" s="170" t="s">
        <v>107</v>
      </c>
      <c r="G21" s="171" t="s">
        <v>107</v>
      </c>
      <c r="H21" s="172" t="str">
        <f>CONCATENATE("+",'Personal File'!$B$10+'Personal File'!$C$13+D21)</f>
        <v>+23</v>
      </c>
      <c r="I21" s="173">
        <f ca="1">RANDBETWEEN(1,20)</f>
        <v>20</v>
      </c>
      <c r="J21" s="174">
        <f ca="1">I21+H21</f>
        <v>43</v>
      </c>
      <c r="K21" s="175"/>
      <c r="M21" s="343" t="s">
        <v>107</v>
      </c>
      <c r="N21" s="238"/>
    </row>
    <row r="22" spans="1:14" ht="6" customHeight="1" thickTop="1" thickBot="1" x14ac:dyDescent="0.35">
      <c r="D22" s="176"/>
      <c r="E22" s="176"/>
      <c r="G22" s="177"/>
      <c r="H22" s="177"/>
      <c r="I22" s="177"/>
      <c r="J22" s="177"/>
      <c r="N22" s="238"/>
    </row>
    <row r="23" spans="1:14" ht="16.8" thickTop="1" thickBot="1" x14ac:dyDescent="0.35">
      <c r="A23" s="160" t="s">
        <v>54</v>
      </c>
      <c r="B23" s="161" t="s">
        <v>8</v>
      </c>
      <c r="C23" s="161" t="s">
        <v>21</v>
      </c>
      <c r="D23" s="161" t="s">
        <v>60</v>
      </c>
      <c r="E23" s="161" t="s">
        <v>61</v>
      </c>
      <c r="F23" s="161" t="s">
        <v>62</v>
      </c>
      <c r="G23" s="161" t="s">
        <v>18</v>
      </c>
      <c r="H23" s="178" t="s">
        <v>59</v>
      </c>
      <c r="I23" s="179"/>
      <c r="J23" s="179"/>
      <c r="K23" s="180"/>
      <c r="M23" s="214" t="s">
        <v>110</v>
      </c>
      <c r="N23" s="238"/>
    </row>
    <row r="24" spans="1:14" x14ac:dyDescent="0.3">
      <c r="A24" s="213" t="s">
        <v>134</v>
      </c>
      <c r="B24" s="167">
        <v>5</v>
      </c>
      <c r="C24" s="181">
        <v>6</v>
      </c>
      <c r="D24" s="167">
        <v>0</v>
      </c>
      <c r="E24" s="182">
        <v>0</v>
      </c>
      <c r="F24" s="183" t="s">
        <v>106</v>
      </c>
      <c r="G24" s="184">
        <v>10</v>
      </c>
      <c r="H24" s="185"/>
      <c r="I24" s="186"/>
      <c r="J24" s="186"/>
      <c r="K24" s="187"/>
      <c r="M24" s="257">
        <f>3400+500</f>
        <v>3900</v>
      </c>
      <c r="N24" s="238"/>
    </row>
    <row r="25" spans="1:14" ht="16.2" thickBot="1" x14ac:dyDescent="0.35">
      <c r="A25" s="129" t="s">
        <v>117</v>
      </c>
      <c r="B25" s="130" t="s">
        <v>107</v>
      </c>
      <c r="C25" s="218" t="s">
        <v>107</v>
      </c>
      <c r="D25" s="130" t="s">
        <v>107</v>
      </c>
      <c r="E25" s="219" t="s">
        <v>107</v>
      </c>
      <c r="F25" s="220" t="s">
        <v>107</v>
      </c>
      <c r="G25" s="221">
        <v>2</v>
      </c>
      <c r="H25" s="248"/>
      <c r="I25" s="188"/>
      <c r="J25" s="188"/>
      <c r="K25" s="189"/>
      <c r="M25" s="217">
        <v>5000</v>
      </c>
      <c r="N25" s="238"/>
    </row>
    <row r="26" spans="1:14" ht="6.75" customHeight="1" thickTop="1" thickBot="1" x14ac:dyDescent="0.35"/>
    <row r="27" spans="1:14" ht="16.8" thickTop="1" thickBot="1" x14ac:dyDescent="0.35">
      <c r="A27" s="190"/>
      <c r="B27" s="177"/>
      <c r="D27" s="191" t="s">
        <v>55</v>
      </c>
      <c r="E27" s="192"/>
      <c r="F27" s="178" t="s">
        <v>2</v>
      </c>
      <c r="G27" s="161" t="s">
        <v>18</v>
      </c>
      <c r="H27" s="163" t="s">
        <v>67</v>
      </c>
      <c r="I27" s="178" t="s">
        <v>59</v>
      </c>
      <c r="J27" s="179"/>
      <c r="K27" s="180"/>
      <c r="M27" s="214" t="s">
        <v>110</v>
      </c>
    </row>
    <row r="28" spans="1:14" x14ac:dyDescent="0.3">
      <c r="A28" s="190"/>
      <c r="B28" s="177"/>
      <c r="D28" s="193" t="s">
        <v>97</v>
      </c>
      <c r="E28" s="194"/>
      <c r="F28" s="195">
        <v>7</v>
      </c>
      <c r="G28" s="184">
        <f t="shared" ref="G28" si="11">F28*0.25</f>
        <v>1.75</v>
      </c>
      <c r="H28" s="196" t="s">
        <v>96</v>
      </c>
      <c r="I28" s="197"/>
      <c r="J28" s="198"/>
      <c r="K28" s="199"/>
      <c r="M28" s="216">
        <v>0</v>
      </c>
    </row>
    <row r="29" spans="1:14" ht="16.2" thickBot="1" x14ac:dyDescent="0.35">
      <c r="A29" s="190"/>
      <c r="B29" s="177"/>
      <c r="D29" s="200"/>
      <c r="E29" s="201"/>
      <c r="F29" s="202"/>
      <c r="G29" s="203"/>
      <c r="H29" s="204"/>
      <c r="I29" s="205"/>
      <c r="J29" s="206"/>
      <c r="K29" s="207"/>
      <c r="M29" s="217"/>
    </row>
    <row r="30" spans="1:14" ht="6" customHeight="1" thickTop="1" thickBot="1" x14ac:dyDescent="0.35"/>
    <row r="31" spans="1:14" ht="16.8" thickTop="1" thickBot="1" x14ac:dyDescent="0.35">
      <c r="D31" s="191" t="s">
        <v>112</v>
      </c>
      <c r="E31" s="179"/>
      <c r="F31" s="179"/>
      <c r="G31" s="179"/>
      <c r="H31" s="237" t="s">
        <v>2</v>
      </c>
      <c r="I31" s="237" t="s">
        <v>113</v>
      </c>
      <c r="J31" s="237" t="s">
        <v>114</v>
      </c>
      <c r="K31" s="180" t="s">
        <v>142</v>
      </c>
      <c r="L31" s="238"/>
      <c r="M31" s="214" t="s">
        <v>110</v>
      </c>
    </row>
    <row r="32" spans="1:14" x14ac:dyDescent="0.3">
      <c r="D32" s="239" t="s">
        <v>140</v>
      </c>
      <c r="E32" s="240"/>
      <c r="F32" s="240"/>
      <c r="G32" s="240"/>
      <c r="H32" s="127">
        <v>1</v>
      </c>
      <c r="I32" s="127">
        <v>4</v>
      </c>
      <c r="J32" s="127">
        <v>6</v>
      </c>
      <c r="K32" s="241" t="s">
        <v>248</v>
      </c>
      <c r="L32" s="238"/>
      <c r="M32" s="216">
        <f>25*H32*I32*J32*LEFT(K32,2)</f>
        <v>22200</v>
      </c>
    </row>
    <row r="33" spans="4:13" x14ac:dyDescent="0.3">
      <c r="D33" s="350" t="s">
        <v>251</v>
      </c>
      <c r="E33" s="351"/>
      <c r="F33" s="351"/>
      <c r="G33" s="351"/>
      <c r="H33" s="265">
        <v>3</v>
      </c>
      <c r="I33" s="265">
        <v>3</v>
      </c>
      <c r="J33" s="265">
        <v>5</v>
      </c>
      <c r="K33" s="352"/>
      <c r="L33" s="238"/>
      <c r="M33" s="216">
        <f>25*H33*I33*J33</f>
        <v>1125</v>
      </c>
    </row>
    <row r="34" spans="4:13" x14ac:dyDescent="0.3">
      <c r="D34" s="242" t="s">
        <v>141</v>
      </c>
      <c r="E34" s="243"/>
      <c r="F34" s="243"/>
      <c r="G34" s="243"/>
      <c r="H34" s="128">
        <v>1</v>
      </c>
      <c r="I34" s="128">
        <v>4</v>
      </c>
      <c r="J34" s="128">
        <v>8</v>
      </c>
      <c r="K34" s="244"/>
      <c r="L34" s="238"/>
      <c r="M34" s="216">
        <f>25*H34*I34*J34</f>
        <v>800</v>
      </c>
    </row>
    <row r="35" spans="4:13" x14ac:dyDescent="0.3">
      <c r="D35" s="327" t="s">
        <v>138</v>
      </c>
      <c r="E35" s="328"/>
      <c r="F35" s="328"/>
      <c r="G35" s="328"/>
      <c r="H35" s="329">
        <v>1</v>
      </c>
      <c r="I35" s="329">
        <v>0</v>
      </c>
      <c r="J35" s="329">
        <v>1</v>
      </c>
      <c r="K35" s="330" t="s">
        <v>144</v>
      </c>
      <c r="L35" s="238"/>
      <c r="M35" s="274">
        <v>460</v>
      </c>
    </row>
    <row r="36" spans="4:13" ht="16.2" thickBot="1" x14ac:dyDescent="0.35">
      <c r="D36" s="245" t="s">
        <v>139</v>
      </c>
      <c r="E36" s="246"/>
      <c r="F36" s="246"/>
      <c r="G36" s="246"/>
      <c r="H36" s="247">
        <v>1</v>
      </c>
      <c r="I36" s="247">
        <v>1</v>
      </c>
      <c r="J36" s="247">
        <v>1</v>
      </c>
      <c r="K36" s="331" t="s">
        <v>144</v>
      </c>
      <c r="L36" s="238"/>
      <c r="M36" s="217">
        <v>820</v>
      </c>
    </row>
    <row r="37" spans="4:13" ht="16.2" thickTop="1" x14ac:dyDescent="0.3"/>
  </sheetData>
  <phoneticPr fontId="0" type="noConversion"/>
  <conditionalFormatting sqref="I21 I2:I4 I15:I16 I6:I9 I11:I13">
    <cfRule type="cellIs" dxfId="10" priority="10" operator="equal">
      <formula>20</formula>
    </cfRule>
  </conditionalFormatting>
  <conditionalFormatting sqref="I8:I9 I3:I4 I6 I11">
    <cfRule type="cellIs" dxfId="9" priority="9" operator="equal">
      <formula>19</formula>
    </cfRule>
  </conditionalFormatting>
  <conditionalFormatting sqref="I17:I18 I20">
    <cfRule type="cellIs" dxfId="8" priority="8" operator="equal">
      <formula>20</formula>
    </cfRule>
  </conditionalFormatting>
  <conditionalFormatting sqref="I14">
    <cfRule type="cellIs" dxfId="7" priority="7" operator="equal">
      <formula>20</formula>
    </cfRule>
  </conditionalFormatting>
  <conditionalFormatting sqref="I14">
    <cfRule type="cellIs" dxfId="6" priority="6" operator="equal">
      <formula>19</formula>
    </cfRule>
  </conditionalFormatting>
  <conditionalFormatting sqref="I5">
    <cfRule type="cellIs" dxfId="5" priority="5" operator="equal">
      <formula>20</formula>
    </cfRule>
  </conditionalFormatting>
  <conditionalFormatting sqref="I5">
    <cfRule type="cellIs" dxfId="4" priority="4" operator="equal">
      <formula>19</formula>
    </cfRule>
  </conditionalFormatting>
  <conditionalFormatting sqref="I10">
    <cfRule type="cellIs" dxfId="3" priority="3" operator="equal">
      <formula>20</formula>
    </cfRule>
  </conditionalFormatting>
  <conditionalFormatting sqref="I10">
    <cfRule type="cellIs" dxfId="2" priority="2" operator="equal">
      <formula>19</formula>
    </cfRule>
  </conditionalFormatting>
  <conditionalFormatting sqref="I19">
    <cfRule type="cellIs" dxfId="1"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showGridLines="0" workbookViewId="0">
      <selection activeCell="A9" sqref="A9"/>
    </sheetView>
  </sheetViews>
  <sheetFormatPr defaultColWidth="13" defaultRowHeight="15.6" x14ac:dyDescent="0.3"/>
  <cols>
    <col min="1" max="1" width="25.3984375" style="12" bestFit="1" customWidth="1"/>
    <col min="2" max="2" width="4.5" style="12" bestFit="1" customWidth="1"/>
    <col min="3" max="3" width="5.59765625" style="13" bestFit="1" customWidth="1"/>
    <col min="4" max="5" width="26.59765625" style="1" customWidth="1"/>
    <col min="6" max="6" width="2.19921875" style="12" customWidth="1"/>
    <col min="7" max="7" width="8.296875" style="1" bestFit="1" customWidth="1"/>
    <col min="8" max="16384" width="13" style="1"/>
  </cols>
  <sheetData>
    <row r="1" spans="1:8" ht="23.4" thickBot="1" x14ac:dyDescent="0.45">
      <c r="A1" s="11" t="s">
        <v>57</v>
      </c>
      <c r="B1" s="11"/>
      <c r="C1" s="38"/>
      <c r="D1" s="11"/>
      <c r="E1" s="11"/>
    </row>
    <row r="2" spans="1:8" s="12" customFormat="1" ht="16.8" thickTop="1" thickBot="1" x14ac:dyDescent="0.35">
      <c r="A2" s="39" t="s">
        <v>58</v>
      </c>
      <c r="B2" s="155" t="s">
        <v>2</v>
      </c>
      <c r="C2" s="40" t="s">
        <v>18</v>
      </c>
      <c r="D2" s="41" t="s">
        <v>237</v>
      </c>
      <c r="E2" s="42"/>
      <c r="G2" s="234" t="s">
        <v>110</v>
      </c>
    </row>
    <row r="3" spans="1:8" x14ac:dyDescent="0.3">
      <c r="A3" s="95" t="s">
        <v>124</v>
      </c>
      <c r="B3" s="151">
        <v>1</v>
      </c>
      <c r="C3" s="55">
        <v>1</v>
      </c>
      <c r="D3" s="124"/>
      <c r="E3" s="403"/>
      <c r="G3" s="235">
        <v>2500</v>
      </c>
    </row>
    <row r="4" spans="1:8" x14ac:dyDescent="0.3">
      <c r="A4" s="95" t="s">
        <v>143</v>
      </c>
      <c r="B4" s="151">
        <v>1</v>
      </c>
      <c r="C4" s="55">
        <v>0</v>
      </c>
      <c r="D4" s="124"/>
      <c r="E4" s="403"/>
      <c r="G4" s="235">
        <v>3400</v>
      </c>
    </row>
    <row r="5" spans="1:8" x14ac:dyDescent="0.3">
      <c r="A5" s="95" t="s">
        <v>115</v>
      </c>
      <c r="B5" s="151">
        <v>1</v>
      </c>
      <c r="C5" s="43">
        <v>0</v>
      </c>
      <c r="D5" s="122"/>
      <c r="E5" s="403"/>
      <c r="G5" s="235">
        <v>500</v>
      </c>
      <c r="H5" s="406"/>
    </row>
    <row r="6" spans="1:8" x14ac:dyDescent="0.3">
      <c r="A6" s="258" t="s">
        <v>244</v>
      </c>
      <c r="B6" s="259">
        <v>1</v>
      </c>
      <c r="C6" s="260">
        <v>0</v>
      </c>
      <c r="D6" s="263" t="s">
        <v>246</v>
      </c>
      <c r="E6" s="404"/>
      <c r="G6" s="261" t="s">
        <v>154</v>
      </c>
      <c r="H6" s="406"/>
    </row>
    <row r="7" spans="1:8" x14ac:dyDescent="0.3">
      <c r="A7" s="258" t="s">
        <v>127</v>
      </c>
      <c r="B7" s="259">
        <v>1</v>
      </c>
      <c r="C7" s="260">
        <v>0</v>
      </c>
      <c r="D7" s="263"/>
      <c r="E7" s="403"/>
      <c r="G7" s="261">
        <v>2100</v>
      </c>
      <c r="H7" s="406"/>
    </row>
    <row r="8" spans="1:8" x14ac:dyDescent="0.3">
      <c r="A8" s="258" t="s">
        <v>126</v>
      </c>
      <c r="B8" s="259">
        <v>1</v>
      </c>
      <c r="C8" s="260">
        <v>0</v>
      </c>
      <c r="D8" s="262"/>
      <c r="E8" s="404"/>
      <c r="G8" s="261">
        <v>900</v>
      </c>
      <c r="H8" s="406"/>
    </row>
    <row r="9" spans="1:8" ht="16.2" thickBot="1" x14ac:dyDescent="0.35">
      <c r="A9" s="125" t="s">
        <v>122</v>
      </c>
      <c r="B9" s="152">
        <v>1</v>
      </c>
      <c r="C9" s="44">
        <v>0</v>
      </c>
      <c r="D9" s="126"/>
      <c r="E9" s="405"/>
      <c r="G9" s="236">
        <v>3500</v>
      </c>
    </row>
    <row r="10" spans="1:8" ht="24" thickTop="1" thickBot="1" x14ac:dyDescent="0.45">
      <c r="A10" s="11" t="s">
        <v>211</v>
      </c>
      <c r="B10" s="11"/>
      <c r="C10" s="45"/>
      <c r="D10" s="11"/>
      <c r="E10" s="46"/>
    </row>
    <row r="11" spans="1:8" ht="16.8" thickTop="1" thickBot="1" x14ac:dyDescent="0.35">
      <c r="A11" s="39" t="s">
        <v>58</v>
      </c>
      <c r="B11" s="155" t="s">
        <v>2</v>
      </c>
      <c r="C11" s="40" t="s">
        <v>18</v>
      </c>
      <c r="D11" s="41" t="s">
        <v>237</v>
      </c>
      <c r="E11" s="42"/>
      <c r="G11" s="234" t="s">
        <v>110</v>
      </c>
    </row>
    <row r="12" spans="1:8" x14ac:dyDescent="0.3">
      <c r="A12" s="225" t="s">
        <v>101</v>
      </c>
      <c r="B12" s="222">
        <v>1</v>
      </c>
      <c r="C12" s="223">
        <v>5</v>
      </c>
      <c r="D12" s="224" t="s">
        <v>76</v>
      </c>
      <c r="E12" s="403"/>
      <c r="F12" s="58"/>
      <c r="G12" s="235">
        <v>0</v>
      </c>
    </row>
    <row r="13" spans="1:8" x14ac:dyDescent="0.3">
      <c r="A13" s="225" t="s">
        <v>92</v>
      </c>
      <c r="B13" s="222">
        <v>1</v>
      </c>
      <c r="C13" s="223">
        <v>2.5</v>
      </c>
      <c r="D13" s="224" t="s">
        <v>100</v>
      </c>
      <c r="E13" s="403"/>
      <c r="F13" s="58"/>
      <c r="G13" s="235">
        <v>0</v>
      </c>
    </row>
    <row r="14" spans="1:8" x14ac:dyDescent="0.3">
      <c r="A14" s="227" t="s">
        <v>111</v>
      </c>
      <c r="B14" s="228">
        <v>1</v>
      </c>
      <c r="C14" s="229">
        <v>2</v>
      </c>
      <c r="D14" s="224"/>
      <c r="E14" s="403"/>
      <c r="F14" s="58"/>
      <c r="G14" s="235">
        <v>800</v>
      </c>
    </row>
    <row r="15" spans="1:8" x14ac:dyDescent="0.3">
      <c r="A15" s="225" t="s">
        <v>105</v>
      </c>
      <c r="B15" s="222">
        <v>1</v>
      </c>
      <c r="C15" s="226">
        <v>2</v>
      </c>
      <c r="D15" s="224" t="s">
        <v>77</v>
      </c>
      <c r="E15" s="404"/>
      <c r="F15" s="58"/>
      <c r="G15" s="235">
        <v>300</v>
      </c>
    </row>
    <row r="16" spans="1:8" x14ac:dyDescent="0.3">
      <c r="A16" s="225" t="s">
        <v>99</v>
      </c>
      <c r="B16" s="222">
        <v>2</v>
      </c>
      <c r="C16" s="226">
        <f>B16/10</f>
        <v>0.2</v>
      </c>
      <c r="D16" s="224"/>
      <c r="E16" s="404"/>
      <c r="F16" s="58"/>
      <c r="G16" s="235">
        <v>0</v>
      </c>
    </row>
    <row r="17" spans="1:7" ht="16.2" thickBot="1" x14ac:dyDescent="0.35">
      <c r="A17" s="230" t="s">
        <v>255</v>
      </c>
      <c r="B17" s="231">
        <v>1</v>
      </c>
      <c r="C17" s="232">
        <v>0.5</v>
      </c>
      <c r="D17" s="233"/>
      <c r="E17" s="405"/>
      <c r="F17" s="58"/>
      <c r="G17" s="236" t="s">
        <v>154</v>
      </c>
    </row>
    <row r="18" spans="1:7" ht="24" thickTop="1" thickBot="1" x14ac:dyDescent="0.45">
      <c r="A18" s="8"/>
      <c r="B18" s="8"/>
      <c r="D18" s="319" t="s">
        <v>195</v>
      </c>
      <c r="E18" s="46"/>
    </row>
    <row r="19" spans="1:7" s="12" customFormat="1" ht="16.8" thickTop="1" thickBot="1" x14ac:dyDescent="0.35">
      <c r="A19" s="39" t="s">
        <v>58</v>
      </c>
      <c r="B19" s="155" t="s">
        <v>2</v>
      </c>
      <c r="C19" s="40" t="s">
        <v>18</v>
      </c>
      <c r="D19" s="357" t="s">
        <v>182</v>
      </c>
      <c r="E19" s="358"/>
      <c r="G19" s="234" t="s">
        <v>110</v>
      </c>
    </row>
    <row r="20" spans="1:7" x14ac:dyDescent="0.3">
      <c r="A20" s="95" t="s">
        <v>196</v>
      </c>
      <c r="B20" s="151"/>
      <c r="C20" s="55"/>
      <c r="D20" s="359"/>
      <c r="E20" s="403"/>
      <c r="G20" s="235"/>
    </row>
    <row r="21" spans="1:7" x14ac:dyDescent="0.3">
      <c r="A21" s="95"/>
      <c r="B21" s="151"/>
      <c r="C21" s="55"/>
      <c r="D21" s="359"/>
      <c r="E21" s="403"/>
      <c r="G21" s="235"/>
    </row>
    <row r="22" spans="1:7" x14ac:dyDescent="0.3">
      <c r="A22" s="95"/>
      <c r="B22" s="153"/>
      <c r="C22" s="43"/>
      <c r="D22" s="359"/>
      <c r="E22" s="403"/>
      <c r="G22" s="235"/>
    </row>
    <row r="23" spans="1:7" x14ac:dyDescent="0.3">
      <c r="A23" s="95"/>
      <c r="B23" s="151"/>
      <c r="C23" s="43"/>
      <c r="D23" s="360"/>
      <c r="E23" s="404"/>
      <c r="G23" s="235"/>
    </row>
    <row r="24" spans="1:7" x14ac:dyDescent="0.3">
      <c r="A24" s="95"/>
      <c r="B24" s="151"/>
      <c r="C24" s="43"/>
      <c r="D24" s="360"/>
      <c r="E24" s="404"/>
      <c r="G24" s="235"/>
    </row>
    <row r="25" spans="1:7" ht="16.2" thickBot="1" x14ac:dyDescent="0.35">
      <c r="A25" s="123"/>
      <c r="B25" s="154"/>
      <c r="C25" s="44"/>
      <c r="D25" s="361"/>
      <c r="E25" s="405"/>
      <c r="G25" s="236"/>
    </row>
    <row r="26" spans="1:7" ht="16.2" thickTop="1" x14ac:dyDescent="0.3"/>
    <row r="27" spans="1:7" x14ac:dyDescent="0.3">
      <c r="E27" s="249" t="s">
        <v>116</v>
      </c>
      <c r="F27" s="238"/>
      <c r="G27" s="250">
        <f>SUM(G3:G25,Martial!M3:M36)</f>
        <v>103615</v>
      </c>
    </row>
  </sheetData>
  <sortState xmlns:xlrd2="http://schemas.microsoft.com/office/spreadsheetml/2017/richdata2" ref="A3:E19">
    <sortCondition ref="A3:A19"/>
  </sortState>
  <phoneticPr fontId="0" type="noConversion"/>
  <conditionalFormatting sqref="G27">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2022-05-07T09:21:33Z</dcterms:modified>
</cp:coreProperties>
</file>