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A\Jue\DoW\PCs\"/>
    </mc:Choice>
  </mc:AlternateContent>
  <xr:revisionPtr revIDLastSave="0" documentId="13_ncr:1_{533B1B2E-883C-4F4B-9F40-3E4B05878C71}"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5" r:id="rId3"/>
    <sheet name="Feats" sheetId="20"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File'!$A$1:$H$24</definedName>
    <definedName name="_xlnm.Print_Area" localSheetId="1">Skills!$A$1:$K$32</definedName>
    <definedName name="_xlnm.Print_Area" localSheetId="2">Spells!$A$1:$I$8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15" l="1"/>
  <c r="J5" i="20" l="1"/>
  <c r="E47" i="15"/>
  <c r="E61" i="15"/>
  <c r="E60" i="15"/>
  <c r="C27" i="19" l="1"/>
  <c r="C25" i="19"/>
  <c r="I11" i="6" l="1"/>
  <c r="B26" i="6" l="1"/>
  <c r="B7" i="4" l="1"/>
  <c r="B3" i="15" l="1"/>
  <c r="F3" i="15"/>
  <c r="H3" i="15"/>
  <c r="B5" i="15" l="1"/>
  <c r="B4" i="15"/>
  <c r="H44" i="15" l="1"/>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47" i="15"/>
  <c r="B13" i="4" l="1"/>
  <c r="B12" i="4"/>
  <c r="B11" i="4"/>
  <c r="B10" i="4"/>
  <c r="B9" i="4"/>
  <c r="I3" i="6" l="1"/>
  <c r="I4" i="6"/>
  <c r="I5" i="6"/>
  <c r="I6" i="6"/>
  <c r="F4" i="15" l="1"/>
  <c r="F5" i="15"/>
  <c r="I10" i="6" l="1"/>
  <c r="I9" i="6"/>
  <c r="I8" i="6"/>
  <c r="H4" i="15" l="1"/>
  <c r="H5" i="15"/>
  <c r="G47" i="19" l="1"/>
  <c r="D22" i="6" l="1"/>
  <c r="I22" i="6"/>
  <c r="H22" i="6"/>
  <c r="J22" i="6" l="1"/>
  <c r="H10" i="20"/>
  <c r="F10" i="20"/>
  <c r="I5" i="20"/>
  <c r="H5" i="20"/>
  <c r="G5" i="20"/>
  <c r="F5" i="20"/>
  <c r="I21" i="6" l="1"/>
  <c r="H21" i="6"/>
  <c r="J21" i="6" l="1"/>
  <c r="I23" i="6" l="1"/>
  <c r="I16" i="6"/>
  <c r="I14" i="6" l="1"/>
  <c r="I15" i="6" l="1"/>
  <c r="I13" i="6" l="1"/>
  <c r="G15" i="20" l="1"/>
  <c r="G16" i="20" l="1"/>
  <c r="G17" i="20" s="1"/>
  <c r="G18" i="20" s="1"/>
  <c r="G19" i="20" s="1"/>
  <c r="G20" i="20" s="1"/>
  <c r="G21" i="20" s="1"/>
  <c r="G22" i="20" s="1"/>
  <c r="G23" i="20" s="1"/>
  <c r="G24" i="20" s="1"/>
  <c r="G25" i="20" s="1"/>
  <c r="G26" i="20" s="1"/>
  <c r="G27" i="20" s="1"/>
  <c r="G28" i="20" s="1"/>
  <c r="H19" i="20"/>
  <c r="H20" i="20" s="1"/>
  <c r="H21" i="20" s="1"/>
  <c r="H22" i="20" s="1"/>
  <c r="H23" i="20" s="1"/>
  <c r="H24" i="20" s="1"/>
  <c r="H25" i="20" s="1"/>
  <c r="H26" i="20" s="1"/>
  <c r="H27" i="20" s="1"/>
  <c r="H28" i="20" s="1"/>
  <c r="I23" i="20"/>
  <c r="I24" i="20" s="1"/>
  <c r="I25" i="20" s="1"/>
  <c r="I26" i="20" s="1"/>
  <c r="I27" i="20" s="1"/>
  <c r="I28" i="20" s="1"/>
  <c r="J27" i="20"/>
  <c r="J28" i="20" s="1"/>
  <c r="I20" i="6" l="1"/>
  <c r="H46" i="15" l="1"/>
  <c r="H6" i="15" l="1"/>
  <c r="H7" i="15"/>
  <c r="E10" i="4" l="1"/>
  <c r="C9" i="4" l="1"/>
  <c r="C11" i="6" l="1"/>
  <c r="H11" i="6"/>
  <c r="J11" i="6" s="1"/>
  <c r="C4" i="6"/>
  <c r="C6" i="6"/>
  <c r="C3" i="6"/>
  <c r="C5" i="6"/>
  <c r="H6" i="6"/>
  <c r="J6" i="6" s="1"/>
  <c r="H3" i="6"/>
  <c r="J3" i="6" s="1"/>
  <c r="H4" i="6"/>
  <c r="J4" i="6" s="1"/>
  <c r="H5" i="6"/>
  <c r="J5" i="6" s="1"/>
  <c r="D9" i="15"/>
  <c r="E9" i="15" s="1"/>
  <c r="D23" i="15"/>
  <c r="E23" i="15" s="1"/>
  <c r="D43" i="15"/>
  <c r="E43" i="15" s="1"/>
  <c r="C9" i="6"/>
  <c r="H10" i="6"/>
  <c r="J10" i="6" s="1"/>
  <c r="C10" i="6"/>
  <c r="H9" i="6"/>
  <c r="J9" i="6" s="1"/>
  <c r="H8" i="6"/>
  <c r="J8" i="6" s="1"/>
  <c r="C8" i="6"/>
  <c r="H16" i="6"/>
  <c r="J16" i="6" s="1"/>
  <c r="C16" i="6"/>
  <c r="H15" i="6"/>
  <c r="J15" i="6" s="1"/>
  <c r="H14" i="6"/>
  <c r="J14" i="6" s="1"/>
  <c r="C15" i="6"/>
  <c r="H13" i="6"/>
  <c r="J13" i="6" s="1"/>
  <c r="C13" i="6"/>
  <c r="H17" i="6"/>
  <c r="C17" i="6"/>
  <c r="I17" i="6"/>
  <c r="J17" i="6" l="1"/>
  <c r="G23" i="15"/>
  <c r="I23" i="15" s="1"/>
  <c r="G9" i="15"/>
  <c r="I9" i="15" s="1"/>
  <c r="C14" i="4"/>
  <c r="C13" i="4"/>
  <c r="C12" i="4"/>
  <c r="E59" i="15" s="1"/>
  <c r="C11" i="4"/>
  <c r="D3" i="15" s="1"/>
  <c r="C10" i="4"/>
  <c r="E12" i="4" s="1"/>
  <c r="E3" i="15" l="1"/>
  <c r="G3" i="15"/>
  <c r="I3" i="15" s="1"/>
  <c r="B8" i="4"/>
  <c r="D8" i="15"/>
  <c r="E8" i="15" s="1"/>
  <c r="D19" i="15"/>
  <c r="E19" i="15" s="1"/>
  <c r="D45" i="15"/>
  <c r="E45" i="15" s="1"/>
  <c r="D13" i="15"/>
  <c r="E13" i="15" s="1"/>
  <c r="D22" i="15"/>
  <c r="E22" i="15" s="1"/>
  <c r="D15" i="15"/>
  <c r="E15" i="15" s="1"/>
  <c r="D33" i="15"/>
  <c r="E33" i="15" s="1"/>
  <c r="D18" i="15"/>
  <c r="E18" i="15" s="1"/>
  <c r="D5" i="15"/>
  <c r="D42" i="15"/>
  <c r="E42" i="15" s="1"/>
  <c r="D30" i="15"/>
  <c r="E30" i="15" s="1"/>
  <c r="D20" i="15"/>
  <c r="E20" i="15" s="1"/>
  <c r="D34" i="15"/>
  <c r="E34" i="15" s="1"/>
  <c r="D37" i="15"/>
  <c r="E37" i="15" s="1"/>
  <c r="D41" i="15"/>
  <c r="E41" i="15" s="1"/>
  <c r="D12" i="15"/>
  <c r="E12" i="15" s="1"/>
  <c r="D17" i="15"/>
  <c r="E17" i="15" s="1"/>
  <c r="D27" i="15"/>
  <c r="E27" i="15" s="1"/>
  <c r="D39" i="15"/>
  <c r="E39" i="15" s="1"/>
  <c r="D6" i="15"/>
  <c r="E6" i="15" s="1"/>
  <c r="D24" i="15"/>
  <c r="E24" i="15" s="1"/>
  <c r="D28" i="15"/>
  <c r="E28" i="15" s="1"/>
  <c r="D40" i="15"/>
  <c r="E40" i="15" s="1"/>
  <c r="D11" i="15"/>
  <c r="E11" i="15" s="1"/>
  <c r="D26" i="15"/>
  <c r="E26" i="15" s="1"/>
  <c r="D14" i="15"/>
  <c r="E14" i="15" s="1"/>
  <c r="D25" i="15"/>
  <c r="E25" i="15" s="1"/>
  <c r="D29" i="15"/>
  <c r="E29" i="15" s="1"/>
  <c r="D36" i="15"/>
  <c r="E36" i="15" s="1"/>
  <c r="I6" i="20"/>
  <c r="F6" i="20"/>
  <c r="J6" i="20"/>
  <c r="G6" i="20"/>
  <c r="K6" i="20"/>
  <c r="H6" i="20"/>
  <c r="E58" i="15"/>
  <c r="E57" i="15"/>
  <c r="E56" i="15"/>
  <c r="F14" i="20"/>
  <c r="F15" i="20" s="1"/>
  <c r="F16" i="20" s="1"/>
  <c r="F17" i="20" s="1"/>
  <c r="F18" i="20" s="1"/>
  <c r="F19" i="20" s="1"/>
  <c r="F20" i="20" s="1"/>
  <c r="F21" i="20" s="1"/>
  <c r="F22" i="20" s="1"/>
  <c r="F23" i="20" s="1"/>
  <c r="F24" i="20" s="1"/>
  <c r="F25" i="20" s="1"/>
  <c r="F26" i="20" s="1"/>
  <c r="F27" i="20" s="1"/>
  <c r="F28" i="20" s="1"/>
  <c r="E55" i="15"/>
  <c r="E54" i="15"/>
  <c r="E53" i="15"/>
  <c r="E52" i="15"/>
  <c r="E48" i="15"/>
  <c r="E51" i="15"/>
  <c r="E50" i="15"/>
  <c r="E49" i="15"/>
  <c r="D10" i="15"/>
  <c r="E10" i="15" s="1"/>
  <c r="E14" i="4"/>
  <c r="E13" i="4" s="1"/>
  <c r="D7" i="15"/>
  <c r="E7" i="15" s="1"/>
  <c r="D16" i="15"/>
  <c r="E16" i="15" s="1"/>
  <c r="D46" i="15"/>
  <c r="E46" i="15" s="1"/>
  <c r="D32" i="15"/>
  <c r="E32" i="15" s="1"/>
  <c r="D4" i="15"/>
  <c r="D21" i="15"/>
  <c r="E21" i="15" s="1"/>
  <c r="D38" i="15"/>
  <c r="E38" i="15" s="1"/>
  <c r="D31" i="15"/>
  <c r="E31" i="15" s="1"/>
  <c r="D35" i="15"/>
  <c r="E35" i="15" s="1"/>
  <c r="D44" i="15"/>
  <c r="E44" i="15" s="1"/>
  <c r="H20" i="6"/>
  <c r="J20" i="6" s="1"/>
  <c r="H23" i="6"/>
  <c r="J23" i="6" s="1"/>
  <c r="E11" i="4"/>
  <c r="G24" i="15" l="1"/>
  <c r="I24" i="15" s="1"/>
  <c r="E5" i="15"/>
  <c r="G5" i="15"/>
  <c r="I5" i="15" s="1"/>
  <c r="E4" i="15"/>
  <c r="G4" i="15"/>
  <c r="I4" i="15" s="1"/>
  <c r="G25" i="15"/>
  <c r="I25" i="15" s="1"/>
  <c r="G28" i="15"/>
  <c r="I28" i="15" s="1"/>
  <c r="G26" i="15"/>
  <c r="I26" i="15" s="1"/>
  <c r="G27" i="15"/>
  <c r="I27" i="15" s="1"/>
  <c r="G18" i="15"/>
  <c r="I18" i="15" s="1"/>
  <c r="G21" i="15"/>
  <c r="I21" i="15" s="1"/>
  <c r="G22" i="15"/>
  <c r="I22" i="15" s="1"/>
  <c r="G15" i="15"/>
  <c r="I15" i="15" s="1"/>
  <c r="G20" i="15"/>
  <c r="I20" i="15" s="1"/>
  <c r="G39" i="15"/>
  <c r="I39" i="15" s="1"/>
  <c r="G14" i="15"/>
  <c r="I14" i="15" s="1"/>
  <c r="G10" i="15"/>
  <c r="I10" i="15" s="1"/>
  <c r="G13" i="15"/>
  <c r="I13" i="15" s="1"/>
  <c r="G8" i="15"/>
  <c r="I8" i="15" s="1"/>
  <c r="G7" i="15"/>
  <c r="I7" i="15" s="1"/>
  <c r="G17" i="15"/>
  <c r="I17" i="15" s="1"/>
  <c r="G19" i="15"/>
  <c r="I19" i="15" s="1"/>
  <c r="G16" i="15"/>
  <c r="I16" i="15" s="1"/>
  <c r="G12" i="15"/>
  <c r="I12" i="15" s="1"/>
  <c r="G11" i="15"/>
  <c r="I11" i="15" s="1"/>
  <c r="G6" i="15"/>
  <c r="I6" i="15" s="1"/>
  <c r="G34" i="15" l="1"/>
  <c r="G40" i="15"/>
  <c r="I40" i="15" s="1"/>
  <c r="G45" i="15"/>
  <c r="I45" i="15" s="1"/>
  <c r="G29" i="15"/>
  <c r="I29" i="15" s="1"/>
  <c r="I34" i="15" l="1"/>
  <c r="G30" i="15"/>
  <c r="G33" i="15"/>
  <c r="G37" i="15"/>
  <c r="G32" i="15"/>
  <c r="G36" i="15"/>
  <c r="G41" i="15"/>
  <c r="G42" i="15"/>
  <c r="G31" i="15"/>
  <c r="G35" i="15"/>
  <c r="G46" i="15"/>
  <c r="G38" i="15"/>
  <c r="G43" i="15"/>
  <c r="G44" i="15"/>
  <c r="I44" i="15" l="1"/>
  <c r="I43" i="15"/>
  <c r="I38" i="15"/>
  <c r="I46" i="15"/>
  <c r="I35" i="15"/>
  <c r="I31" i="15"/>
  <c r="I42" i="15"/>
  <c r="I41" i="15"/>
  <c r="I36" i="15"/>
  <c r="I32" i="15"/>
  <c r="I37" i="15"/>
  <c r="I33" i="15"/>
  <c r="I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aid +1
bless +1     haste +1
inspire courage +2</t>
        </r>
      </text>
    </comment>
    <comment ref="C8" authorId="0" shapeId="0" xr:uid="{00000000-0006-0000-0000-000002000000}">
      <text>
        <r>
          <rPr>
            <i/>
            <sz val="12"/>
            <color indexed="81"/>
            <rFont val="Times New Roman"/>
            <family val="1"/>
          </rPr>
          <t>Improved Initiative +4</t>
        </r>
      </text>
    </comment>
    <comment ref="B9" authorId="0" shapeId="0" xr:uid="{00000000-0006-0000-0000-000003000000}">
      <text>
        <r>
          <rPr>
            <i/>
            <sz val="12"/>
            <color indexed="81"/>
            <rFont val="Times New Roman"/>
            <family val="1"/>
          </rPr>
          <t>bull’s strength +4
chasing perfection +4
bear’s heart +4
baleful bolt -3
ray of enfeeblement -5</t>
        </r>
      </text>
    </comment>
    <comment ref="E9" authorId="0" shapeId="0" xr:uid="{00000000-0006-0000-0000-000004000000}">
      <text>
        <r>
          <rPr>
            <sz val="12"/>
            <color indexed="81"/>
            <rFont val="Times New Roman"/>
            <family val="1"/>
          </rPr>
          <t>See PHB 162</t>
        </r>
      </text>
    </comment>
    <comment ref="B10" authorId="0" shapeId="0" xr:uid="{00000000-0006-0000-0000-000005000000}">
      <text>
        <r>
          <rPr>
            <i/>
            <sz val="12"/>
            <color indexed="81"/>
            <rFont val="Times New Roman"/>
            <family val="1"/>
          </rPr>
          <t>chasing perfection +4</t>
        </r>
      </text>
    </comment>
    <comment ref="B11" authorId="0" shapeId="0" xr:uid="{00000000-0006-0000-0000-000006000000}">
      <text>
        <r>
          <rPr>
            <i/>
            <sz val="12"/>
            <color indexed="81"/>
            <rFont val="Times New Roman"/>
            <family val="1"/>
          </rPr>
          <t>chasing perfection +4</t>
        </r>
      </text>
    </comment>
    <comment ref="E11" authorId="0" shapeId="0" xr:uid="{00000000-0006-0000-0000-000007000000}">
      <text>
        <r>
          <rPr>
            <sz val="12"/>
            <color indexed="81"/>
            <rFont val="Times New Roman"/>
            <family val="1"/>
          </rPr>
          <t>[(14 * 10 Duskblade) * 75%] + (12 * 2 Con)</t>
        </r>
      </text>
    </comment>
    <comment ref="B12" authorId="0" shapeId="0" xr:uid="{00000000-0006-0000-0000-000008000000}">
      <text>
        <r>
          <rPr>
            <i/>
            <sz val="12"/>
            <color indexed="81"/>
            <rFont val="Times New Roman"/>
            <family val="1"/>
          </rPr>
          <t>chasing perfection +4</t>
        </r>
      </text>
    </comment>
    <comment ref="E12" authorId="0" shapeId="0" xr:uid="{00000000-0006-0000-0000-000009000000}">
      <text>
        <r>
          <rPr>
            <i/>
            <sz val="12"/>
            <color indexed="81"/>
            <rFont val="Times New Roman"/>
            <family val="1"/>
          </rPr>
          <t xml:space="preserve">Shield of Faith </t>
        </r>
        <r>
          <rPr>
            <sz val="12"/>
            <color indexed="81"/>
            <rFont val="Times New Roman"/>
            <family val="1"/>
          </rPr>
          <t xml:space="preserve">[Deflection] +3
</t>
        </r>
        <r>
          <rPr>
            <i/>
            <sz val="12"/>
            <color indexed="81"/>
            <rFont val="Times New Roman"/>
            <family val="1"/>
          </rPr>
          <t>haste +1</t>
        </r>
      </text>
    </comment>
    <comment ref="B13" authorId="0" shapeId="0" xr:uid="{00000000-0006-0000-0000-00000A000000}">
      <text>
        <r>
          <rPr>
            <i/>
            <sz val="12"/>
            <color indexed="81"/>
            <rFont val="Times New Roman"/>
            <family val="1"/>
          </rPr>
          <t>chasing perfection +4</t>
        </r>
      </text>
    </comment>
    <comment ref="B14" authorId="0" shapeId="0" xr:uid="{00000000-0006-0000-0000-00000B000000}">
      <text>
        <r>
          <rPr>
            <i/>
            <sz val="12"/>
            <color indexed="81"/>
            <rFont val="Times New Roman"/>
            <family val="1"/>
          </rPr>
          <t>chasing perfection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Vest of Resistance +1</t>
        </r>
      </text>
    </comment>
    <comment ref="F4" authorId="0" shapeId="0" xr:uid="{00000000-0006-0000-0100-000002000000}">
      <text>
        <r>
          <rPr>
            <sz val="12"/>
            <color indexed="81"/>
            <rFont val="Times New Roman"/>
            <family val="1"/>
          </rPr>
          <t>Vest of Resistance +1</t>
        </r>
      </text>
    </comment>
    <comment ref="F5" authorId="0" shapeId="0" xr:uid="{00000000-0006-0000-0100-000003000000}">
      <text>
        <r>
          <rPr>
            <sz val="12"/>
            <color indexed="81"/>
            <rFont val="Times New Roman"/>
            <family val="1"/>
          </rPr>
          <t>Vest of Resistance +1</t>
        </r>
      </text>
    </comment>
    <comment ref="F7" authorId="0" shapeId="0" xr:uid="{00000000-0006-0000-0100-000004000000}">
      <text>
        <r>
          <rPr>
            <sz val="12"/>
            <color indexed="81"/>
            <rFont val="Times New Roman"/>
            <family val="1"/>
          </rPr>
          <t>-1 Chain Shirt +1</t>
        </r>
      </text>
    </comment>
    <comment ref="F9" authorId="0" shapeId="0" xr:uid="{00000000-0006-0000-0100-000005000000}">
      <text>
        <r>
          <rPr>
            <sz val="12"/>
            <color indexed="81"/>
            <rFont val="Times New Roman"/>
            <family val="1"/>
          </rPr>
          <t>-1 Chain Shirt +1</t>
        </r>
      </text>
    </comment>
    <comment ref="F13" authorId="0" shapeId="0" xr:uid="{00000000-0006-0000-0100-000006000000}">
      <text>
        <r>
          <rPr>
            <sz val="12"/>
            <color indexed="81"/>
            <rFont val="Times New Roman"/>
            <family val="1"/>
          </rPr>
          <t>+2 ½-drow</t>
        </r>
      </text>
    </comment>
    <comment ref="F16" authorId="0" shapeId="0" xr:uid="{00000000-0006-0000-0100-000007000000}">
      <text>
        <r>
          <rPr>
            <sz val="12"/>
            <color indexed="81"/>
            <rFont val="Times New Roman"/>
            <family val="1"/>
          </rPr>
          <t>-1 Chain Shirt +1</t>
        </r>
      </text>
    </comment>
    <comment ref="F18" authorId="0" shapeId="0" xr:uid="{00000000-0006-0000-0100-000008000000}">
      <text>
        <r>
          <rPr>
            <sz val="12"/>
            <color indexed="81"/>
            <rFont val="Times New Roman"/>
            <family val="1"/>
          </rPr>
          <t>+2 ½-drow</t>
        </r>
      </text>
    </comment>
    <comment ref="F21" authorId="0" shapeId="0" xr:uid="{00000000-0006-0000-0100-000009000000}">
      <text>
        <r>
          <rPr>
            <sz val="12"/>
            <color indexed="81"/>
            <rFont val="Times New Roman"/>
            <family val="1"/>
          </rPr>
          <t>-1 Chain Shirt +1</t>
        </r>
      </text>
    </comment>
    <comment ref="F23" authorId="0" shapeId="0" xr:uid="{00000000-0006-0000-0100-00000A000000}">
      <text>
        <r>
          <rPr>
            <sz val="12"/>
            <color indexed="81"/>
            <rFont val="Times New Roman"/>
            <family val="1"/>
          </rPr>
          <t>-1 Chain Shirt +1</t>
        </r>
      </text>
    </comment>
    <comment ref="F30" authorId="0" shapeId="0" xr:uid="{00000000-0006-0000-0100-00000B000000}">
      <text>
        <r>
          <rPr>
            <sz val="12"/>
            <color indexed="81"/>
            <rFont val="Times New Roman"/>
            <family val="1"/>
          </rPr>
          <t>+1 ½-drow</t>
        </r>
      </text>
    </comment>
    <comment ref="F31" authorId="0" shapeId="0" xr:uid="{00000000-0006-0000-0100-00000C000000}">
      <text>
        <r>
          <rPr>
            <sz val="12"/>
            <color indexed="81"/>
            <rFont val="Times New Roman"/>
            <family val="1"/>
          </rPr>
          <t>-1 Chain Shirt +1</t>
        </r>
      </text>
    </comment>
    <comment ref="F36" authorId="0" shapeId="0" xr:uid="{00000000-0006-0000-0100-00000D000000}">
      <text>
        <r>
          <rPr>
            <sz val="12"/>
            <color indexed="81"/>
            <rFont val="Times New Roman"/>
            <family val="1"/>
          </rPr>
          <t>+1 ½-drow</t>
        </r>
      </text>
    </comment>
    <comment ref="F38" authorId="0" shapeId="0" xr:uid="{00000000-0006-0000-0100-00000E000000}">
      <text>
        <r>
          <rPr>
            <sz val="12"/>
            <color indexed="81"/>
            <rFont val="Times New Roman"/>
            <family val="1"/>
          </rPr>
          <t>-1 Chain Shirt +1</t>
        </r>
      </text>
    </comment>
    <comment ref="F41" authorId="0" shapeId="0" xr:uid="{00000000-0006-0000-0100-00000F000000}">
      <text>
        <r>
          <rPr>
            <sz val="12"/>
            <color indexed="81"/>
            <rFont val="Times New Roman"/>
            <family val="1"/>
          </rPr>
          <t>+1 ½-drow</t>
        </r>
      </text>
    </comment>
    <comment ref="F44" authorId="0" shapeId="0" xr:uid="{00000000-0006-0000-0100-000010000000}">
      <text>
        <r>
          <rPr>
            <sz val="12"/>
            <color indexed="81"/>
            <rFont val="Times New Roman"/>
            <family val="1"/>
          </rPr>
          <t>-1 Chain Shirt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Wool or fur</t>
        </r>
      </text>
    </comment>
    <comment ref="D7" authorId="0" shapeId="0" xr:uid="{00000000-0006-0000-0200-000002000000}">
      <text>
        <r>
          <rPr>
            <sz val="12"/>
            <color indexed="81"/>
            <rFont val="Times New Roman"/>
            <family val="1"/>
          </rPr>
          <t>Drop of sweat</t>
        </r>
      </text>
    </comment>
    <comment ref="D15" authorId="0" shapeId="0" xr:uid="{00000000-0006-0000-0200-000003000000}">
      <text>
        <r>
          <rPr>
            <sz val="12"/>
            <color indexed="81"/>
            <rFont val="Times New Roman"/>
            <family val="1"/>
          </rPr>
          <t>Bull-shit or bull-hair</t>
        </r>
      </text>
    </comment>
    <comment ref="D20" authorId="0" shapeId="0" xr:uid="{00000000-0006-0000-0200-000004000000}">
      <text>
        <r>
          <rPr>
            <sz val="12"/>
            <color indexed="81"/>
            <rFont val="Times New Roman"/>
            <family val="1"/>
          </rPr>
          <t>Roots</t>
        </r>
      </text>
    </comment>
    <comment ref="D24" authorId="0" shapeId="0" xr:uid="{00000000-0006-0000-0200-000005000000}">
      <text>
        <r>
          <rPr>
            <sz val="12"/>
            <color indexed="81"/>
            <rFont val="Times New Roman"/>
            <family val="1"/>
          </rPr>
          <t>phosphorous (warm) or glowworm (chill)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Die Roll        Bonus</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t>
        </r>
        <r>
          <rPr>
            <b/>
            <sz val="12"/>
            <color indexed="81"/>
            <rFont val="Times New Roman"/>
            <family val="1"/>
          </rPr>
          <t xml:space="preserve">Example:  </t>
        </r>
        <r>
          <rPr>
            <sz val="12"/>
            <color indexed="81"/>
            <rFont val="Times New Roman"/>
            <family val="1"/>
          </rPr>
          <t>Alhandra faces a black dragon, a vampire, and a beholder.  She has the Knowledge Devotion feat and ranks in both Knowledge (arcana) and Knowledge (religion).  At the beginning of the battle, she makes checks to gain bonuses against the dragon and the vampire, but since she possess no ranks in Knowledge (dungeoneering), she has no chance to gain a bonus against the beholder (an aberration).
Alhandra’s Knowledge (arcana) check grants her a +3 insight bonus on attack rolls and damage rolls against the black dragon.  Later, a half-dragon enters the fray.  Alhandra cannot make another check since she has already checked for the dragon type this combat, but she can apply the +3 insight bonus to her attack rolls and damage rolls against the half-dragon as well.  This benefit is an extraordinary ability.
Complete Champion 60</t>
        </r>
      </text>
    </comment>
    <comment ref="A3" authorId="0" shapeId="0" xr:uid="{00000000-0006-0000-0300-000002000000}">
      <text>
        <r>
          <rPr>
            <sz val="12"/>
            <color indexed="81"/>
            <rFont val="Times New Roman"/>
            <family val="1"/>
          </rPr>
          <t xml:space="preserve">You can respond quickly and repeatedly to opponents who let their defenses down.
Benefit: 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 xml:space="preserve"> The Combat Reflexes feat does not allow a rogue to use her opportunist ability (see page 51) more than once per round. A fighter may select Combat Reflexes as one of his fighter bonus feats (see page 38)
PHB 92</t>
        </r>
      </text>
    </comment>
    <comment ref="A4" authorId="0" shapeId="0" xr:uid="{00000000-0006-0000-0300-00000300000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A5" authorId="0" shapeId="0" xr:uid="{00000000-0006-0000-0300-000004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A8" authorId="0" shapeId="0" xr:uid="{00000000-0006-0000-0300-000005000000}">
      <text>
        <r>
          <rPr>
            <sz val="12"/>
            <color indexed="81"/>
            <rFont val="Times New Roman"/>
            <family val="1"/>
          </rPr>
          <t>Dancing Lights, Detect Magic, Flare, Ghost Sound, Read Magic a combined total of times per day equal to 3 + Int modifier.  These do not count against your total of spells known or spells per day.</t>
        </r>
      </text>
    </comment>
    <comment ref="A10" authorId="0" shapeId="0" xr:uid="{00000000-0006-0000-0300-000006000000}">
      <text>
        <r>
          <rPr>
            <sz val="12"/>
            <color indexed="81"/>
            <rFont val="Times New Roman"/>
            <family val="1"/>
          </rPr>
          <t>Avoid arcane spell failure so long as you stick to medium armor and light shields.</t>
        </r>
      </text>
    </comment>
    <comment ref="A11" authorId="0" shapeId="0" xr:uid="{00000000-0006-0000-0300-000007000000}">
      <text>
        <r>
          <rPr>
            <sz val="12"/>
            <color indexed="81"/>
            <rFont val="Times New Roman"/>
            <family val="1"/>
          </rPr>
          <t>Avoid arcane spell failure so long as you stick to medium armor and light shields.</t>
        </r>
      </text>
    </comment>
    <comment ref="A12" authorId="0" shapeId="0" xr:uid="{00000000-0006-0000-0300-000008000000}">
      <text>
        <r>
          <rPr>
            <sz val="12"/>
            <color indexed="81"/>
            <rFont val="Times New Roman"/>
            <family val="1"/>
          </rPr>
          <t>You can use a standard action to cast any touch spell you know and deliver the spell through your weapon with a melee attack.  Casting a spell in this manner does not provoke attacks of opportunity.  The spell must have a casting time of 1 standard action or less.  If the melee attack is successful, the attack deals damage normally; then the effect of the spell is resolved.</t>
        </r>
      </text>
    </comment>
    <comment ref="A13" authorId="0" shapeId="0" xr:uid="{00000000-0006-0000-0300-00000900000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A14" authorId="0" shapeId="0" xr:uid="{00000000-0006-0000-0300-00000A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A15" authorId="0" shapeId="0" xr:uid="{00000000-0006-0000-0300-00000B000000}">
      <text>
        <r>
          <rPr>
            <sz val="12"/>
            <color indexed="81"/>
            <rFont val="Times New Roman"/>
            <family val="1"/>
          </rPr>
          <t>You can cast one spell as a swift action, so long as the casting time of the spell is 1 standard action or less.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7" authorId="0" shapeId="0" xr:uid="{00000000-0006-0000-0400-000001000000}">
      <text>
        <r>
          <rPr>
            <b/>
            <sz val="12"/>
            <color indexed="81"/>
            <rFont val="Times New Roman"/>
            <family val="1"/>
          </rPr>
          <t xml:space="preserve">Price (Item Level):  </t>
        </r>
        <r>
          <rPr>
            <sz val="12"/>
            <color indexed="81"/>
            <rFont val="Times New Roman"/>
            <family val="1"/>
          </rPr>
          <t xml:space="preserve">6,000 gp
</t>
        </r>
        <r>
          <rPr>
            <b/>
            <sz val="12"/>
            <color indexed="81"/>
            <rFont val="Times New Roman"/>
            <family val="1"/>
          </rPr>
          <t xml:space="preserve">Body Slot:  </t>
        </r>
        <r>
          <rPr>
            <sz val="12"/>
            <color indexed="81"/>
            <rFont val="Times New Roman"/>
            <family val="1"/>
          </rPr>
          <t xml:space="preserve">— (weapon)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Moderate; (DC 17 ) Transmutation
A crystal of arcane steel is designed for those who can blend magical and martial arts into a single strike.  It functions only when attached to a melee weapon.
</t>
        </r>
        <r>
          <rPr>
            <b/>
            <sz val="12"/>
            <color indexed="81"/>
            <rFont val="Times New Roman"/>
            <family val="1"/>
          </rPr>
          <t xml:space="preserve">Least:  </t>
        </r>
        <r>
          <rPr>
            <sz val="12"/>
            <color indexed="81"/>
            <rFont val="Times New Roman"/>
            <family val="1"/>
          </rPr>
          <t xml:space="preserve">This crystal grants a +1 insight bonus on your weapon damage roll when delivering a spell or spell-like ability through a melee attack with the weapon.
</t>
        </r>
        <r>
          <rPr>
            <b/>
            <sz val="12"/>
            <color indexed="81"/>
            <rFont val="Times New Roman"/>
            <family val="1"/>
          </rPr>
          <t xml:space="preserve">Lesser:  </t>
        </r>
        <r>
          <rPr>
            <sz val="12"/>
            <color indexed="81"/>
            <rFont val="Times New Roman"/>
            <family val="1"/>
          </rPr>
          <t xml:space="preserve">As the least crystal, and it also grants you a +1 insight bonus on the attack roll.
</t>
        </r>
        <r>
          <rPr>
            <b/>
            <sz val="12"/>
            <color indexed="81"/>
            <rFont val="Times New Roman"/>
            <family val="1"/>
          </rPr>
          <t xml:space="preserve">Greater:  </t>
        </r>
        <r>
          <rPr>
            <sz val="12"/>
            <color indexed="81"/>
            <rFont val="Times New Roman"/>
            <family val="1"/>
          </rPr>
          <t>As the lesser crystal, and it also increases the save DC of the spell or spell-like ability by 1.
MIC 64</t>
        </r>
      </text>
    </comment>
    <comment ref="D21" authorId="0" shapeId="0" xr:uid="{00000000-0006-0000-0400-000002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D22" authorId="0" shapeId="0" xr:uid="{00000000-0006-0000-0400-000003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D25" authorId="0" shapeId="0" xr:uid="{00000000-0006-0000-0400-000004000000}">
      <text>
        <r>
          <rPr>
            <sz val="12"/>
            <color indexed="81"/>
            <rFont val="Times New Roman"/>
            <family val="1"/>
          </rPr>
          <t>Balance, Climb, Escape Artist, Hide, Jump, Move Silently, Sleight of Hand, Tumble.</t>
        </r>
      </text>
    </comment>
    <comment ref="K26" authorId="0" shapeId="0" xr:uid="{00000000-0006-0000-0400-000005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 ref="A29" authorId="0" shapeId="0" xr:uid="{00000000-0006-0000-0400-000006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 ref="A30" authorId="0" shapeId="0" xr:uid="{00000000-0006-0000-0400-000007000000}">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Each of these mithral bracers bears an image of a needle-sharp dagger.
When you activate bracers of quick strike, you can make one extra attack with any weapon you are holding if you already made a full attack on this turn.  This attack is made at your full base attack bonus, plus any modifiers appropriate to the situation.
This effect is not cumulative with any other effect that grants you an extra attack when making a full attack, such as the Rapid Shot feat, a speed weapon, or the haste spell.
Bracers of quick strike function once per day.
MIC 81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500-000001000000}">
      <text>
        <r>
          <rPr>
            <sz val="12"/>
            <color indexed="81"/>
            <rFont val="Times New Roman"/>
            <family val="1"/>
          </rPr>
          <t xml:space="preserve">+2 competence bonus on Heal skill checks, 3 charges touch or self
</t>
        </r>
        <r>
          <rPr>
            <b/>
            <sz val="12"/>
            <color indexed="81"/>
            <rFont val="Times New Roman"/>
            <family val="1"/>
          </rPr>
          <t xml:space="preserve">1 charge:   </t>
        </r>
        <r>
          <rPr>
            <sz val="12"/>
            <color indexed="81"/>
            <rFont val="Times New Roman"/>
            <family val="1"/>
          </rPr>
          <t xml:space="preserve">heal 2d8 (positive energy)
</t>
        </r>
        <r>
          <rPr>
            <b/>
            <sz val="12"/>
            <color indexed="81"/>
            <rFont val="Times New Roman"/>
            <family val="1"/>
          </rPr>
          <t xml:space="preserve">2 charges:  </t>
        </r>
        <r>
          <rPr>
            <sz val="12"/>
            <color indexed="81"/>
            <rFont val="Times New Roman"/>
            <family val="1"/>
          </rPr>
          <t xml:space="preserve">heal 3d8
</t>
        </r>
        <r>
          <rPr>
            <b/>
            <sz val="12"/>
            <color indexed="81"/>
            <rFont val="Times New Roman"/>
            <family val="1"/>
          </rPr>
          <t xml:space="preserve">3 charges:  </t>
        </r>
        <r>
          <rPr>
            <sz val="12"/>
            <color indexed="81"/>
            <rFont val="Times New Roman"/>
            <family val="1"/>
          </rPr>
          <t>heal 4d8
Magic Item Compendium 110</t>
        </r>
      </text>
    </comment>
    <comment ref="A6" authorId="0" shapeId="0" xr:uid="{9647C57D-8929-435E-A4A3-03D46EE78F34}">
      <text>
        <r>
          <rPr>
            <b/>
            <sz val="12"/>
            <color indexed="81"/>
            <rFont val="Times New Roman"/>
            <family val="1"/>
          </rPr>
          <t xml:space="preserve">Price (Item Level): </t>
        </r>
        <r>
          <rPr>
            <sz val="12"/>
            <color indexed="81"/>
            <rFont val="Times New Roman"/>
            <family val="1"/>
          </rPr>
          <t xml:space="preserve">2,100 gp (6th)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 pulsing green glow shines from this crystal.
A third eye surge has 3 charges, which are renewed each day at dawn. Spending 1 or more charges grants you an insight bonus on Strength checks, Dexterity checks, Strength- and Dexterity-based skill checks, and weapon damage rolls for 1 round.
</t>
        </r>
        <r>
          <rPr>
            <b/>
            <sz val="12"/>
            <color indexed="81"/>
            <rFont val="Times New Roman"/>
            <family val="1"/>
          </rPr>
          <t xml:space="preserve">1 charge: </t>
        </r>
        <r>
          <rPr>
            <sz val="12"/>
            <color indexed="81"/>
            <rFont val="Times New Roman"/>
            <family val="1"/>
          </rPr>
          <t xml:space="preserve">+2 insight bonus.
</t>
        </r>
        <r>
          <rPr>
            <b/>
            <sz val="12"/>
            <color indexed="81"/>
            <rFont val="Times New Roman"/>
            <family val="1"/>
          </rPr>
          <t xml:space="preserve">2 charges: </t>
        </r>
        <r>
          <rPr>
            <sz val="12"/>
            <color indexed="81"/>
            <rFont val="Times New Roman"/>
            <family val="1"/>
          </rPr>
          <t xml:space="preserve">+3 insight bonus.
</t>
        </r>
        <r>
          <rPr>
            <b/>
            <sz val="12"/>
            <color indexed="81"/>
            <rFont val="Times New Roman"/>
            <family val="1"/>
          </rPr>
          <t xml:space="preserve">3 charges: </t>
        </r>
        <r>
          <rPr>
            <sz val="12"/>
            <color indexed="81"/>
            <rFont val="Times New Roman"/>
            <family val="1"/>
          </rPr>
          <t xml:space="preserve">+4 insight bonus.
</t>
        </r>
        <r>
          <rPr>
            <b/>
            <sz val="12"/>
            <color indexed="81"/>
            <rFont val="Times New Roman"/>
            <family val="1"/>
          </rPr>
          <t xml:space="preserve">Prerequisites: </t>
        </r>
        <r>
          <rPr>
            <sz val="12"/>
            <color indexed="81"/>
            <rFont val="Times New Roman"/>
            <family val="1"/>
          </rPr>
          <t>Craft Wondrous
MIC 143</t>
        </r>
      </text>
    </comment>
    <comment ref="A7" authorId="0" shapeId="0" xr:uid="{CA3BDC62-0956-48CF-ABFE-2D58CB93FBB6}">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8" authorId="0" shapeId="0" xr:uid="{00000000-0006-0000-0500-000002000000}">
      <text>
        <r>
          <rPr>
            <b/>
            <sz val="12"/>
            <color indexed="81"/>
            <rFont val="Times New Roman"/>
            <family val="1"/>
          </rPr>
          <t xml:space="preserve">Price (Item Level):  </t>
        </r>
        <r>
          <rPr>
            <sz val="12"/>
            <color indexed="81"/>
            <rFont val="Times New Roman"/>
            <family val="1"/>
          </rPr>
          <t xml:space="preserve">3,200 gp (8th)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The fingers of these gray and scarlet gauntlets end in sharp talons, and a faint odor of brimstone rises from them.
When you activate hellcat gauntlets, the next spell you cast during your turn that targets a single creature also deals 1d6 points of slashing damage per level of the spell, unless the spell has no effect on the target (due to spell resistance or a save negating the spell, for example), in which case the extra damage is negated. This ability functions three times per day, but it can’t be activated in consecutive rounds.
MIC 111</t>
        </r>
      </text>
    </comment>
    <comment ref="A9" authorId="0" shapeId="0" xr:uid="{00000000-0006-0000-0500-000003000000}">
      <text>
        <r>
          <rPr>
            <b/>
            <sz val="12"/>
            <color indexed="81"/>
            <rFont val="Times New Roman"/>
            <family val="1"/>
          </rPr>
          <t xml:space="preserve">Price (Item Level):  </t>
        </r>
        <r>
          <rPr>
            <sz val="12"/>
            <color indexed="81"/>
            <rFont val="Times New Roman"/>
            <family val="1"/>
          </rPr>
          <t xml:space="preserve">600 gp (3rd)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evocation
</t>
        </r>
        <r>
          <rPr>
            <b/>
            <sz val="12"/>
            <color indexed="81"/>
            <rFont val="Times New Roman"/>
            <family val="1"/>
          </rPr>
          <t xml:space="preserve">Activation:  </t>
        </r>
        <r>
          <rPr>
            <sz val="12"/>
            <color indexed="81"/>
            <rFont val="Times New Roman"/>
            <family val="1"/>
          </rPr>
          <t xml:space="preserve">Standard (manipulation)
</t>
        </r>
        <r>
          <rPr>
            <b/>
            <sz val="12"/>
            <color indexed="81"/>
            <rFont val="Times New Roman"/>
            <family val="1"/>
          </rPr>
          <t xml:space="preserve">Weight:  </t>
        </r>
        <r>
          <rPr>
            <sz val="12"/>
            <color indexed="81"/>
            <rFont val="Times New Roman"/>
            <family val="1"/>
          </rPr>
          <t>1 lb.
The thick metal soles of these dirt-brown boots are slightly wider than the vamp.  Brassy metal bands run from the sides of the soles to the tops.
When you stomp your feet and activate boots of stomping, you generate a 15’ long cone-shaped burst of psychokinetic force that travels along the ground, toppling creatures and loose objects.  The shock wave affects only creatures standing on the ground within the area.  Creatures that fail a DC 13 Reflex save are thrown to the ground, prone, and take 1d4 points of nonlethal damage.
MIC 78</t>
        </r>
      </text>
    </comment>
    <comment ref="A12" authorId="0" shapeId="0" xr:uid="{00000000-0006-0000-0500-000004000000}">
      <text>
        <r>
          <rPr>
            <sz val="12"/>
            <color indexed="81"/>
            <rFont val="Times New Roman"/>
            <family val="1"/>
          </rPr>
          <t>This item appears to be a normal cloak, but when worn by a character its magical properties distort and warp light waves. This displacement works similar to the displacement spell except that it only grants a 20% miss chance on attacks against the wearer. It functions continually.
DMG 253</t>
        </r>
      </text>
    </comment>
    <comment ref="A21" authorId="0" shapeId="0" xr:uid="{00000000-0006-0000-05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<sst xmlns="http://schemas.openxmlformats.org/spreadsheetml/2006/main" count="672" uniqueCount="311">
  <si>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</si>
  <si>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</si>
  <si>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</si>
  <si>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</si>
  <si>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</si>
  <si>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</si>
  <si>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</si>
  <si>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</si>
  <si>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</si>
  <si>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</si>
  <si>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</si>
  <si>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</si>
  <si>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</si>
  <si>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</si>
  <si>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</si>
  <si>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</si>
  <si>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</si>
  <si>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</si>
  <si>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</si>
  <si>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</si>
  <si>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</si>
  <si>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</si>
  <si>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</si>
  <si>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</si>
  <si>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</si>
  <si>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</si>
  <si>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</si>
  <si>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</si>
  <si>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</si>
  <si>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</si>
  <si>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</si>
  <si>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</si>
  <si>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</si>
  <si>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</si>
  <si>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</si>
  <si>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</si>
  <si>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</si>
  <si>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</si>
  <si>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</si>
  <si>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</si>
  <si>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</si>
  <si>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</si>
  <si>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</si>
  <si>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</si>
  <si>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</si>
  <si>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</si>
  <si>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</si>
  <si>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</si>
  <si>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</si>
  <si>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</si>
  <si>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</si>
  <si>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</si>
  <si>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</si>
  <si>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</si>
  <si>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</si>
  <si>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</si>
  <si>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</si>
  <si>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</si>
  <si>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</si>
  <si>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</si>
  <si>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</si>
  <si>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</si>
  <si>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</si>
  <si>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</si>
  <si>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</si>
  <si>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</si>
  <si>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</si>
  <si>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</si>
  <si>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</si>
  <si>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Atk</t>
  </si>
  <si>
    <t>Feats</t>
  </si>
  <si>
    <t>Simple &amp; Martial Weapons</t>
  </si>
  <si>
    <t>2</t>
  </si>
  <si>
    <t>1</t>
  </si>
  <si>
    <t>Slashing</t>
  </si>
  <si>
    <t>Backpack</t>
  </si>
  <si>
    <t>Roll</t>
  </si>
  <si>
    <t>Perform:  [type]</t>
  </si>
  <si>
    <t>Knowledge:  Arcana</t>
  </si>
  <si>
    <t>Explorer’s Outfit</t>
  </si>
  <si>
    <t>Belt Pouch</t>
  </si>
  <si>
    <t>eight</t>
  </si>
  <si>
    <t>30’</t>
  </si>
  <si>
    <t>Value</t>
  </si>
  <si>
    <t>Class Features</t>
  </si>
  <si>
    <t>Level</t>
  </si>
  <si>
    <t>-</t>
  </si>
  <si>
    <t>Duskblade</t>
  </si>
  <si>
    <t>Female</t>
  </si>
  <si>
    <t>Knowledge:  Dungeoneering</t>
  </si>
  <si>
    <t>Knowledge:  History</t>
  </si>
  <si>
    <t>Knowledge:  Local</t>
  </si>
  <si>
    <t>Knowledge:  Nature</t>
  </si>
  <si>
    <t>Knowledge:  The Planes</t>
  </si>
  <si>
    <t>Speak Language</t>
  </si>
  <si>
    <t>Duskblade 1</t>
  </si>
  <si>
    <t>Duskblade 2</t>
  </si>
  <si>
    <t>Duskblade 3</t>
  </si>
  <si>
    <t>Duskblade 4</t>
  </si>
  <si>
    <t>Common, Elven, Undercommon</t>
  </si>
  <si>
    <t>Racial Abilities</t>
  </si>
  <si>
    <t>Arcane Attunement, 6/day</t>
  </si>
  <si>
    <t>Armored Mage (Medium)</t>
  </si>
  <si>
    <t>Proficiencies</t>
  </si>
  <si>
    <t>Shields (not tower)</t>
  </si>
  <si>
    <t>Armor (all)</t>
  </si>
  <si>
    <t>DC</t>
  </si>
  <si>
    <t>Cast?</t>
  </si>
  <si>
    <t>-2</t>
  </si>
  <si>
    <t>Instant</t>
  </si>
  <si>
    <t>1 SA</t>
  </si>
  <si>
    <t>V S</t>
  </si>
  <si>
    <t>Evocation</t>
  </si>
  <si>
    <t>1 round</t>
  </si>
  <si>
    <t>Swift</t>
  </si>
  <si>
    <t>V S M</t>
  </si>
  <si>
    <t>1 rnd/lvl</t>
  </si>
  <si>
    <t>Touch</t>
  </si>
  <si>
    <t>Shocking Grasp</t>
  </si>
  <si>
    <t>25’ + 2½’/lvl</t>
  </si>
  <si>
    <t>Disrupt Undead</t>
  </si>
  <si>
    <t>Conjuration</t>
  </si>
  <si>
    <t>Duration</t>
  </si>
  <si>
    <t>Range</t>
  </si>
  <si>
    <t>Casting</t>
  </si>
  <si>
    <t>Components</t>
  </si>
  <si>
    <t>School</t>
  </si>
  <si>
    <t>Spell</t>
  </si>
  <si>
    <t>Spells</t>
  </si>
  <si>
    <t>PHB</t>
  </si>
  <si>
    <t>PHB II</t>
  </si>
  <si>
    <t>Reference</t>
  </si>
  <si>
    <t>Page</t>
  </si>
  <si>
    <t>Daze</t>
  </si>
  <si>
    <t>Enchantment</t>
  </si>
  <si>
    <t>Transmutation</t>
  </si>
  <si>
    <t>Dimension Hop</t>
  </si>
  <si>
    <t>V</t>
  </si>
  <si>
    <t>+2 vs. Enchantments</t>
  </si>
  <si>
    <t>Ranged Touch Attack</t>
  </si>
  <si>
    <t>varies</t>
  </si>
  <si>
    <t>+2 vs. Enchantments; +2 vs. all spells</t>
  </si>
  <si>
    <t>Necromancy</t>
  </si>
  <si>
    <t>Grapple</t>
  </si>
  <si>
    <t>Armored Mage (Hvy. Shld.)</t>
  </si>
  <si>
    <t>Duskblade 5</t>
  </si>
  <si>
    <t>Duskblade 6</t>
  </si>
  <si>
    <t>Duskblade 7</t>
  </si>
  <si>
    <t>Duskblade 8</t>
  </si>
  <si>
    <t>Total Equity:</t>
  </si>
  <si>
    <t>1st</t>
  </si>
  <si>
    <t>2nd</t>
  </si>
  <si>
    <t>3rd</t>
  </si>
  <si>
    <t>4th</t>
  </si>
  <si>
    <t>5th</t>
  </si>
  <si>
    <t>Swift Expeditious Retreat</t>
  </si>
  <si>
    <t>Acid Splash</t>
  </si>
  <si>
    <t>Touch of Fatigue</t>
  </si>
  <si>
    <t>Personal</t>
  </si>
  <si>
    <t>Complete Adventurer</t>
  </si>
  <si>
    <t>Divination</t>
  </si>
  <si>
    <t>10 min/lvl</t>
  </si>
  <si>
    <t>6th:  Improved Initiative</t>
  </si>
  <si>
    <t>Played by JR Roberts</t>
  </si>
  <si>
    <t>Heward’s Handy Haversack</t>
  </si>
  <si>
    <t>Healing Belt</t>
  </si>
  <si>
    <t>Treated as light armor</t>
  </si>
  <si>
    <t>9th:  Maximize Spell</t>
  </si>
  <si>
    <t>2nd:  Combat Casting</t>
  </si>
  <si>
    <t>1st:  Knowledge Devotion</t>
  </si>
  <si>
    <t>Duskblade 9</t>
  </si>
  <si>
    <t>Know Direction</t>
  </si>
  <si>
    <t>Chill Touch</t>
  </si>
  <si>
    <t>Feather Fall</t>
  </si>
  <si>
    <t>Free</t>
  </si>
  <si>
    <t>Barkskin</t>
  </si>
  <si>
    <t>Resist Energy</t>
  </si>
  <si>
    <t>Abjuration</t>
  </si>
  <si>
    <t>V S DF</t>
  </si>
  <si>
    <t>Duskblade 10</t>
  </si>
  <si>
    <t>Unarmed Punch/Kick</t>
  </si>
  <si>
    <t>1d4</t>
  </si>
  <si>
    <t>x2</t>
  </si>
  <si>
    <t>Bludgeon</t>
  </si>
  <si>
    <t>+5</t>
  </si>
  <si>
    <t>Unarmed, 2nd Attack</t>
  </si>
  <si>
    <t>Unarmed, 3rd Attack</t>
  </si>
  <si>
    <r>
      <t xml:space="preserve">Unarmed, </t>
    </r>
    <r>
      <rPr>
        <i/>
        <sz val="12"/>
        <rFont val="Times New Roman"/>
        <family val="1"/>
      </rPr>
      <t>haste</t>
    </r>
  </si>
  <si>
    <t>Overcome Spell Resistance</t>
  </si>
  <si>
    <t>Duskblade 11</t>
  </si>
  <si>
    <t>Stash:  Shipshape Way</t>
  </si>
  <si>
    <t>Critical Strike</t>
  </si>
  <si>
    <t>1 hour</t>
  </si>
  <si>
    <t>Dragon Magic</t>
  </si>
  <si>
    <t>Fly, Swift</t>
  </si>
  <si>
    <t>0th</t>
  </si>
  <si>
    <t>Total Daily Spells</t>
  </si>
  <si>
    <t>Caster Class</t>
  </si>
  <si>
    <t>CL</t>
  </si>
  <si>
    <t>Spell Effects</t>
  </si>
  <si>
    <t>Intelligence Bonus</t>
  </si>
  <si>
    <t>Daily Duskblade Spells</t>
  </si>
  <si>
    <t>Overcome SR (Spell Power)</t>
  </si>
  <si>
    <t>Spell Penetration</t>
  </si>
  <si>
    <t>Scrolls and Potions</t>
  </si>
  <si>
    <t>CLev</t>
  </si>
  <si>
    <t>Duskblade Spells</t>
  </si>
  <si>
    <t>Dagger</t>
  </si>
  <si>
    <t>Dagger, 2nd Attack</t>
  </si>
  <si>
    <t>Dagger, 3rd Attack</t>
  </si>
  <si>
    <t>19-20, x2</t>
  </si>
  <si>
    <t>Prcg/Slash</t>
  </si>
  <si>
    <r>
      <t xml:space="preserve">Dagger, </t>
    </r>
    <r>
      <rPr>
        <i/>
        <sz val="12"/>
        <rFont val="Times New Roman"/>
        <family val="1"/>
      </rPr>
      <t>haste</t>
    </r>
  </si>
  <si>
    <t>Skill/Save</t>
  </si>
  <si>
    <t>Detect Magic &amp; Read Magic</t>
  </si>
  <si>
    <r>
      <t xml:space="preserve">+2 vs. Enchantments; +1 </t>
    </r>
    <r>
      <rPr>
        <i/>
        <sz val="13"/>
        <rFont val="Times New Roman"/>
        <family val="1"/>
      </rPr>
      <t>haste</t>
    </r>
  </si>
  <si>
    <t>Arcane Channeling (full attack)</t>
  </si>
  <si>
    <t>Race</t>
  </si>
  <si>
    <t>Class</t>
  </si>
  <si>
    <t>Region</t>
  </si>
  <si>
    <t>Deity</t>
  </si>
  <si>
    <t>Alignment</t>
  </si>
  <si>
    <t>Attack Bonus</t>
  </si>
  <si>
    <t>Initiative</t>
  </si>
  <si>
    <t>Strength</t>
  </si>
  <si>
    <t>Dexterity</t>
  </si>
  <si>
    <t>Constitution</t>
  </si>
  <si>
    <t>Intelligence</t>
  </si>
  <si>
    <t>Wisdom</t>
  </si>
  <si>
    <t>Charisma</t>
  </si>
  <si>
    <t>Sex</t>
  </si>
  <si>
    <t>Age</t>
  </si>
  <si>
    <t>Height</t>
  </si>
  <si>
    <t>Weight</t>
  </si>
  <si>
    <t>Base Speed</t>
  </si>
  <si>
    <t>Actual Speed</t>
  </si>
  <si>
    <t>Lb. Capacity</t>
  </si>
  <si>
    <t>Lb. Carried</t>
  </si>
  <si>
    <t>Hit Points</t>
  </si>
  <si>
    <t>Touch AC</t>
  </si>
  <si>
    <t>FF AC</t>
  </si>
  <si>
    <t>AC</t>
  </si>
  <si>
    <t>Elaith</t>
  </si>
  <si>
    <t>Half-elf</t>
  </si>
  <si>
    <r>
      <t>100</t>
    </r>
    <r>
      <rPr>
        <sz val="13"/>
        <rFont val="Times New Roman"/>
        <family val="1"/>
      </rPr>
      <t>/</t>
    </r>
    <r>
      <rPr>
        <sz val="13"/>
        <color indexed="51"/>
        <rFont val="Times New Roman"/>
        <family val="1"/>
      </rPr>
      <t>200</t>
    </r>
    <r>
      <rPr>
        <sz val="13"/>
        <rFont val="Times New Roman"/>
        <family val="1"/>
      </rPr>
      <t>/</t>
    </r>
    <r>
      <rPr>
        <sz val="13"/>
        <color indexed="10"/>
        <rFont val="Times New Roman"/>
        <family val="1"/>
      </rPr>
      <t>300</t>
    </r>
  </si>
  <si>
    <t>Profession</t>
  </si>
  <si>
    <t>3rd:  Combat Reflexes</t>
  </si>
  <si>
    <t>Soul of Anarchy</t>
  </si>
  <si>
    <t>+2 versus Enchantment</t>
  </si>
  <si>
    <t>Immunity to Sleep</t>
  </si>
  <si>
    <t>Low-light Vision</t>
  </si>
  <si>
    <t>2d6</t>
  </si>
  <si>
    <t>19-20/x2</t>
  </si>
  <si>
    <t>Restful Crystal</t>
  </si>
  <si>
    <t>Bracers of Quick Strike</t>
  </si>
  <si>
    <t>Everlund</t>
  </si>
  <si>
    <t>Red Knight</t>
  </si>
  <si>
    <t>5’ 7”</t>
  </si>
  <si>
    <t>135 lbs.</t>
  </si>
  <si>
    <t>Lawful Neutral</t>
  </si>
  <si>
    <t>Haste</t>
  </si>
  <si>
    <t>Dispel Magic</t>
  </si>
  <si>
    <t>100’ + 10’/lvl</t>
  </si>
  <si>
    <t>Fire Shield</t>
  </si>
  <si>
    <t>V S M/DF</t>
  </si>
  <si>
    <t>+1 to touch spells</t>
  </si>
  <si>
    <r>
      <rPr>
        <b/>
        <i/>
        <sz val="18"/>
        <color rgb="FF9966FF"/>
        <rFont val="Times New Roman"/>
        <family val="1"/>
      </rPr>
      <t xml:space="preserve">Minimum </t>
    </r>
    <r>
      <rPr>
        <i/>
        <sz val="18"/>
        <color rgb="FF9966FF"/>
        <rFont val="Times New Roman"/>
        <family val="1"/>
      </rPr>
      <t>Known Spells</t>
    </r>
  </si>
  <si>
    <t>Bull’s Strength</t>
  </si>
  <si>
    <t>1 min/lvl</t>
  </si>
  <si>
    <t>Wracking Touch</t>
  </si>
  <si>
    <t>Keen Edge</t>
  </si>
  <si>
    <t>Vampiric Touch</t>
  </si>
  <si>
    <t>special</t>
  </si>
  <si>
    <t>Greatsword +2, 2nd Attack</t>
  </si>
  <si>
    <t>Greatsword +2, 3rd Attack</t>
  </si>
  <si>
    <t>Mithral Chain Shirt +3</t>
  </si>
  <si>
    <t>Ring of Protection +2</t>
  </si>
  <si>
    <t>Hellcat Gauntlets</t>
  </si>
  <si>
    <t>Shattermantle Greatsword +2</t>
  </si>
  <si>
    <t>Greater Crystal of Arcane Steel</t>
  </si>
  <si>
    <t>+1</t>
  </si>
  <si>
    <t>+1 to spell DC</t>
  </si>
  <si>
    <t>Bracers of Armor +5</t>
  </si>
  <si>
    <t>Ring of Feather Falling</t>
  </si>
  <si>
    <t>Boots of Stomping</t>
  </si>
  <si>
    <t>Vest of Resistance +1</t>
  </si>
  <si>
    <t>Greater Truedeath Crystal</t>
  </si>
  <si>
    <t>1d6</t>
  </si>
  <si>
    <t>vs.</t>
  </si>
  <si>
    <t>undead</t>
  </si>
  <si>
    <t>Minor Cloak of Displacement</t>
  </si>
  <si>
    <t>Duskblade 12</t>
  </si>
  <si>
    <t>Spell Power +3</t>
  </si>
  <si>
    <t>Bedroll</t>
  </si>
  <si>
    <t>Personal Grooming Kit</t>
  </si>
  <si>
    <t>Night Clothes</t>
  </si>
  <si>
    <t>2-yd Bolt of Linen Cloth (for Rags or Towels)</t>
  </si>
  <si>
    <t>Large Canteen</t>
  </si>
  <si>
    <t>1 gallon</t>
  </si>
  <si>
    <t>50’ Rope</t>
  </si>
  <si>
    <t>Traveler’s Outfit</t>
  </si>
  <si>
    <t>Craft:  Blacksmith</t>
  </si>
  <si>
    <t>5th:  Quick Cast 2/day</t>
  </si>
  <si>
    <t>Trail Rations</t>
  </si>
  <si>
    <t>Iron Pitons</t>
  </si>
  <si>
    <t>Climber’s Kit</t>
  </si>
  <si>
    <r>
      <t xml:space="preserve">Greatsword +2, </t>
    </r>
    <r>
      <rPr>
        <i/>
        <sz val="12"/>
        <rFont val="Times New Roman"/>
        <family val="1"/>
      </rPr>
      <t>haste</t>
    </r>
  </si>
  <si>
    <t>Duskblade 13</t>
  </si>
  <si>
    <t>Duskblade 14</t>
  </si>
  <si>
    <t>Scout’s Headband</t>
  </si>
  <si>
    <t>Third Eye Surge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</si>
</sst>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9">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1"/>
      <color indexed="12"/>
      <name val="Times New Roman"/>
      <family val="1"/>
    </font>
    <font>
      <i/>
      <sz val="12"/>
      <color indexed="81"/>
      <name val="Times New Roman"/>
      <family val="1"/>
    </font>
    <font>
      <i/>
      <sz val="18"/>
      <color rgb="FF0000FF"/>
      <name val="Times New Roman"/>
      <family val="1"/>
    </font>
    <font>
      <b/>
      <sz val="12"/>
      <color theme="1"/>
      <name val="Times New Roman"/>
      <family val="1"/>
    </font>
    <font>
      <i/>
      <sz val="16"/>
      <color indexed="53"/>
      <name val="Times New Roman"/>
      <family val="1"/>
    </font>
    <font>
      <i/>
      <sz val="16"/>
      <color indexed="17"/>
      <name val="Times New Roman"/>
      <family val="1"/>
    </font>
    <font>
      <i/>
      <sz val="16"/>
      <color indexed="10"/>
      <name val="Times New Roman"/>
      <family val="1"/>
    </font>
    <font>
      <i/>
      <sz val="16"/>
      <color indexed="57"/>
      <name val="Times New Roman"/>
      <family val="1"/>
    </font>
    <font>
      <i/>
      <sz val="17"/>
      <name val="Times New Roman"/>
      <family val="1"/>
    </font>
    <font>
      <sz val="13"/>
      <color rgb="FF0000FF"/>
      <name val="Times New Roman"/>
      <family val="1"/>
    </font>
    <font>
      <b/>
      <sz val="12"/>
      <color rgb="FFFF0000"/>
      <name val="Times New Roman"/>
      <family val="1"/>
    </font>
    <font>
      <i/>
      <sz val="12"/>
      <name val="Times New Roman"/>
      <family val="1"/>
    </font>
    <font>
      <b/>
      <sz val="12"/>
      <color theme="0"/>
      <name val="Times New Roman"/>
      <family val="1"/>
    </font>
    <font>
      <i/>
      <sz val="18"/>
      <color rgb="FF7030A0"/>
      <name val="Times New Roman"/>
      <family val="1"/>
    </font>
    <font>
      <sz val="13"/>
      <color rgb="FF7030A0"/>
      <name val="Times New Roman"/>
      <family val="1"/>
    </font>
    <font>
      <i/>
      <sz val="22"/>
      <color rgb="FF9966FF"/>
      <name val="Times New Roman"/>
      <family val="1"/>
    </font>
    <font>
      <i/>
      <sz val="12"/>
      <color rgb="FF00FFFF"/>
      <name val="Times New Roman"/>
      <family val="1"/>
    </font>
    <font>
      <i/>
      <sz val="13"/>
      <name val="Times New Roman"/>
      <family val="1"/>
    </font>
    <font>
      <b/>
      <sz val="12"/>
      <color rgb="FF9966FF"/>
      <name val="Times New Roman"/>
      <family val="1"/>
    </font>
    <font>
      <sz val="12"/>
      <color rgb="FF9966FF"/>
      <name val="Times New Roman"/>
      <family val="1"/>
    </font>
    <font>
      <i/>
      <sz val="18"/>
      <color rgb="FF9966FF"/>
      <name val="Times New Roman"/>
      <family val="1"/>
    </font>
    <font>
      <b/>
      <i/>
      <sz val="18"/>
      <color rgb="FF9966FF"/>
      <name val="Times New Roman"/>
      <family val="1"/>
    </font>
    <font>
      <i/>
      <sz val="16"/>
      <color rgb="FF9966FF"/>
      <name val="Times New Roman"/>
      <family val="1"/>
    </font>
  </fonts>
  <fills count="1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9966FF"/>
        <bgColor indexed="64"/>
      </patternFill>
    </fill>
    <fill>
      <patternFill patternType="solid">
        <fgColor theme="0"/>
        <bgColor indexed="64"/>
      </patternFill>
    </fill>
  </fills>
  <borders count="14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medium">
        <color indexed="64"/>
      </top>
      <bottom style="hair">
        <color indexed="64"/>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double">
        <color auto="1"/>
      </left>
      <right style="medium">
        <color auto="1"/>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style="medium">
        <color auto="1"/>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style="medium">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double">
        <color indexed="64"/>
      </right>
      <top style="thin">
        <color auto="1"/>
      </top>
      <bottom style="medium">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diagonal/>
    </border>
    <border>
      <left/>
      <right style="hair">
        <color indexed="64"/>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9" fontId="1" fillId="0" borderId="0" applyFont="0" applyFill="0" applyBorder="0" applyAlignment="0" applyProtection="0"/>
    <xf numFmtId="0" fontId="1" fillId="0" borderId="0"/>
  </cellStyleXfs>
  <cellXfs count="557">
    <xf numFmtId="0" fontId="0" fillId="0" borderId="0" xfId="0"/>
    <xf numFmtId="0" fontId="11" fillId="3" borderId="32" xfId="0" applyFont="1" applyFill="1" applyBorder="1" applyAlignment="1">
      <alignment horizontal="center" vertical="center" wrapText="1"/>
    </xf>
    <xf numFmtId="1" fontId="1" fillId="0" borderId="70" xfId="0" applyNumberFormat="1" applyFont="1" applyBorder="1" applyAlignment="1">
      <alignment horizontal="center" vertical="center"/>
    </xf>
    <xf numFmtId="0" fontId="1" fillId="0" borderId="7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49" fontId="1" fillId="0" borderId="70" xfId="2" applyNumberFormat="1" applyFont="1" applyFill="1" applyBorder="1" applyAlignment="1">
      <alignment horizontal="center" vertical="center"/>
    </xf>
    <xf numFmtId="0" fontId="1" fillId="0" borderId="70" xfId="0" applyFont="1" applyFill="1" applyBorder="1" applyAlignment="1">
      <alignment horizontal="center" vertical="center" shrinkToFit="1"/>
    </xf>
    <xf numFmtId="164" fontId="1" fillId="0" borderId="70" xfId="0" applyNumberFormat="1" applyFont="1" applyFill="1" applyBorder="1" applyAlignment="1">
      <alignment horizontal="center" vertical="center"/>
    </xf>
    <xf numFmtId="1" fontId="45" fillId="9" borderId="72" xfId="0" applyNumberFormat="1" applyFont="1" applyFill="1" applyBorder="1" applyAlignment="1">
      <alignment horizontal="center" vertical="center"/>
    </xf>
    <xf numFmtId="164" fontId="4" fillId="0" borderId="72" xfId="0" applyNumberFormat="1" applyFont="1" applyFill="1" applyBorder="1" applyAlignment="1">
      <alignment horizontal="center"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4" borderId="65" xfId="0" applyFont="1" applyFill="1" applyBorder="1" applyAlignment="1">
      <alignment horizontal="right" vertical="center"/>
    </xf>
    <xf numFmtId="0" fontId="5" fillId="4" borderId="79" xfId="0" applyFont="1" applyFill="1" applyBorder="1" applyAlignment="1">
      <alignment horizontal="right" vertical="center"/>
    </xf>
    <xf numFmtId="49" fontId="6" fillId="0" borderId="68" xfId="0" applyNumberFormat="1" applyFont="1" applyFill="1" applyBorder="1" applyAlignment="1">
      <alignment horizontal="center" vertical="center"/>
    </xf>
    <xf numFmtId="0" fontId="6" fillId="0" borderId="0" xfId="0" applyFont="1" applyBorder="1" applyAlignment="1">
      <alignment horizontal="left" vertical="center"/>
    </xf>
    <xf numFmtId="0" fontId="7" fillId="2" borderId="13" xfId="0" applyFont="1" applyFill="1" applyBorder="1" applyAlignment="1">
      <alignment horizontal="right" vertical="center"/>
    </xf>
    <xf numFmtId="0" fontId="7" fillId="4" borderId="57" xfId="0" applyFont="1" applyFill="1" applyBorder="1" applyAlignment="1">
      <alignment horizontal="right" vertical="center"/>
    </xf>
    <xf numFmtId="0" fontId="12" fillId="2" borderId="4" xfId="0" applyFont="1" applyFill="1" applyBorder="1" applyAlignment="1">
      <alignment horizontal="right" vertical="center"/>
    </xf>
    <xf numFmtId="0" fontId="7" fillId="4" borderId="55" xfId="0" applyFont="1" applyFill="1" applyBorder="1" applyAlignment="1">
      <alignment horizontal="right" vertical="center"/>
    </xf>
    <xf numFmtId="164" fontId="5" fillId="5" borderId="26"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5" fillId="0" borderId="25" xfId="0" applyFont="1" applyBorder="1" applyAlignment="1">
      <alignment horizontal="center" vertical="center"/>
    </xf>
    <xf numFmtId="0" fontId="36" fillId="2" borderId="4" xfId="0" applyFont="1" applyFill="1" applyBorder="1" applyAlignment="1">
      <alignment horizontal="right" vertical="center"/>
    </xf>
    <xf numFmtId="0" fontId="10" fillId="4" borderId="55"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10" fillId="4" borderId="56"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vertical="center" wrapText="1"/>
    </xf>
    <xf numFmtId="0" fontId="37" fillId="0" borderId="30"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8" xfId="0" applyFont="1" applyFill="1" applyBorder="1" applyAlignment="1">
      <alignment horizontal="centerContinuous" vertical="center"/>
    </xf>
    <xf numFmtId="0" fontId="2" fillId="0" borderId="0" xfId="0" applyFont="1" applyBorder="1" applyAlignment="1">
      <alignment horizontal="centerContinuous"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19" xfId="0" applyFont="1" applyFill="1" applyBorder="1" applyAlignment="1">
      <alignment horizontal="center" vertical="center"/>
    </xf>
    <xf numFmtId="0" fontId="44" fillId="9" borderId="19"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27" xfId="0" applyFont="1" applyFill="1" applyBorder="1" applyAlignment="1">
      <alignment horizontal="center" vertical="center"/>
    </xf>
    <xf numFmtId="1" fontId="1" fillId="0" borderId="52"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19" xfId="0" applyFont="1" applyFill="1" applyBorder="1" applyAlignment="1">
      <alignment horizontal="centerContinuous" vertical="center"/>
    </xf>
    <xf numFmtId="0" fontId="20" fillId="7" borderId="69" xfId="0" applyFont="1" applyFill="1" applyBorder="1" applyAlignment="1">
      <alignment horizontal="centerContinuous" vertical="center"/>
    </xf>
    <xf numFmtId="0" fontId="20" fillId="7" borderId="54" xfId="0" applyFont="1" applyFill="1" applyBorder="1" applyAlignment="1">
      <alignment horizontal="centerContinuous" vertical="center"/>
    </xf>
    <xf numFmtId="164" fontId="4" fillId="0" borderId="11" xfId="0" applyNumberFormat="1" applyFont="1" applyFill="1" applyBorder="1" applyAlignment="1">
      <alignment horizontal="center" vertical="center"/>
    </xf>
    <xf numFmtId="164" fontId="2" fillId="0" borderId="0" xfId="0" applyNumberFormat="1" applyFont="1" applyBorder="1" applyAlignment="1">
      <alignment horizontal="centerContinuous" vertical="center"/>
    </xf>
    <xf numFmtId="0" fontId="20" fillId="3" borderId="31" xfId="0" applyFont="1" applyFill="1" applyBorder="1" applyAlignment="1">
      <alignment horizontal="center" vertical="center"/>
    </xf>
    <xf numFmtId="164" fontId="20" fillId="3" borderId="32" xfId="0" applyNumberFormat="1" applyFont="1" applyFill="1" applyBorder="1" applyAlignment="1">
      <alignment horizontal="center" vertical="center"/>
    </xf>
    <xf numFmtId="0" fontId="20" fillId="3" borderId="31" xfId="0" applyFont="1" applyFill="1" applyBorder="1" applyAlignment="1">
      <alignment horizontal="right" vertical="center"/>
    </xf>
    <xf numFmtId="0" fontId="20" fillId="3" borderId="33" xfId="0" applyFont="1" applyFill="1" applyBorder="1" applyAlignment="1">
      <alignment vertical="center"/>
    </xf>
    <xf numFmtId="164" fontId="20" fillId="3" borderId="27" xfId="0" applyNumberFormat="1" applyFont="1" applyFill="1" applyBorder="1" applyAlignment="1">
      <alignment horizontal="center" vertical="center"/>
    </xf>
    <xf numFmtId="0" fontId="1" fillId="0" borderId="34" xfId="0" applyFont="1" applyBorder="1" applyAlignment="1">
      <alignment horizontal="center" vertical="center" shrinkToFit="1"/>
    </xf>
    <xf numFmtId="1" fontId="1" fillId="0" borderId="35" xfId="0" applyNumberFormat="1" applyFont="1" applyBorder="1" applyAlignment="1">
      <alignment horizontal="center" vertical="center" shrinkToFit="1"/>
    </xf>
    <xf numFmtId="164" fontId="1" fillId="0" borderId="35" xfId="0" applyNumberFormat="1" applyFont="1" applyBorder="1" applyAlignment="1">
      <alignment horizontal="center" vertical="center" shrinkToFit="1"/>
    </xf>
    <xf numFmtId="0" fontId="4" fillId="0" borderId="36" xfId="0" applyFont="1" applyBorder="1" applyAlignment="1">
      <alignment horizontal="left" vertical="center"/>
    </xf>
    <xf numFmtId="0" fontId="4" fillId="0" borderId="37" xfId="0" applyFont="1" applyBorder="1" applyAlignment="1">
      <alignment horizontal="left" vertical="center" shrinkToFit="1"/>
    </xf>
    <xf numFmtId="1" fontId="4" fillId="0" borderId="35" xfId="0" applyNumberFormat="1" applyFont="1" applyBorder="1" applyAlignment="1">
      <alignment horizontal="center" vertical="center" shrinkToFit="1"/>
    </xf>
    <xf numFmtId="164" fontId="4" fillId="0" borderId="35" xfId="0" applyNumberFormat="1" applyFont="1" applyBorder="1" applyAlignment="1">
      <alignment horizontal="center" vertical="center" shrinkToFit="1"/>
    </xf>
    <xf numFmtId="0" fontId="1" fillId="0" borderId="42" xfId="0" applyFont="1" applyBorder="1" applyAlignment="1">
      <alignment horizontal="center" vertical="center" shrinkToFit="1"/>
    </xf>
    <xf numFmtId="1" fontId="4" fillId="0" borderId="43" xfId="0" applyNumberFormat="1" applyFont="1" applyBorder="1" applyAlignment="1">
      <alignment horizontal="center" vertical="center" shrinkToFit="1"/>
    </xf>
    <xf numFmtId="164" fontId="4" fillId="0" borderId="43"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5"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38" xfId="0" applyFont="1" applyBorder="1" applyAlignment="1">
      <alignment horizontal="center" vertical="center" shrinkToFit="1"/>
    </xf>
    <xf numFmtId="1" fontId="1" fillId="0" borderId="39" xfId="0" applyNumberFormat="1"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4" fillId="0" borderId="40" xfId="0" applyFont="1" applyBorder="1" applyAlignment="1">
      <alignment horizontal="left" vertical="center"/>
    </xf>
    <xf numFmtId="0" fontId="1" fillId="0" borderId="40" xfId="0" applyFont="1" applyBorder="1" applyAlignment="1">
      <alignment horizontal="left" vertical="center"/>
    </xf>
    <xf numFmtId="0" fontId="4" fillId="0" borderId="41" xfId="0" applyFont="1" applyBorder="1" applyAlignment="1">
      <alignment horizontal="left" vertical="center" shrinkToFit="1"/>
    </xf>
    <xf numFmtId="0" fontId="1" fillId="0" borderId="44" xfId="0" applyFont="1" applyBorder="1" applyAlignment="1">
      <alignment horizontal="left" vertical="center"/>
    </xf>
    <xf numFmtId="0" fontId="2" fillId="0" borderId="0" xfId="0" applyFont="1" applyBorder="1" applyAlignment="1">
      <alignment vertical="center"/>
    </xf>
    <xf numFmtId="1" fontId="20" fillId="3" borderId="31" xfId="0" applyNumberFormat="1" applyFont="1" applyFill="1" applyBorder="1" applyAlignment="1">
      <alignment horizontal="center" vertical="center"/>
    </xf>
    <xf numFmtId="0" fontId="4" fillId="0" borderId="47" xfId="0" applyFont="1" applyBorder="1" applyAlignment="1">
      <alignment horizontal="center" vertical="center" shrinkToFit="1"/>
    </xf>
    <xf numFmtId="1" fontId="4" fillId="0" borderId="48" xfId="0" applyNumberFormat="1" applyFont="1" applyBorder="1" applyAlignment="1">
      <alignment horizontal="center" vertical="center" shrinkToFit="1"/>
    </xf>
    <xf numFmtId="164" fontId="4" fillId="0" borderId="48" xfId="0" applyNumberFormat="1" applyFont="1" applyBorder="1" applyAlignment="1">
      <alignment horizontal="center" vertical="center" shrinkToFit="1"/>
    </xf>
    <xf numFmtId="1" fontId="4" fillId="0" borderId="49" xfId="0" applyNumberFormat="1" applyFont="1" applyBorder="1" applyAlignment="1">
      <alignment horizontal="center" vertical="center" shrinkToFit="1"/>
    </xf>
    <xf numFmtId="164" fontId="4" fillId="0" borderId="49" xfId="0" applyNumberFormat="1" applyFont="1" applyBorder="1" applyAlignment="1">
      <alignment horizontal="center" vertical="center" shrinkToFit="1"/>
    </xf>
    <xf numFmtId="0" fontId="4" fillId="0" borderId="50" xfId="0" applyFont="1" applyBorder="1" applyAlignment="1">
      <alignment horizontal="left" vertical="center"/>
    </xf>
    <xf numFmtId="0" fontId="4" fillId="0" borderId="46" xfId="0" applyFont="1" applyBorder="1" applyAlignment="1">
      <alignment horizontal="left" vertical="center" shrinkToFit="1"/>
    </xf>
    <xf numFmtId="0" fontId="4" fillId="0" borderId="42" xfId="0" applyFont="1" applyBorder="1" applyAlignment="1">
      <alignment horizontal="center" vertical="center" shrinkToFit="1"/>
    </xf>
    <xf numFmtId="1" fontId="4" fillId="0" borderId="0" xfId="0" applyNumberFormat="1" applyFont="1" applyBorder="1" applyAlignment="1">
      <alignment horizontal="center" vertical="center"/>
    </xf>
    <xf numFmtId="0" fontId="4" fillId="0" borderId="34" xfId="0" applyFont="1" applyBorder="1" applyAlignment="1">
      <alignment horizontal="center" vertical="center" shrinkToFit="1"/>
    </xf>
    <xf numFmtId="1" fontId="4" fillId="0" borderId="0" xfId="0" applyNumberFormat="1" applyFont="1" applyBorder="1" applyAlignment="1">
      <alignment vertical="center"/>
    </xf>
    <xf numFmtId="0" fontId="19" fillId="2" borderId="83" xfId="0" applyFont="1" applyFill="1" applyBorder="1" applyAlignment="1">
      <alignment horizontal="left" vertical="center"/>
    </xf>
    <xf numFmtId="0" fontId="3" fillId="2" borderId="83" xfId="0" applyFont="1" applyFill="1" applyBorder="1" applyAlignment="1">
      <alignment horizontal="centerContinuous" vertical="center"/>
    </xf>
    <xf numFmtId="49" fontId="16" fillId="0" borderId="28" xfId="0" applyNumberFormat="1" applyFont="1" applyBorder="1" applyAlignment="1">
      <alignment horizontal="center" shrinkToFit="1"/>
    </xf>
    <xf numFmtId="0" fontId="4" fillId="0" borderId="85" xfId="0" applyFont="1" applyFill="1" applyBorder="1" applyAlignment="1">
      <alignment horizontal="center" vertical="center"/>
    </xf>
    <xf numFmtId="0" fontId="20" fillId="7" borderId="65" xfId="0" applyFont="1" applyFill="1" applyBorder="1" applyAlignment="1">
      <alignment horizontal="centerContinuous" vertical="center"/>
    </xf>
    <xf numFmtId="0" fontId="20" fillId="7" borderId="66" xfId="0" applyFont="1" applyFill="1" applyBorder="1" applyAlignment="1">
      <alignment horizontal="centerContinuous" vertical="center"/>
    </xf>
    <xf numFmtId="0" fontId="20" fillId="7" borderId="66" xfId="0" applyFont="1" applyFill="1" applyBorder="1" applyAlignment="1">
      <alignment horizontal="center" vertical="center"/>
    </xf>
    <xf numFmtId="0" fontId="4" fillId="0" borderId="11" xfId="0" applyFont="1" applyFill="1" applyBorder="1" applyAlignment="1">
      <alignment horizontal="centerContinuous" vertical="center"/>
    </xf>
    <xf numFmtId="49" fontId="1" fillId="0" borderId="11" xfId="0" applyNumberFormat="1" applyFont="1" applyFill="1" applyBorder="1" applyAlignment="1">
      <alignment horizontal="center" vertical="center"/>
    </xf>
    <xf numFmtId="0" fontId="20" fillId="7" borderId="86" xfId="0" applyFont="1" applyFill="1" applyBorder="1" applyAlignment="1">
      <alignment horizontal="centerContinuous" vertical="center"/>
    </xf>
    <xf numFmtId="0" fontId="20" fillId="7" borderId="87" xfId="0" applyFont="1" applyFill="1" applyBorder="1" applyAlignment="1">
      <alignment horizontal="centerContinuous" vertical="center"/>
    </xf>
    <xf numFmtId="0" fontId="20" fillId="7" borderId="88" xfId="0" applyFont="1" applyFill="1" applyBorder="1" applyAlignment="1">
      <alignment horizontal="center" vertical="center"/>
    </xf>
    <xf numFmtId="164" fontId="1" fillId="0" borderId="21" xfId="0" applyNumberFormat="1" applyFont="1" applyFill="1" applyBorder="1" applyAlignment="1">
      <alignment horizontal="centerContinuous" vertical="center"/>
    </xf>
    <xf numFmtId="164" fontId="4" fillId="0" borderId="89" xfId="0" applyNumberFormat="1" applyFont="1" applyBorder="1" applyAlignment="1">
      <alignment horizontal="centerContinuous" vertical="center"/>
    </xf>
    <xf numFmtId="0" fontId="1" fillId="0" borderId="0" xfId="5" applyFont="1" applyBorder="1" applyAlignment="1">
      <alignment wrapText="1"/>
    </xf>
    <xf numFmtId="0" fontId="3" fillId="0" borderId="0" xfId="5" applyFont="1" applyBorder="1" applyAlignment="1">
      <alignment horizontal="right" wrapText="1"/>
    </xf>
    <xf numFmtId="0" fontId="1" fillId="0" borderId="0" xfId="5" applyFont="1" applyBorder="1" applyAlignment="1">
      <alignment horizontal="left" wrapText="1"/>
    </xf>
    <xf numFmtId="0" fontId="1" fillId="0" borderId="0" xfId="5" applyNumberFormat="1" applyFont="1" applyBorder="1" applyAlignment="1">
      <alignment horizontal="left" wrapText="1"/>
    </xf>
    <xf numFmtId="0" fontId="6" fillId="0" borderId="63" xfId="5" applyFont="1" applyBorder="1" applyAlignment="1">
      <alignment horizontal="center" wrapText="1"/>
    </xf>
    <xf numFmtId="0" fontId="6" fillId="0" borderId="23" xfId="2" applyNumberFormat="1" applyFont="1" applyFill="1" applyBorder="1" applyAlignment="1">
      <alignment horizontal="center" shrinkToFit="1"/>
    </xf>
    <xf numFmtId="9" fontId="6" fillId="0" borderId="23" xfId="2" applyFont="1" applyFill="1" applyBorder="1" applyAlignment="1">
      <alignment horizontal="center" vertical="center" shrinkToFit="1"/>
    </xf>
    <xf numFmtId="9" fontId="6" fillId="0" borderId="22" xfId="2" applyFont="1" applyFill="1" applyBorder="1" applyAlignment="1">
      <alignment horizontal="center" shrinkToFit="1"/>
    </xf>
    <xf numFmtId="0" fontId="6" fillId="0" borderId="22" xfId="5" applyFont="1" applyFill="1" applyBorder="1" applyAlignment="1">
      <alignment horizontal="center" wrapText="1"/>
    </xf>
    <xf numFmtId="0" fontId="6" fillId="0" borderId="23" xfId="2" applyNumberFormat="1" applyFont="1" applyBorder="1" applyAlignment="1">
      <alignment horizontal="center" shrinkToFit="1"/>
    </xf>
    <xf numFmtId="9" fontId="6" fillId="0" borderId="23" xfId="2" applyFont="1" applyBorder="1" applyAlignment="1">
      <alignment horizontal="center" shrinkToFit="1"/>
    </xf>
    <xf numFmtId="9" fontId="6" fillId="0" borderId="22" xfId="2" applyFont="1" applyBorder="1" applyAlignment="1">
      <alignment horizontal="center" shrinkToFit="1"/>
    </xf>
    <xf numFmtId="0" fontId="6" fillId="0" borderId="22" xfId="5" applyFont="1" applyBorder="1" applyAlignment="1">
      <alignment horizontal="center" wrapText="1"/>
    </xf>
    <xf numFmtId="0" fontId="3" fillId="0" borderId="0" xfId="5" applyFont="1" applyBorder="1" applyAlignment="1">
      <alignment wrapText="1"/>
    </xf>
    <xf numFmtId="0" fontId="15" fillId="0" borderId="0" xfId="5" applyFont="1" applyBorder="1" applyAlignment="1">
      <alignment horizontal="centerContinuous" wrapText="1"/>
    </xf>
    <xf numFmtId="0" fontId="15" fillId="0" borderId="0" xfId="5" applyNumberFormat="1" applyFont="1" applyBorder="1" applyAlignment="1">
      <alignment horizontal="centerContinuous" wrapText="1"/>
    </xf>
    <xf numFmtId="0" fontId="6" fillId="0" borderId="23" xfId="2" applyNumberFormat="1" applyFont="1" applyFill="1" applyBorder="1" applyAlignment="1">
      <alignment horizontal="center" vertical="center" shrinkToFit="1"/>
    </xf>
    <xf numFmtId="0" fontId="6" fillId="0" borderId="24" xfId="0" applyNumberFormat="1" applyFont="1" applyFill="1" applyBorder="1" applyAlignment="1">
      <alignment horizontal="center" vertical="center" wrapText="1"/>
    </xf>
    <xf numFmtId="0" fontId="6" fillId="0" borderId="14" xfId="2" applyNumberFormat="1" applyFont="1" applyFill="1" applyBorder="1" applyAlignment="1">
      <alignment horizontal="center" vertical="center" shrinkToFit="1"/>
    </xf>
    <xf numFmtId="0" fontId="6" fillId="0" borderId="28" xfId="0" applyNumberFormat="1" applyFont="1" applyFill="1" applyBorder="1" applyAlignment="1">
      <alignment horizontal="center" vertical="center" wrapText="1"/>
    </xf>
    <xf numFmtId="0" fontId="6" fillId="0" borderId="0" xfId="0" applyFont="1" applyBorder="1" applyAlignment="1">
      <alignment horizontal="centerContinuous" vertical="center"/>
    </xf>
    <xf numFmtId="0" fontId="1" fillId="0" borderId="71" xfId="0" applyFont="1" applyFill="1" applyBorder="1" applyAlignment="1">
      <alignment horizontal="center" vertical="center"/>
    </xf>
    <xf numFmtId="0" fontId="1" fillId="0" borderId="15" xfId="0" applyFont="1" applyBorder="1" applyAlignment="1">
      <alignment horizontal="center" vertical="center"/>
    </xf>
    <xf numFmtId="0" fontId="1" fillId="0" borderId="51" xfId="0" applyFont="1" applyBorder="1" applyAlignment="1">
      <alignment horizontal="center" vertical="center"/>
    </xf>
    <xf numFmtId="164" fontId="1" fillId="0" borderId="51" xfId="0" applyNumberFormat="1" applyFont="1" applyBorder="1" applyAlignment="1">
      <alignment horizontal="center" vertical="center"/>
    </xf>
    <xf numFmtId="1" fontId="45" fillId="9" borderId="52" xfId="0" applyNumberFormat="1" applyFont="1" applyFill="1" applyBorder="1" applyAlignment="1">
      <alignment horizontal="center" vertical="center"/>
    </xf>
    <xf numFmtId="1" fontId="45" fillId="9" borderId="23" xfId="0" applyNumberFormat="1" applyFont="1" applyFill="1" applyBorder="1" applyAlignment="1">
      <alignment horizontal="center" vertical="center"/>
    </xf>
    <xf numFmtId="0" fontId="6" fillId="0" borderId="23" xfId="5" applyNumberFormat="1" applyFont="1" applyFill="1" applyBorder="1" applyAlignment="1">
      <alignment horizontal="center" wrapText="1"/>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96" xfId="0" quotePrefix="1" applyFont="1" applyFill="1" applyBorder="1" applyAlignment="1">
      <alignment horizontal="center" vertical="center" wrapText="1"/>
    </xf>
    <xf numFmtId="49" fontId="1" fillId="0" borderId="96" xfId="2" applyNumberFormat="1" applyFont="1" applyFill="1" applyBorder="1" applyAlignment="1">
      <alignment horizontal="center" vertical="center"/>
    </xf>
    <xf numFmtId="164" fontId="1" fillId="8" borderId="96" xfId="0" applyNumberFormat="1" applyFont="1" applyFill="1" applyBorder="1" applyAlignment="1">
      <alignment horizontal="center" vertical="center"/>
    </xf>
    <xf numFmtId="1" fontId="1" fillId="0" borderId="58" xfId="0" applyNumberFormat="1" applyFont="1" applyFill="1" applyBorder="1" applyAlignment="1">
      <alignment horizontal="center" vertical="center"/>
    </xf>
    <xf numFmtId="1" fontId="1" fillId="0" borderId="81" xfId="0" applyNumberFormat="1" applyFont="1" applyBorder="1" applyAlignment="1">
      <alignment horizontal="center" vertical="center"/>
    </xf>
    <xf numFmtId="1" fontId="1" fillId="0" borderId="53" xfId="0" applyNumberFormat="1" applyFont="1" applyFill="1" applyBorder="1" applyAlignment="1">
      <alignment horizontal="center" vertical="center"/>
    </xf>
    <xf numFmtId="1" fontId="1" fillId="0" borderId="30" xfId="0" applyNumberFormat="1" applyFont="1" applyFill="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vertical="center"/>
    </xf>
    <xf numFmtId="0" fontId="48" fillId="0" borderId="0" xfId="0" applyFont="1" applyBorder="1" applyAlignment="1">
      <alignment horizontal="centerContinuous" vertical="center" wrapText="1"/>
    </xf>
    <xf numFmtId="0" fontId="3" fillId="0" borderId="0" xfId="5" applyFont="1" applyBorder="1" applyAlignment="1">
      <alignment vertical="center" wrapText="1"/>
    </xf>
    <xf numFmtId="0" fontId="6" fillId="0" borderId="22" xfId="0" applyFont="1" applyFill="1" applyBorder="1" applyAlignment="1">
      <alignment horizontal="center" vertical="center" shrinkToFit="1"/>
    </xf>
    <xf numFmtId="0" fontId="6" fillId="0" borderId="23" xfId="0" applyNumberFormat="1" applyFont="1" applyFill="1" applyBorder="1" applyAlignment="1">
      <alignment horizontal="center" vertical="center" shrinkToFit="1"/>
    </xf>
    <xf numFmtId="0" fontId="6" fillId="0" borderId="23" xfId="2" applyNumberFormat="1" applyFont="1" applyBorder="1" applyAlignment="1">
      <alignment horizontal="center" vertical="center" shrinkToFit="1"/>
    </xf>
    <xf numFmtId="9" fontId="6" fillId="0" borderId="22" xfId="2" applyFont="1" applyFill="1" applyBorder="1" applyAlignment="1">
      <alignment horizontal="center" vertical="center" shrinkToFit="1"/>
    </xf>
    <xf numFmtId="0" fontId="50" fillId="0" borderId="27" xfId="0" applyFont="1" applyBorder="1" applyAlignment="1">
      <alignment horizontal="centerContinuous" vertical="center"/>
    </xf>
    <xf numFmtId="0" fontId="51" fillId="0" borderId="27" xfId="0" applyFont="1" applyBorder="1" applyAlignment="1">
      <alignment horizontal="centerContinuous" vertical="center" wrapText="1"/>
    </xf>
    <xf numFmtId="0" fontId="52" fillId="0" borderId="27" xfId="0" applyFont="1" applyBorder="1" applyAlignment="1">
      <alignment horizontal="centerContinuous" vertical="center" wrapText="1"/>
    </xf>
    <xf numFmtId="0" fontId="53" fillId="0" borderId="27" xfId="0" applyFont="1" applyBorder="1" applyAlignment="1">
      <alignment horizontal="centerContinuous" vertical="center" wrapText="1"/>
    </xf>
    <xf numFmtId="1" fontId="1" fillId="0" borderId="81"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1" fontId="1" fillId="0" borderId="30" xfId="0" applyNumberFormat="1" applyFont="1" applyBorder="1" applyAlignment="1">
      <alignment horizontal="center" vertical="center" shrinkToFit="1"/>
    </xf>
    <xf numFmtId="1" fontId="1" fillId="0" borderId="53"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54" fillId="0" borderId="0" xfId="0" applyFont="1" applyBorder="1" applyAlignment="1">
      <alignment vertical="center"/>
    </xf>
    <xf numFmtId="0" fontId="1" fillId="0" borderId="0" xfId="0" applyFont="1" applyBorder="1" applyAlignment="1">
      <alignment horizontal="left" vertical="center" shrinkToFit="1"/>
    </xf>
    <xf numFmtId="0" fontId="1" fillId="0" borderId="107"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Fill="1" applyBorder="1" applyAlignment="1">
      <alignment horizontal="left" vertical="center"/>
    </xf>
    <xf numFmtId="0" fontId="1" fillId="0" borderId="37" xfId="0" applyFont="1" applyBorder="1" applyAlignment="1">
      <alignment horizontal="left" vertical="center" shrinkToFit="1"/>
    </xf>
    <xf numFmtId="0" fontId="1" fillId="0" borderId="108" xfId="0" applyFont="1" applyBorder="1" applyAlignment="1">
      <alignment horizontal="center" vertical="center" shrinkToFit="1"/>
    </xf>
    <xf numFmtId="0" fontId="1" fillId="0" borderId="109" xfId="0" applyFont="1" applyBorder="1" applyAlignment="1">
      <alignment horizontal="center" vertical="center"/>
    </xf>
    <xf numFmtId="0" fontId="1" fillId="0" borderId="109" xfId="0" quotePrefix="1" applyFont="1" applyBorder="1" applyAlignment="1">
      <alignment horizontal="center" vertical="center"/>
    </xf>
    <xf numFmtId="49" fontId="1" fillId="0" borderId="109" xfId="0" quotePrefix="1" applyNumberFormat="1" applyFont="1" applyBorder="1" applyAlignment="1">
      <alignment horizontal="center" vertical="center"/>
    </xf>
    <xf numFmtId="164" fontId="1" fillId="0" borderId="109" xfId="0" applyNumberFormat="1" applyFont="1" applyFill="1" applyBorder="1" applyAlignment="1">
      <alignment horizontal="center" vertical="center"/>
    </xf>
    <xf numFmtId="164" fontId="1" fillId="0" borderId="110" xfId="0" applyNumberFormat="1" applyFont="1" applyFill="1" applyBorder="1" applyAlignment="1">
      <alignment horizontal="centerContinuous" vertical="center"/>
    </xf>
    <xf numFmtId="164" fontId="1" fillId="0" borderId="111" xfId="0" applyNumberFormat="1" applyFont="1" applyFill="1" applyBorder="1" applyAlignment="1">
      <alignment horizontal="centerContinuous" vertical="center"/>
    </xf>
    <xf numFmtId="0" fontId="1" fillId="0" borderId="112" xfId="0" quotePrefix="1" applyFont="1" applyBorder="1" applyAlignment="1">
      <alignment horizontal="centerContinuous" vertical="center"/>
    </xf>
    <xf numFmtId="0" fontId="1" fillId="0" borderId="71" xfId="0" applyFont="1" applyBorder="1" applyAlignment="1">
      <alignment horizontal="center" vertical="center"/>
    </xf>
    <xf numFmtId="0" fontId="1" fillId="0" borderId="70" xfId="0" quotePrefix="1" applyFont="1" applyBorder="1" applyAlignment="1">
      <alignment horizontal="center" vertical="center"/>
    </xf>
    <xf numFmtId="9" fontId="1" fillId="0" borderId="109" xfId="0" applyNumberFormat="1" applyFont="1" applyFill="1" applyBorder="1" applyAlignment="1">
      <alignment horizontal="center" vertical="center"/>
    </xf>
    <xf numFmtId="0" fontId="4" fillId="0" borderId="0" xfId="0" applyFont="1" applyFill="1" applyBorder="1" applyAlignment="1">
      <alignment vertical="center"/>
    </xf>
    <xf numFmtId="0" fontId="6" fillId="0" borderId="24" xfId="0" applyNumberFormat="1" applyFont="1" applyFill="1" applyBorder="1" applyAlignment="1">
      <alignment horizontal="center" vertical="center" shrinkToFit="1"/>
    </xf>
    <xf numFmtId="9" fontId="6" fillId="0" borderId="63" xfId="2" applyFont="1" applyFill="1" applyBorder="1" applyAlignment="1">
      <alignment horizontal="center" vertical="center" shrinkToFit="1"/>
    </xf>
    <xf numFmtId="0" fontId="6" fillId="0" borderId="14" xfId="0" applyNumberFormat="1" applyFont="1" applyFill="1" applyBorder="1" applyAlignment="1">
      <alignment horizontal="center" vertical="center" shrinkToFit="1"/>
    </xf>
    <xf numFmtId="0" fontId="1" fillId="0" borderId="47" xfId="0" applyFont="1" applyBorder="1" applyAlignment="1">
      <alignment horizontal="center" vertical="center" shrinkToFit="1"/>
    </xf>
    <xf numFmtId="1" fontId="1" fillId="10" borderId="53" xfId="0" applyNumberFormat="1" applyFont="1" applyFill="1" applyBorder="1" applyAlignment="1">
      <alignment horizontal="center" vertical="center"/>
    </xf>
    <xf numFmtId="0" fontId="1" fillId="10" borderId="74" xfId="0" applyFont="1" applyFill="1" applyBorder="1" applyAlignment="1">
      <alignment horizontal="center" vertical="center" shrinkToFit="1"/>
    </xf>
    <xf numFmtId="0" fontId="1" fillId="10" borderId="75" xfId="0" applyFont="1" applyFill="1" applyBorder="1" applyAlignment="1">
      <alignment horizontal="center" vertical="center"/>
    </xf>
    <xf numFmtId="0" fontId="1" fillId="10" borderId="75" xfId="0" quotePrefix="1" applyFont="1" applyFill="1" applyBorder="1" applyAlignment="1">
      <alignment horizontal="center" vertical="center"/>
    </xf>
    <xf numFmtId="9" fontId="1" fillId="10" borderId="75" xfId="0" applyNumberFormat="1" applyFont="1" applyFill="1" applyBorder="1" applyAlignment="1">
      <alignment horizontal="center" vertical="center"/>
    </xf>
    <xf numFmtId="164" fontId="1" fillId="10" borderId="75" xfId="0" applyNumberFormat="1" applyFont="1" applyFill="1" applyBorder="1" applyAlignment="1">
      <alignment horizontal="center" vertical="center"/>
    </xf>
    <xf numFmtId="164" fontId="1" fillId="10" borderId="76" xfId="0" applyNumberFormat="1" applyFont="1" applyFill="1" applyBorder="1" applyAlignment="1">
      <alignment horizontal="centerContinuous" vertical="center"/>
    </xf>
    <xf numFmtId="164" fontId="4" fillId="10" borderId="77" xfId="0" applyNumberFormat="1" applyFont="1" applyFill="1" applyBorder="1" applyAlignment="1">
      <alignment horizontal="centerContinuous" vertical="center"/>
    </xf>
    <xf numFmtId="0" fontId="4" fillId="10" borderId="78" xfId="0" applyFont="1" applyFill="1" applyBorder="1" applyAlignment="1">
      <alignment horizontal="centerContinuous" vertical="center"/>
    </xf>
    <xf numFmtId="0" fontId="55" fillId="0" borderId="53" xfId="0" applyFont="1" applyFill="1" applyBorder="1" applyAlignment="1">
      <alignment horizontal="center" vertical="center" shrinkToFit="1"/>
    </xf>
    <xf numFmtId="0" fontId="1" fillId="0" borderId="115" xfId="0" applyFont="1" applyFill="1" applyBorder="1" applyAlignment="1">
      <alignment horizontal="center" vertical="center"/>
    </xf>
    <xf numFmtId="0" fontId="1" fillId="0" borderId="116" xfId="0" applyFont="1" applyFill="1" applyBorder="1" applyAlignment="1">
      <alignment horizontal="center" vertical="center"/>
    </xf>
    <xf numFmtId="0" fontId="1" fillId="0" borderId="116" xfId="0" quotePrefix="1" applyFont="1" applyFill="1" applyBorder="1" applyAlignment="1">
      <alignment horizontal="center" vertical="center" wrapText="1"/>
    </xf>
    <xf numFmtId="49" fontId="1" fillId="0" borderId="116" xfId="2" applyNumberFormat="1" applyFont="1" applyFill="1" applyBorder="1" applyAlignment="1">
      <alignment horizontal="center" vertical="center"/>
    </xf>
    <xf numFmtId="0" fontId="1" fillId="8" borderId="116" xfId="0" applyFont="1" applyFill="1" applyBorder="1" applyAlignment="1">
      <alignment horizontal="center" vertical="center" shrinkToFit="1"/>
    </xf>
    <xf numFmtId="164" fontId="1" fillId="8" borderId="116" xfId="0" applyNumberFormat="1" applyFont="1" applyFill="1" applyBorder="1" applyAlignment="1">
      <alignment horizontal="center" vertical="center"/>
    </xf>
    <xf numFmtId="0" fontId="4" fillId="0" borderId="51" xfId="0" quotePrefix="1" applyFont="1" applyBorder="1" applyAlignment="1">
      <alignment horizontal="center" vertical="center" wrapText="1"/>
    </xf>
    <xf numFmtId="49" fontId="1" fillId="0" borderId="51" xfId="2" applyNumberFormat="1" applyFont="1" applyBorder="1" applyAlignment="1">
      <alignment horizontal="center" vertical="center"/>
    </xf>
    <xf numFmtId="0" fontId="1" fillId="0" borderId="51" xfId="0" applyFont="1" applyBorder="1" applyAlignment="1">
      <alignment horizontal="center" vertical="center" shrinkToFit="1"/>
    </xf>
    <xf numFmtId="164" fontId="4" fillId="0" borderId="52" xfId="0" applyNumberFormat="1" applyFont="1" applyFill="1" applyBorder="1" applyAlignment="1">
      <alignment horizontal="center" vertical="center"/>
    </xf>
    <xf numFmtId="0" fontId="3" fillId="0" borderId="29" xfId="0" applyFont="1" applyBorder="1" applyAlignment="1">
      <alignment horizontal="center" vertical="center"/>
    </xf>
    <xf numFmtId="0" fontId="1" fillId="0" borderId="116" xfId="0" quotePrefix="1" applyFont="1" applyBorder="1" applyAlignment="1">
      <alignment horizontal="center" vertical="center"/>
    </xf>
    <xf numFmtId="164" fontId="4" fillId="0" borderId="116" xfId="0" applyNumberFormat="1" applyFont="1" applyFill="1" applyBorder="1" applyAlignment="1">
      <alignment horizontal="center" vertical="center"/>
    </xf>
    <xf numFmtId="0" fontId="56" fillId="2" borderId="83" xfId="0" applyFont="1" applyFill="1" applyBorder="1" applyAlignment="1">
      <alignment horizontal="center" vertical="center"/>
    </xf>
    <xf numFmtId="9" fontId="6" fillId="0" borderId="63" xfId="2" applyFont="1" applyBorder="1" applyAlignment="1">
      <alignment horizontal="center" shrinkToFit="1"/>
    </xf>
    <xf numFmtId="9" fontId="6" fillId="0" borderId="14" xfId="2" applyFont="1" applyBorder="1" applyAlignment="1">
      <alignment horizontal="center" shrinkToFit="1"/>
    </xf>
    <xf numFmtId="9" fontId="6" fillId="0" borderId="14" xfId="7" applyFont="1" applyFill="1" applyBorder="1" applyAlignment="1">
      <alignment horizontal="center" vertical="center" shrinkToFit="1"/>
    </xf>
    <xf numFmtId="0" fontId="6" fillId="0" borderId="14" xfId="2" applyNumberFormat="1" applyFont="1" applyBorder="1" applyAlignment="1">
      <alignment horizontal="center" shrinkToFit="1"/>
    </xf>
    <xf numFmtId="0" fontId="6" fillId="0" borderId="14" xfId="7" applyNumberFormat="1" applyFont="1" applyFill="1" applyBorder="1" applyAlignment="1">
      <alignment horizontal="center" vertical="center" shrinkToFit="1"/>
    </xf>
    <xf numFmtId="0" fontId="6" fillId="0" borderId="28" xfId="0" applyNumberFormat="1" applyFont="1" applyFill="1" applyBorder="1" applyAlignment="1">
      <alignment horizontal="center" vertical="center"/>
    </xf>
    <xf numFmtId="164" fontId="1" fillId="0" borderId="109" xfId="0" applyNumberFormat="1" applyFont="1" applyBorder="1" applyAlignment="1">
      <alignment horizontal="center" vertical="center"/>
    </xf>
    <xf numFmtId="164" fontId="4" fillId="0" borderId="110" xfId="0" applyNumberFormat="1" applyFont="1" applyFill="1" applyBorder="1" applyAlignment="1">
      <alignment horizontal="center" vertical="center"/>
    </xf>
    <xf numFmtId="1" fontId="45" fillId="9" borderId="110" xfId="0" applyNumberFormat="1" applyFont="1" applyFill="1" applyBorder="1" applyAlignment="1">
      <alignment horizontal="center" vertical="center"/>
    </xf>
    <xf numFmtId="1" fontId="1" fillId="0" borderId="109" xfId="0" applyNumberFormat="1" applyFont="1" applyBorder="1" applyAlignment="1">
      <alignment horizontal="center" vertical="center"/>
    </xf>
    <xf numFmtId="0" fontId="1"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1" fillId="0" borderId="109" xfId="0" quotePrefix="1" applyFont="1" applyFill="1" applyBorder="1" applyAlignment="1">
      <alignment horizontal="center" vertical="center" wrapText="1"/>
    </xf>
    <xf numFmtId="49" fontId="1" fillId="0" borderId="109" xfId="2" applyNumberFormat="1" applyFont="1" applyFill="1" applyBorder="1" applyAlignment="1">
      <alignment horizontal="center" vertical="center"/>
    </xf>
    <xf numFmtId="164" fontId="1" fillId="8" borderId="70" xfId="0" applyNumberFormat="1" applyFont="1" applyFill="1" applyBorder="1" applyAlignment="1">
      <alignment horizontal="center" vertical="center"/>
    </xf>
    <xf numFmtId="1" fontId="1" fillId="0" borderId="119" xfId="0" applyNumberFormat="1" applyFont="1" applyFill="1" applyBorder="1" applyAlignment="1">
      <alignment horizontal="center" vertical="center"/>
    </xf>
    <xf numFmtId="1" fontId="1" fillId="0" borderId="59" xfId="0" applyNumberFormat="1" applyFont="1" applyFill="1" applyBorder="1" applyAlignment="1">
      <alignment horizontal="center" vertical="center"/>
    </xf>
    <xf numFmtId="1" fontId="1" fillId="0" borderId="94" xfId="0" applyNumberFormat="1" applyFont="1" applyFill="1" applyBorder="1" applyAlignment="1">
      <alignment horizontal="center" vertical="center"/>
    </xf>
    <xf numFmtId="0" fontId="1" fillId="0" borderId="73" xfId="0" quotePrefix="1" applyFont="1" applyFill="1" applyBorder="1" applyAlignment="1">
      <alignment horizontal="center" vertical="center"/>
    </xf>
    <xf numFmtId="0" fontId="1" fillId="0" borderId="97" xfId="0" quotePrefix="1" applyFont="1" applyFill="1" applyBorder="1" applyAlignment="1">
      <alignment horizontal="center" vertical="center"/>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73" xfId="0" applyFont="1" applyFill="1" applyBorder="1" applyAlignment="1">
      <alignment horizontal="center" vertical="center"/>
    </xf>
    <xf numFmtId="0" fontId="4" fillId="0" borderId="29" xfId="0" applyFont="1" applyFill="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49" fontId="1" fillId="0" borderId="75" xfId="0" applyNumberFormat="1" applyFont="1" applyBorder="1" applyAlignment="1">
      <alignment horizontal="center" vertical="center"/>
    </xf>
    <xf numFmtId="164" fontId="1" fillId="0" borderId="76" xfId="0" applyNumberFormat="1" applyFont="1" applyFill="1" applyBorder="1" applyAlignment="1">
      <alignment horizontal="center" vertical="center"/>
    </xf>
    <xf numFmtId="1" fontId="45" fillId="9" borderId="76" xfId="0" applyNumberFormat="1" applyFont="1" applyFill="1" applyBorder="1" applyAlignment="1">
      <alignment horizontal="center" vertical="center"/>
    </xf>
    <xf numFmtId="1" fontId="1" fillId="0" borderId="75" xfId="0" applyNumberFormat="1" applyFont="1" applyFill="1" applyBorder="1" applyAlignment="1">
      <alignment horizontal="center" vertical="center"/>
    </xf>
    <xf numFmtId="0" fontId="1" fillId="0" borderId="39" xfId="0" applyFont="1" applyBorder="1" applyAlignment="1">
      <alignment horizontal="left" vertical="center"/>
    </xf>
    <xf numFmtId="0" fontId="1" fillId="0" borderId="41" xfId="0" applyFont="1" applyBorder="1" applyAlignment="1">
      <alignment horizontal="left" vertical="center" shrinkToFit="1"/>
    </xf>
    <xf numFmtId="0" fontId="1" fillId="0" borderId="0" xfId="0" applyFont="1" applyBorder="1" applyAlignment="1">
      <alignment vertical="center" wrapText="1"/>
    </xf>
    <xf numFmtId="0" fontId="3" fillId="0" borderId="121" xfId="0" applyFont="1" applyBorder="1" applyAlignment="1">
      <alignment horizontal="right" vertical="center"/>
    </xf>
    <xf numFmtId="0" fontId="1" fillId="0" borderId="122" xfId="0" applyFont="1" applyBorder="1" applyAlignment="1">
      <alignment horizontal="center" vertical="center" wrapText="1"/>
    </xf>
    <xf numFmtId="0" fontId="1" fillId="0" borderId="123" xfId="0" applyFont="1" applyBorder="1" applyAlignment="1">
      <alignment horizontal="center" vertical="center" wrapText="1"/>
    </xf>
    <xf numFmtId="0" fontId="1" fillId="11" borderId="124" xfId="0" applyFont="1" applyFill="1" applyBorder="1" applyAlignment="1">
      <alignment horizontal="center" vertical="center" wrapText="1"/>
    </xf>
    <xf numFmtId="0" fontId="3" fillId="0" borderId="30" xfId="0" applyFont="1" applyBorder="1" applyAlignment="1">
      <alignment horizontal="right" vertical="center"/>
    </xf>
    <xf numFmtId="0" fontId="1" fillId="0" borderId="104" xfId="0" applyFont="1" applyBorder="1" applyAlignment="1">
      <alignment horizontal="center" vertical="center" wrapText="1"/>
    </xf>
    <xf numFmtId="0" fontId="1" fillId="11" borderId="37" xfId="0" applyFont="1" applyFill="1" applyBorder="1" applyAlignment="1">
      <alignment horizontal="center" vertical="center" wrapText="1"/>
    </xf>
    <xf numFmtId="0" fontId="3" fillId="0" borderId="125" xfId="0" applyFont="1" applyBorder="1" applyAlignment="1">
      <alignment horizontal="right" vertical="center"/>
    </xf>
    <xf numFmtId="0" fontId="3" fillId="11" borderId="127" xfId="0" applyFont="1" applyFill="1" applyBorder="1" applyAlignment="1">
      <alignment horizontal="center" vertical="center" wrapText="1"/>
    </xf>
    <xf numFmtId="0" fontId="3" fillId="0" borderId="59" xfId="0" applyFont="1" applyBorder="1" applyAlignment="1">
      <alignment horizontal="right" vertical="center"/>
    </xf>
    <xf numFmtId="49" fontId="1" fillId="0" borderId="102" xfId="0" applyNumberFormat="1" applyFont="1" applyBorder="1" applyAlignment="1">
      <alignment horizontal="center" vertical="center" wrapText="1"/>
    </xf>
    <xf numFmtId="49" fontId="1" fillId="11" borderId="46" xfId="0" applyNumberFormat="1" applyFont="1" applyFill="1" applyBorder="1" applyAlignment="1">
      <alignment horizontal="center" vertical="center" wrapText="1"/>
    </xf>
    <xf numFmtId="0" fontId="3" fillId="0" borderId="53" xfId="0" applyFont="1" applyBorder="1" applyAlignment="1">
      <alignment horizontal="right" vertical="center"/>
    </xf>
    <xf numFmtId="0" fontId="3" fillId="11" borderId="45" xfId="0" applyFont="1" applyFill="1" applyBorder="1" applyAlignment="1">
      <alignment horizontal="center" vertical="center" wrapText="1"/>
    </xf>
    <xf numFmtId="0" fontId="1" fillId="0" borderId="0" xfId="0" applyFont="1" applyFill="1" applyBorder="1" applyAlignment="1">
      <alignment vertical="center" wrapText="1"/>
    </xf>
    <xf numFmtId="0" fontId="11" fillId="9" borderId="93" xfId="5" applyFont="1" applyFill="1" applyBorder="1" applyAlignment="1">
      <alignment horizontal="centerContinuous" vertical="center" wrapText="1"/>
    </xf>
    <xf numFmtId="0" fontId="11" fillId="9" borderId="92" xfId="5" applyFont="1" applyFill="1" applyBorder="1" applyAlignment="1">
      <alignment horizontal="center" vertical="center" wrapText="1"/>
    </xf>
    <xf numFmtId="0" fontId="20" fillId="9" borderId="92" xfId="5" applyFont="1" applyFill="1" applyBorder="1" applyAlignment="1">
      <alignment horizontal="center" vertical="center" wrapText="1"/>
    </xf>
    <xf numFmtId="0" fontId="20" fillId="9" borderId="92" xfId="5" applyNumberFormat="1" applyFont="1" applyFill="1" applyBorder="1" applyAlignment="1">
      <alignment horizontal="center" vertical="center" wrapText="1"/>
    </xf>
    <xf numFmtId="0" fontId="11" fillId="9" borderId="92" xfId="0" applyFont="1" applyFill="1" applyBorder="1" applyAlignment="1">
      <alignment horizontal="center" vertical="center" wrapText="1"/>
    </xf>
    <xf numFmtId="0" fontId="11" fillId="9" borderId="91" xfId="0" applyNumberFormat="1" applyFont="1" applyFill="1" applyBorder="1" applyAlignment="1">
      <alignment horizontal="centerContinuous" vertical="center" wrapText="1"/>
    </xf>
    <xf numFmtId="0" fontId="59" fillId="0" borderId="20" xfId="5" applyFont="1" applyBorder="1" applyAlignment="1">
      <alignment horizontal="centerContinuous" wrapText="1"/>
    </xf>
    <xf numFmtId="0" fontId="60" fillId="0" borderId="1" xfId="5" applyFont="1" applyFill="1" applyBorder="1" applyAlignment="1">
      <alignment horizontal="center" shrinkToFit="1"/>
    </xf>
    <xf numFmtId="0" fontId="60" fillId="0" borderId="62" xfId="5" applyFont="1" applyFill="1" applyBorder="1" applyAlignment="1">
      <alignment horizontal="center" shrinkToFit="1"/>
    </xf>
    <xf numFmtId="0" fontId="61" fillId="2" borderId="82" xfId="0" applyFont="1" applyFill="1" applyBorder="1" applyAlignment="1">
      <alignment horizontal="right" vertical="center"/>
    </xf>
    <xf numFmtId="0" fontId="61" fillId="2" borderId="83" xfId="0" applyFont="1" applyFill="1" applyBorder="1" applyAlignment="1">
      <alignment horizontal="left" vertical="center"/>
    </xf>
    <xf numFmtId="0" fontId="62" fillId="2" borderId="84" xfId="1" applyFont="1" applyFill="1" applyBorder="1" applyAlignment="1" applyProtection="1">
      <alignment horizontal="right" vertical="center"/>
    </xf>
    <xf numFmtId="1" fontId="1" fillId="12" borderId="81" xfId="0" applyNumberFormat="1" applyFont="1" applyFill="1" applyBorder="1" applyAlignment="1">
      <alignment horizontal="center" vertical="center"/>
    </xf>
    <xf numFmtId="1" fontId="1" fillId="12" borderId="59" xfId="0" applyNumberFormat="1" applyFont="1" applyFill="1" applyBorder="1" applyAlignment="1">
      <alignment horizontal="center" vertical="center"/>
    </xf>
    <xf numFmtId="0" fontId="1" fillId="12" borderId="23" xfId="0" applyNumberFormat="1" applyFont="1" applyFill="1" applyBorder="1" applyAlignment="1">
      <alignment horizontal="center" vertical="center"/>
    </xf>
    <xf numFmtId="0" fontId="1" fillId="12" borderId="24"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22" xfId="0" applyFont="1" applyFill="1" applyBorder="1" applyAlignment="1">
      <alignment horizontal="center" vertical="center"/>
    </xf>
    <xf numFmtId="49" fontId="1" fillId="12" borderId="22" xfId="2" applyNumberFormat="1" applyFont="1" applyFill="1" applyBorder="1" applyAlignment="1">
      <alignment horizontal="center" vertical="center"/>
    </xf>
    <xf numFmtId="0" fontId="1" fillId="12" borderId="22" xfId="0" applyFont="1" applyFill="1" applyBorder="1" applyAlignment="1">
      <alignment horizontal="center" vertical="center" shrinkToFit="1"/>
    </xf>
    <xf numFmtId="164" fontId="1" fillId="12" borderId="22" xfId="0" applyNumberFormat="1" applyFont="1" applyFill="1" applyBorder="1" applyAlignment="1">
      <alignment horizontal="center" vertical="center"/>
    </xf>
    <xf numFmtId="164" fontId="1" fillId="12" borderId="23" xfId="0" applyNumberFormat="1" applyFont="1" applyFill="1" applyBorder="1" applyAlignment="1">
      <alignment horizontal="center" vertical="center"/>
    </xf>
    <xf numFmtId="0" fontId="1" fillId="12" borderId="22" xfId="2" applyNumberFormat="1" applyFont="1" applyFill="1" applyBorder="1" applyAlignment="1">
      <alignment horizontal="center" vertical="center"/>
    </xf>
    <xf numFmtId="0" fontId="20" fillId="7" borderId="128" xfId="0" applyFont="1" applyFill="1" applyBorder="1" applyAlignment="1">
      <alignment horizontal="centerContinuous" vertical="center"/>
    </xf>
    <xf numFmtId="0" fontId="20" fillId="7" borderId="129" xfId="0" applyFont="1" applyFill="1" applyBorder="1" applyAlignment="1">
      <alignment horizontal="center" vertical="center"/>
    </xf>
    <xf numFmtId="1" fontId="20" fillId="7" borderId="27" xfId="0" applyNumberFormat="1" applyFont="1" applyFill="1" applyBorder="1" applyAlignment="1">
      <alignment horizontal="center" vertical="center"/>
    </xf>
    <xf numFmtId="0" fontId="1" fillId="0" borderId="34" xfId="0" applyFont="1" applyFill="1" applyBorder="1" applyAlignment="1">
      <alignment horizontal="centerContinuous" vertical="center" shrinkToFit="1"/>
    </xf>
    <xf numFmtId="0" fontId="20" fillId="0" borderId="113" xfId="0" applyFont="1" applyFill="1" applyBorder="1" applyAlignment="1">
      <alignment horizontal="centerContinuous" vertical="center"/>
    </xf>
    <xf numFmtId="0" fontId="20" fillId="0" borderId="104" xfId="0" applyFont="1" applyFill="1" applyBorder="1" applyAlignment="1">
      <alignment horizontal="centerContinuous"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14" xfId="0" applyFont="1" applyFill="1" applyBorder="1" applyAlignment="1">
      <alignment horizontal="centerContinuous" vertical="center"/>
    </xf>
    <xf numFmtId="1" fontId="1" fillId="0" borderId="94" xfId="0" applyNumberFormat="1" applyFont="1" applyBorder="1" applyAlignment="1">
      <alignment horizontal="center" vertical="center"/>
    </xf>
    <xf numFmtId="0" fontId="1" fillId="0" borderId="42" xfId="0" applyFont="1" applyFill="1" applyBorder="1" applyAlignment="1">
      <alignment horizontal="centerContinuous" vertical="center" shrinkToFit="1"/>
    </xf>
    <xf numFmtId="0" fontId="1" fillId="0" borderId="77" xfId="0" applyFont="1" applyFill="1" applyBorder="1" applyAlignment="1">
      <alignment horizontal="centerContinuous" vertical="center"/>
    </xf>
    <xf numFmtId="0" fontId="1" fillId="0" borderId="106" xfId="0" applyFont="1" applyFill="1" applyBorder="1" applyAlignment="1">
      <alignment horizontal="centerContinuous" vertical="center"/>
    </xf>
    <xf numFmtId="49" fontId="1" fillId="0" borderId="44" xfId="0" applyNumberFormat="1" applyFont="1" applyFill="1" applyBorder="1" applyAlignment="1">
      <alignment horizontal="center" vertical="center"/>
    </xf>
    <xf numFmtId="49" fontId="1" fillId="0" borderId="43" xfId="0" applyNumberFormat="1" applyFont="1" applyFill="1" applyBorder="1" applyAlignment="1">
      <alignment horizontal="center" vertical="center"/>
    </xf>
    <xf numFmtId="0" fontId="1" fillId="0" borderId="78" xfId="0" applyFont="1" applyFill="1" applyBorder="1" applyAlignment="1">
      <alignment horizontal="centerContinuous" vertical="center"/>
    </xf>
    <xf numFmtId="1" fontId="1" fillId="0" borderId="53" xfId="0" applyNumberFormat="1" applyFont="1" applyBorder="1" applyAlignment="1">
      <alignment horizontal="center" vertical="center"/>
    </xf>
    <xf numFmtId="1" fontId="45" fillId="9" borderId="130" xfId="0" applyNumberFormat="1" applyFont="1" applyFill="1" applyBorder="1" applyAlignment="1">
      <alignment horizontal="center" vertical="center"/>
    </xf>
    <xf numFmtId="1" fontId="1" fillId="0" borderId="116" xfId="0" applyNumberFormat="1" applyFont="1" applyBorder="1" applyAlignment="1">
      <alignment horizontal="center" vertical="center"/>
    </xf>
    <xf numFmtId="1" fontId="1" fillId="0" borderId="59" xfId="0" applyNumberFormat="1" applyFont="1" applyBorder="1" applyAlignment="1">
      <alignment horizontal="center" vertical="center"/>
    </xf>
    <xf numFmtId="0" fontId="1" fillId="0" borderId="109" xfId="0" applyFont="1" applyFill="1" applyBorder="1" applyAlignment="1">
      <alignment horizontal="center" vertical="center" shrinkToFit="1"/>
    </xf>
    <xf numFmtId="0" fontId="6" fillId="0" borderId="14" xfId="0" applyFont="1" applyFill="1" applyBorder="1" applyAlignment="1">
      <alignment horizontal="center" vertical="center"/>
    </xf>
    <xf numFmtId="0" fontId="25" fillId="0" borderId="14" xfId="0" applyNumberFormat="1" applyFont="1" applyFill="1" applyBorder="1" applyAlignment="1">
      <alignment horizontal="center" vertical="center"/>
    </xf>
    <xf numFmtId="0" fontId="6" fillId="0" borderId="3" xfId="0" quotePrefix="1" applyFont="1" applyFill="1" applyBorder="1" applyAlignment="1">
      <alignment horizontal="center" vertical="center"/>
    </xf>
    <xf numFmtId="49" fontId="25" fillId="0" borderId="14"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0" fontId="8" fillId="0" borderId="3"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quotePrefix="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6" fillId="0" borderId="59" xfId="0" quotePrefix="1" applyFont="1" applyFill="1" applyBorder="1" applyAlignment="1">
      <alignment horizontal="centerContinuous" vertical="center"/>
    </xf>
    <xf numFmtId="0" fontId="9" fillId="0" borderId="80" xfId="0" applyFont="1" applyFill="1" applyBorder="1" applyAlignment="1">
      <alignment horizontal="centerContinuous" vertical="center" shrinkToFit="1"/>
    </xf>
    <xf numFmtId="0" fontId="3" fillId="0" borderId="15" xfId="0" applyFont="1" applyBorder="1" applyAlignment="1">
      <alignment horizontal="center" vertical="center"/>
    </xf>
    <xf numFmtId="0" fontId="1" fillId="0" borderId="9" xfId="0" applyFont="1" applyBorder="1" applyAlignment="1">
      <alignment horizontal="centerContinuous" vertical="center" wrapText="1"/>
    </xf>
    <xf numFmtId="0" fontId="3" fillId="0" borderId="52" xfId="0" applyFont="1" applyFill="1" applyBorder="1" applyAlignment="1">
      <alignment horizontal="centerContinuous" vertical="center" wrapText="1"/>
    </xf>
    <xf numFmtId="0" fontId="1" fillId="0" borderId="9" xfId="0" applyFont="1" applyFill="1" applyBorder="1" applyAlignment="1">
      <alignment horizontal="centerContinuous" vertical="center" wrapText="1"/>
    </xf>
    <xf numFmtId="0" fontId="1" fillId="0" borderId="10" xfId="0" applyFont="1" applyFill="1" applyBorder="1" applyAlignment="1">
      <alignment horizontal="centerContinuous" vertical="center" wrapText="1"/>
    </xf>
    <xf numFmtId="0" fontId="17" fillId="0" borderId="30" xfId="0" applyFont="1" applyFill="1" applyBorder="1" applyAlignment="1">
      <alignment horizontal="centerContinuous" vertical="center" shrinkToFit="1"/>
    </xf>
    <xf numFmtId="0" fontId="6" fillId="0" borderId="81" xfId="0" applyFont="1" applyFill="1" applyBorder="1" applyAlignment="1">
      <alignment horizontal="centerContinuous" vertical="center"/>
    </xf>
    <xf numFmtId="0" fontId="49" fillId="0" borderId="16" xfId="0" applyFont="1" applyBorder="1" applyAlignment="1">
      <alignment horizontal="center" vertical="center"/>
    </xf>
    <xf numFmtId="0" fontId="49" fillId="0" borderId="98" xfId="0" applyFont="1" applyBorder="1" applyAlignment="1">
      <alignment horizontal="center" vertical="center"/>
    </xf>
    <xf numFmtId="0" fontId="49" fillId="0" borderId="99" xfId="0" applyFont="1" applyBorder="1" applyAlignment="1">
      <alignment horizontal="center" vertical="center"/>
    </xf>
    <xf numFmtId="0" fontId="49" fillId="0" borderId="100" xfId="0" applyFont="1" applyBorder="1" applyAlignment="1">
      <alignment horizontal="center" vertical="center"/>
    </xf>
    <xf numFmtId="0" fontId="6" fillId="0" borderId="59" xfId="0" applyFont="1" applyFill="1" applyBorder="1" applyAlignment="1">
      <alignment horizontal="centerContinuous" vertical="center"/>
    </xf>
    <xf numFmtId="0" fontId="0" fillId="0" borderId="101" xfId="0" applyBorder="1" applyAlignment="1">
      <alignment horizontal="center" vertical="center"/>
    </xf>
    <xf numFmtId="1" fontId="0" fillId="0" borderId="102" xfId="0" applyNumberFormat="1" applyBorder="1" applyAlignment="1">
      <alignment horizontal="center" vertical="center"/>
    </xf>
    <xf numFmtId="0" fontId="0" fillId="0" borderId="35" xfId="0" applyBorder="1" applyAlignment="1">
      <alignment horizontal="center" vertical="center"/>
    </xf>
    <xf numFmtId="0" fontId="0" fillId="8" borderId="49" xfId="0" applyFill="1" applyBorder="1" applyAlignment="1">
      <alignment horizontal="center" vertical="center"/>
    </xf>
    <xf numFmtId="0" fontId="0" fillId="8" borderId="46" xfId="0" applyFill="1" applyBorder="1" applyAlignment="1">
      <alignment horizontal="center" vertical="center"/>
    </xf>
    <xf numFmtId="0" fontId="0" fillId="0" borderId="103" xfId="0" applyBorder="1" applyAlignment="1">
      <alignment horizontal="center" vertical="center"/>
    </xf>
    <xf numFmtId="1" fontId="0" fillId="0" borderId="104" xfId="0" applyNumberFormat="1" applyBorder="1" applyAlignment="1">
      <alignment horizontal="center" vertical="center"/>
    </xf>
    <xf numFmtId="0" fontId="0" fillId="8" borderId="35" xfId="0" applyFill="1" applyBorder="1" applyAlignment="1">
      <alignment horizontal="center" vertical="center"/>
    </xf>
    <xf numFmtId="0" fontId="0" fillId="8" borderId="37" xfId="0" applyFill="1" applyBorder="1" applyAlignment="1">
      <alignment horizontal="center" vertical="center"/>
    </xf>
    <xf numFmtId="0" fontId="26" fillId="0" borderId="53" xfId="0" quotePrefix="1" applyFont="1" applyFill="1" applyBorder="1" applyAlignment="1">
      <alignment horizontal="center" vertical="center" shrinkToFit="1"/>
    </xf>
    <xf numFmtId="0" fontId="0" fillId="0" borderId="105" xfId="0" applyBorder="1" applyAlignment="1">
      <alignment horizontal="center" vertical="center"/>
    </xf>
    <xf numFmtId="1" fontId="0" fillId="0" borderId="106" xfId="0" applyNumberFormat="1" applyBorder="1" applyAlignment="1">
      <alignment horizontal="center" vertical="center"/>
    </xf>
    <xf numFmtId="0" fontId="0" fillId="0" borderId="43" xfId="0" applyBorder="1" applyAlignment="1">
      <alignment horizontal="center" vertical="center"/>
    </xf>
    <xf numFmtId="0" fontId="0" fillId="8" borderId="45" xfId="0" applyFill="1" applyBorder="1" applyAlignment="1">
      <alignment horizontal="center" vertical="center"/>
    </xf>
    <xf numFmtId="0" fontId="46" fillId="0" borderId="90" xfId="0" applyFont="1" applyFill="1" applyBorder="1" applyAlignment="1">
      <alignment horizontal="centerContinuous" vertical="top" shrinkToFit="1"/>
    </xf>
    <xf numFmtId="0" fontId="55" fillId="0" borderId="30" xfId="0" applyFont="1" applyFill="1" applyBorder="1" applyAlignment="1">
      <alignment horizontal="centerContinuous" vertical="center"/>
    </xf>
    <xf numFmtId="0" fontId="6" fillId="0" borderId="22" xfId="0" applyFont="1" applyBorder="1" applyAlignment="1">
      <alignment horizontal="center" vertical="center" shrinkToFit="1"/>
    </xf>
    <xf numFmtId="0" fontId="6" fillId="0" borderId="53" xfId="0" quotePrefix="1" applyFont="1" applyFill="1" applyBorder="1" applyAlignment="1">
      <alignment horizontal="centerContinuous" vertical="center"/>
    </xf>
    <xf numFmtId="0" fontId="1" fillId="0" borderId="131" xfId="0" applyFont="1" applyFill="1" applyBorder="1" applyAlignment="1">
      <alignment horizontal="centerContinuous" vertical="center"/>
    </xf>
    <xf numFmtId="0" fontId="4" fillId="0" borderId="120" xfId="0" applyFont="1" applyFill="1" applyBorder="1" applyAlignment="1">
      <alignment horizontal="centerContinuous" vertical="center"/>
    </xf>
    <xf numFmtId="0" fontId="1" fillId="0" borderId="70" xfId="0" quotePrefix="1" applyFont="1" applyFill="1" applyBorder="1" applyAlignment="1">
      <alignment horizontal="center" vertical="center"/>
    </xf>
    <xf numFmtId="0" fontId="4" fillId="0" borderId="70" xfId="0" applyFont="1" applyFill="1" applyBorder="1" applyAlignment="1">
      <alignment horizontal="center" vertical="center"/>
    </xf>
    <xf numFmtId="9" fontId="4" fillId="0" borderId="70" xfId="0" applyNumberFormat="1" applyFont="1" applyFill="1" applyBorder="1" applyAlignment="1">
      <alignment horizontal="center" vertical="center"/>
    </xf>
    <xf numFmtId="164" fontId="4" fillId="0" borderId="70" xfId="0" applyNumberFormat="1" applyFont="1" applyFill="1" applyBorder="1" applyAlignment="1">
      <alignment horizontal="center" vertical="center"/>
    </xf>
    <xf numFmtId="164" fontId="4" fillId="0" borderId="72" xfId="0" applyNumberFormat="1" applyFont="1" applyFill="1" applyBorder="1" applyAlignment="1">
      <alignment horizontal="centerContinuous" vertical="center"/>
    </xf>
    <xf numFmtId="164" fontId="1" fillId="0" borderId="113" xfId="0" applyNumberFormat="1" applyFont="1" applyFill="1" applyBorder="1" applyAlignment="1">
      <alignment horizontal="centerContinuous" vertical="center"/>
    </xf>
    <xf numFmtId="0" fontId="4" fillId="0" borderId="114" xfId="0" quotePrefix="1" applyFont="1" applyFill="1" applyBorder="1" applyAlignment="1">
      <alignment horizontal="centerContinuous" vertical="center"/>
    </xf>
    <xf numFmtId="0" fontId="5" fillId="4" borderId="132" xfId="0" applyFont="1" applyFill="1" applyBorder="1" applyAlignment="1">
      <alignment horizontal="right" vertical="center"/>
    </xf>
    <xf numFmtId="1" fontId="6" fillId="0" borderId="133" xfId="0" applyNumberFormat="1" applyFont="1" applyFill="1" applyBorder="1" applyAlignment="1">
      <alignment horizontal="centerContinuous" vertical="center"/>
    </xf>
    <xf numFmtId="1" fontId="1" fillId="0" borderId="134" xfId="0" applyNumberFormat="1" applyFont="1" applyFill="1" applyBorder="1" applyAlignment="1">
      <alignment horizontal="centerContinuous" vertical="center"/>
    </xf>
    <xf numFmtId="0" fontId="5" fillId="4" borderId="135" xfId="0" applyFont="1" applyFill="1" applyBorder="1" applyAlignment="1">
      <alignment horizontal="right" vertical="center"/>
    </xf>
    <xf numFmtId="49" fontId="6" fillId="0" borderId="136" xfId="0" applyNumberFormat="1" applyFont="1" applyFill="1" applyBorder="1" applyAlignment="1">
      <alignment horizontal="center" vertical="center"/>
    </xf>
    <xf numFmtId="0" fontId="58" fillId="12" borderId="65" xfId="0" applyFont="1" applyFill="1" applyBorder="1" applyAlignment="1">
      <alignment horizontal="center" vertical="center"/>
    </xf>
    <xf numFmtId="0" fontId="58" fillId="12" borderId="87" xfId="0" applyFont="1" applyFill="1" applyBorder="1" applyAlignment="1">
      <alignment horizontal="centerContinuous" vertical="center"/>
    </xf>
    <xf numFmtId="0" fontId="58" fillId="12" borderId="86" xfId="0" applyFont="1" applyFill="1" applyBorder="1" applyAlignment="1">
      <alignment horizontal="centerContinuous" vertical="center"/>
    </xf>
    <xf numFmtId="0" fontId="58" fillId="12" borderId="88" xfId="0" applyFont="1" applyFill="1" applyBorder="1" applyAlignment="1">
      <alignment horizontal="centerContinuous" vertical="center"/>
    </xf>
    <xf numFmtId="0" fontId="64" fillId="0" borderId="5" xfId="0" applyFont="1" applyBorder="1" applyAlignment="1">
      <alignment horizontal="centerContinuous" vertical="center"/>
    </xf>
    <xf numFmtId="0" fontId="64" fillId="0" borderId="6" xfId="0" applyFont="1" applyBorder="1" applyAlignment="1">
      <alignment horizontal="centerContinuous" vertical="center"/>
    </xf>
    <xf numFmtId="0" fontId="65" fillId="0" borderId="6" xfId="0" applyFont="1" applyBorder="1" applyAlignment="1">
      <alignment horizontal="centerContinuous" vertical="center" wrapText="1"/>
    </xf>
    <xf numFmtId="0" fontId="65" fillId="0" borderId="7" xfId="0" applyFont="1" applyBorder="1" applyAlignment="1">
      <alignment horizontal="centerContinuous" vertical="center" wrapText="1"/>
    </xf>
    <xf numFmtId="0" fontId="64" fillId="0" borderId="8" xfId="0" applyFont="1" applyBorder="1" applyAlignment="1">
      <alignment horizontal="center" vertical="center"/>
    </xf>
    <xf numFmtId="0" fontId="64" fillId="0" borderId="9" xfId="0" applyFont="1" applyBorder="1" applyAlignment="1">
      <alignment horizontal="center" vertical="center"/>
    </xf>
    <xf numFmtId="0" fontId="64" fillId="0" borderId="10" xfId="0" applyFont="1" applyBorder="1" applyAlignment="1">
      <alignment horizontal="center" vertical="center"/>
    </xf>
    <xf numFmtId="0" fontId="66" fillId="0" borderId="0" xfId="0" applyFont="1" applyBorder="1" applyAlignment="1">
      <alignment horizontal="centerContinuous" vertical="center" wrapText="1"/>
    </xf>
    <xf numFmtId="0" fontId="68" fillId="0" borderId="27" xfId="0" applyFont="1" applyBorder="1" applyAlignment="1">
      <alignment horizontal="centerContinuous" vertical="center"/>
    </xf>
    <xf numFmtId="0" fontId="64" fillId="0" borderId="103" xfId="0" applyFont="1" applyBorder="1" applyAlignment="1">
      <alignment horizontal="center" vertical="center"/>
    </xf>
    <xf numFmtId="1" fontId="64" fillId="0" borderId="104" xfId="0" applyNumberFormat="1" applyFont="1" applyBorder="1" applyAlignment="1">
      <alignment horizontal="center" vertical="center"/>
    </xf>
    <xf numFmtId="0" fontId="64" fillId="0" borderId="35" xfId="0" applyFont="1" applyBorder="1" applyAlignment="1">
      <alignment horizontal="center" vertical="center"/>
    </xf>
    <xf numFmtId="0" fontId="58" fillId="12" borderId="106" xfId="0" applyFont="1" applyFill="1" applyBorder="1" applyAlignment="1">
      <alignment horizontal="center" vertical="center" wrapText="1"/>
    </xf>
    <xf numFmtId="0" fontId="58" fillId="12" borderId="126" xfId="0" applyFont="1" applyFill="1" applyBorder="1" applyAlignment="1">
      <alignment horizontal="center" vertical="center" wrapText="1"/>
    </xf>
    <xf numFmtId="0" fontId="1" fillId="0" borderId="35" xfId="0" applyFont="1" applyBorder="1" applyAlignment="1">
      <alignment horizontal="center" vertical="center"/>
    </xf>
    <xf numFmtId="0" fontId="4" fillId="0" borderId="50" xfId="0" applyFont="1" applyBorder="1" applyAlignment="1">
      <alignment horizontal="center" vertical="center"/>
    </xf>
    <xf numFmtId="0" fontId="4" fillId="0" borderId="44" xfId="0" applyFont="1" applyBorder="1" applyAlignment="1">
      <alignment horizontal="center" vertical="center"/>
    </xf>
    <xf numFmtId="0" fontId="1" fillId="0" borderId="95" xfId="0" applyFont="1" applyBorder="1" applyAlignment="1">
      <alignment horizontal="center" vertical="center"/>
    </xf>
    <xf numFmtId="164" fontId="4" fillId="0" borderId="137" xfId="0" applyNumberFormat="1" applyFont="1" applyFill="1" applyBorder="1" applyAlignment="1">
      <alignment horizontal="centerContinuous" vertical="center"/>
    </xf>
    <xf numFmtId="164" fontId="1" fillId="0" borderId="138" xfId="0" applyNumberFormat="1" applyFont="1" applyFill="1" applyBorder="1" applyAlignment="1">
      <alignment horizontal="centerContinuous" vertical="center"/>
    </xf>
    <xf numFmtId="0" fontId="4" fillId="0" borderId="139" xfId="0" quotePrefix="1" applyFont="1" applyFill="1" applyBorder="1" applyAlignment="1">
      <alignment horizontal="centerContinuous" vertical="center"/>
    </xf>
    <xf numFmtId="0" fontId="24" fillId="0" borderId="20"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11" fillId="3" borderId="60" xfId="0" applyFont="1" applyFill="1" applyBorder="1" applyAlignment="1">
      <alignment horizontal="centerContinuous" vertical="center"/>
    </xf>
    <xf numFmtId="0" fontId="11" fillId="3" borderId="32" xfId="0" applyFont="1" applyFill="1" applyBorder="1" applyAlignment="1">
      <alignment horizontal="center" vertical="center"/>
    </xf>
    <xf numFmtId="0" fontId="11" fillId="3" borderId="32" xfId="0" applyNumberFormat="1" applyFont="1" applyFill="1" applyBorder="1" applyAlignment="1">
      <alignment horizontal="center" vertical="center"/>
    </xf>
    <xf numFmtId="0" fontId="43" fillId="9" borderId="31"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9" fillId="0" borderId="1" xfId="0" applyFont="1" applyFill="1" applyBorder="1" applyAlignment="1">
      <alignment vertical="center"/>
    </xf>
    <xf numFmtId="0" fontId="6" fillId="0" borderId="22" xfId="0" applyFont="1" applyFill="1" applyBorder="1" applyAlignment="1">
      <alignment horizontal="center" vertical="center"/>
    </xf>
    <xf numFmtId="0" fontId="40" fillId="0" borderId="22" xfId="0" applyFont="1" applyFill="1" applyBorder="1" applyAlignment="1">
      <alignment horizontal="center" vertical="center"/>
    </xf>
    <xf numFmtId="0" fontId="6" fillId="12" borderId="22" xfId="0" applyFont="1" applyFill="1" applyBorder="1" applyAlignment="1">
      <alignment horizontal="center" vertical="center"/>
    </xf>
    <xf numFmtId="1" fontId="6" fillId="0" borderId="22" xfId="0" applyNumberFormat="1" applyFont="1" applyFill="1" applyBorder="1" applyAlignment="1">
      <alignment horizontal="center" vertical="center"/>
    </xf>
    <xf numFmtId="0" fontId="41" fillId="9" borderId="23"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3" xfId="0" applyNumberFormat="1" applyFont="1" applyFill="1" applyBorder="1" applyAlignment="1">
      <alignment horizontal="center" vertical="center"/>
    </xf>
    <xf numFmtId="0" fontId="6" fillId="0" borderId="24" xfId="0" quotePrefix="1" applyNumberFormat="1" applyFont="1" applyFill="1" applyBorder="1" applyAlignment="1">
      <alignment horizontal="center" vertical="center"/>
    </xf>
    <xf numFmtId="0" fontId="40" fillId="0" borderId="62" xfId="0" applyFont="1" applyFill="1" applyBorder="1" applyAlignment="1">
      <alignment vertical="center"/>
    </xf>
    <xf numFmtId="0" fontId="6" fillId="0" borderId="63" xfId="0" applyFont="1" applyFill="1" applyBorder="1" applyAlignment="1">
      <alignment horizontal="center" vertical="center"/>
    </xf>
    <xf numFmtId="0" fontId="43" fillId="0" borderId="63" xfId="0" applyFont="1" applyFill="1" applyBorder="1" applyAlignment="1">
      <alignment horizontal="center" vertical="center"/>
    </xf>
    <xf numFmtId="0" fontId="6" fillId="12" borderId="63" xfId="0" applyFont="1" applyFill="1" applyBorder="1" applyAlignment="1">
      <alignment horizontal="center" vertical="center"/>
    </xf>
    <xf numFmtId="1" fontId="6" fillId="0" borderId="63" xfId="0" applyNumberFormat="1" applyFont="1" applyFill="1" applyBorder="1" applyAlignment="1">
      <alignment horizontal="center" vertical="center"/>
    </xf>
    <xf numFmtId="0" fontId="41" fillId="9" borderId="63" xfId="0" applyNumberFormat="1" applyFont="1" applyFill="1" applyBorder="1" applyAlignment="1">
      <alignment horizontal="center" vertical="center"/>
    </xf>
    <xf numFmtId="49" fontId="6" fillId="0" borderId="63" xfId="0" applyNumberFormat="1" applyFont="1" applyFill="1" applyBorder="1" applyAlignment="1">
      <alignment horizontal="center" vertical="center"/>
    </xf>
    <xf numFmtId="0" fontId="6" fillId="0" borderId="64" xfId="0" quotePrefix="1" applyFont="1" applyFill="1" applyBorder="1" applyAlignment="1">
      <alignment horizontal="center" vertical="center"/>
    </xf>
    <xf numFmtId="0" fontId="10" fillId="0" borderId="1" xfId="0" applyFont="1" applyFill="1" applyBorder="1" applyAlignment="1">
      <alignment vertical="center"/>
    </xf>
    <xf numFmtId="0" fontId="6" fillId="0" borderId="22" xfId="0" applyNumberFormat="1" applyFont="1" applyFill="1" applyBorder="1" applyAlignment="1">
      <alignment horizontal="center" vertical="center"/>
    </xf>
    <xf numFmtId="49" fontId="16" fillId="0" borderId="22" xfId="0" applyNumberFormat="1" applyFont="1" applyFill="1" applyBorder="1" applyAlignment="1">
      <alignment horizontal="center" vertical="center"/>
    </xf>
    <xf numFmtId="0" fontId="16" fillId="0" borderId="23" xfId="0" applyNumberFormat="1" applyFont="1" applyFill="1" applyBorder="1" applyAlignment="1">
      <alignment horizontal="center" vertical="center"/>
    </xf>
    <xf numFmtId="0" fontId="10" fillId="0" borderId="23"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0" fontId="6" fillId="0" borderId="24" xfId="0" applyNumberFormat="1" applyFont="1" applyFill="1" applyBorder="1" applyAlignment="1">
      <alignment horizont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NumberFormat="1" applyFont="1" applyFill="1" applyBorder="1" applyAlignment="1">
      <alignment horizontal="center" vertical="center"/>
    </xf>
    <xf numFmtId="0" fontId="41" fillId="9" borderId="22"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2" xfId="0" applyNumberFormat="1" applyFont="1" applyFill="1" applyBorder="1" applyAlignment="1">
      <alignment horizontal="center" vertical="center"/>
    </xf>
    <xf numFmtId="0" fontId="17"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28" fillId="0" borderId="0" xfId="0" applyFont="1" applyBorder="1" applyAlignment="1">
      <alignment vertical="center"/>
    </xf>
    <xf numFmtId="0" fontId="9" fillId="6" borderId="1" xfId="0" applyFont="1" applyFill="1" applyBorder="1" applyAlignment="1">
      <alignment vertical="center"/>
    </xf>
    <xf numFmtId="0" fontId="6" fillId="6" borderId="22" xfId="0" applyNumberFormat="1" applyFont="1" applyFill="1" applyBorder="1" applyAlignment="1">
      <alignment horizontal="center" vertical="center"/>
    </xf>
    <xf numFmtId="49" fontId="26" fillId="6" borderId="22" xfId="0" applyNumberFormat="1" applyFont="1" applyFill="1" applyBorder="1" applyAlignment="1">
      <alignment horizontal="center" vertical="center"/>
    </xf>
    <xf numFmtId="0" fontId="26" fillId="6" borderId="23" xfId="0" applyNumberFormat="1" applyFont="1" applyFill="1" applyBorder="1" applyAlignment="1">
      <alignment horizontal="center" vertical="center"/>
    </xf>
    <xf numFmtId="0" fontId="9" fillId="6" borderId="23" xfId="0" applyNumberFormat="1" applyFont="1" applyFill="1" applyBorder="1" applyAlignment="1">
      <alignment horizontal="center" vertical="center"/>
    </xf>
    <xf numFmtId="49" fontId="6" fillId="6" borderId="23" xfId="0" applyNumberFormat="1" applyFont="1" applyFill="1" applyBorder="1" applyAlignment="1">
      <alignment horizontal="center" vertical="center"/>
    </xf>
    <xf numFmtId="0" fontId="6" fillId="6" borderId="24" xfId="0" applyNumberFormat="1" applyFont="1" applyFill="1" applyBorder="1" applyAlignment="1">
      <alignment horizontal="center" vertical="center"/>
    </xf>
    <xf numFmtId="0" fontId="10" fillId="6" borderId="1" xfId="0" applyFont="1" applyFill="1" applyBorder="1" applyAlignment="1">
      <alignment vertical="center"/>
    </xf>
    <xf numFmtId="49" fontId="16" fillId="6" borderId="22" xfId="0" applyNumberFormat="1" applyFont="1" applyFill="1" applyBorder="1" applyAlignment="1">
      <alignment horizontal="center" vertical="center"/>
    </xf>
    <xf numFmtId="0" fontId="16" fillId="6" borderId="23" xfId="0" applyNumberFormat="1" applyFont="1" applyFill="1" applyBorder="1" applyAlignment="1">
      <alignment horizontal="center" vertical="center"/>
    </xf>
    <xf numFmtId="0" fontId="10" fillId="6" borderId="23" xfId="0" applyNumberFormat="1" applyFont="1" applyFill="1" applyBorder="1" applyAlignment="1">
      <alignment horizontal="center" vertical="center"/>
    </xf>
    <xf numFmtId="0" fontId="30" fillId="0" borderId="0" xfId="0" applyFont="1" applyBorder="1" applyAlignment="1">
      <alignment vertical="center"/>
    </xf>
    <xf numFmtId="0" fontId="6" fillId="0" borderId="24"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2" xfId="0" applyNumberFormat="1" applyFont="1" applyFill="1" applyBorder="1" applyAlignment="1">
      <alignment horizontal="center" vertical="center"/>
    </xf>
    <xf numFmtId="49" fontId="16" fillId="8" borderId="22" xfId="0" applyNumberFormat="1" applyFont="1" applyFill="1" applyBorder="1" applyAlignment="1">
      <alignment horizontal="center" vertical="center"/>
    </xf>
    <xf numFmtId="0" fontId="16" fillId="8" borderId="23" xfId="0" applyNumberFormat="1" applyFont="1" applyFill="1" applyBorder="1" applyAlignment="1">
      <alignment horizontal="center" vertical="center"/>
    </xf>
    <xf numFmtId="0" fontId="10" fillId="8" borderId="23" xfId="0" applyNumberFormat="1" applyFont="1" applyFill="1" applyBorder="1" applyAlignment="1">
      <alignment horizontal="center" vertical="center"/>
    </xf>
    <xf numFmtId="49" fontId="6" fillId="8" borderId="23"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2" xfId="0" applyNumberFormat="1" applyFont="1" applyFill="1" applyBorder="1" applyAlignment="1">
      <alignment horizontal="center" vertical="center"/>
    </xf>
    <xf numFmtId="0" fontId="27" fillId="0" borderId="23" xfId="0" applyNumberFormat="1" applyFont="1" applyFill="1" applyBorder="1" applyAlignment="1">
      <alignment horizontal="center" vertical="center"/>
    </xf>
    <xf numFmtId="0" fontId="21" fillId="0" borderId="23" xfId="0" applyNumberFormat="1" applyFont="1" applyFill="1" applyBorder="1" applyAlignment="1">
      <alignment horizontal="center" vertical="center"/>
    </xf>
    <xf numFmtId="0" fontId="7" fillId="6" borderId="1" xfId="0" applyFont="1" applyFill="1" applyBorder="1" applyAlignment="1">
      <alignment vertical="center"/>
    </xf>
    <xf numFmtId="49" fontId="17" fillId="6" borderId="22" xfId="0" applyNumberFormat="1" applyFont="1" applyFill="1" applyBorder="1" applyAlignment="1">
      <alignment horizontal="center" vertical="center"/>
    </xf>
    <xf numFmtId="0" fontId="17" fillId="6" borderId="23" xfId="0" applyNumberFormat="1" applyFont="1" applyFill="1" applyBorder="1" applyAlignment="1">
      <alignment horizontal="center" vertical="center"/>
    </xf>
    <xf numFmtId="0" fontId="7" fillId="6" borderId="23" xfId="0" applyNumberFormat="1" applyFont="1" applyFill="1" applyBorder="1" applyAlignment="1">
      <alignment horizontal="center" vertical="center"/>
    </xf>
    <xf numFmtId="0" fontId="21" fillId="6" borderId="1" xfId="0" applyFont="1" applyFill="1" applyBorder="1" applyAlignment="1">
      <alignment vertical="center"/>
    </xf>
    <xf numFmtId="49" fontId="27" fillId="6" borderId="22" xfId="0" applyNumberFormat="1" applyFont="1" applyFill="1" applyBorder="1" applyAlignment="1">
      <alignment horizontal="center" vertical="center"/>
    </xf>
    <xf numFmtId="0" fontId="27" fillId="6" borderId="23" xfId="0" applyNumberFormat="1" applyFont="1" applyFill="1" applyBorder="1" applyAlignment="1">
      <alignment horizontal="center" vertical="center"/>
    </xf>
    <xf numFmtId="0" fontId="21" fillId="6" borderId="23" xfId="0" applyNumberFormat="1" applyFont="1" applyFill="1" applyBorder="1" applyAlignment="1">
      <alignment horizontal="center" vertical="center"/>
    </xf>
    <xf numFmtId="0" fontId="12" fillId="8" borderId="1" xfId="0" applyFont="1" applyFill="1" applyBorder="1" applyAlignment="1">
      <alignment vertical="center"/>
    </xf>
    <xf numFmtId="49" fontId="23" fillId="8" borderId="22" xfId="0" applyNumberFormat="1" applyFont="1" applyFill="1" applyBorder="1" applyAlignment="1">
      <alignment horizontal="center" vertical="center"/>
    </xf>
    <xf numFmtId="0" fontId="23" fillId="8" borderId="23" xfId="0" applyNumberFormat="1" applyFont="1" applyFill="1" applyBorder="1" applyAlignment="1">
      <alignment horizontal="center" vertical="center"/>
    </xf>
    <xf numFmtId="0" fontId="12" fillId="8" borderId="23" xfId="0" applyNumberFormat="1" applyFont="1" applyFill="1" applyBorder="1" applyAlignment="1">
      <alignment horizontal="center" vertical="center"/>
    </xf>
    <xf numFmtId="0" fontId="13" fillId="8" borderId="1" xfId="0" applyFont="1" applyFill="1" applyBorder="1" applyAlignment="1">
      <alignment vertical="center"/>
    </xf>
    <xf numFmtId="49" fontId="27" fillId="8" borderId="22" xfId="0" applyNumberFormat="1" applyFont="1" applyFill="1" applyBorder="1" applyAlignment="1">
      <alignment horizontal="center" vertical="center"/>
    </xf>
    <xf numFmtId="0" fontId="27" fillId="8" borderId="23" xfId="0" applyNumberFormat="1" applyFont="1" applyFill="1" applyBorder="1" applyAlignment="1">
      <alignment horizontal="center" vertical="center"/>
    </xf>
    <xf numFmtId="0" fontId="21" fillId="8" borderId="23" xfId="0" applyNumberFormat="1" applyFont="1" applyFill="1" applyBorder="1" applyAlignment="1">
      <alignment horizontal="center" vertical="center"/>
    </xf>
    <xf numFmtId="0" fontId="12" fillId="6" borderId="1" xfId="0" applyFont="1" applyFill="1" applyBorder="1" applyAlignment="1">
      <alignment vertical="center"/>
    </xf>
    <xf numFmtId="49" fontId="23" fillId="6" borderId="22" xfId="0" applyNumberFormat="1" applyFont="1" applyFill="1" applyBorder="1" applyAlignment="1">
      <alignment horizontal="center" vertical="center"/>
    </xf>
    <xf numFmtId="0" fontId="23" fillId="6" borderId="23" xfId="0" applyNumberFormat="1" applyFont="1" applyFill="1" applyBorder="1" applyAlignment="1">
      <alignment horizontal="center" vertical="center"/>
    </xf>
    <xf numFmtId="0" fontId="12" fillId="6" borderId="23" xfId="0" applyNumberFormat="1" applyFont="1" applyFill="1" applyBorder="1" applyAlignment="1">
      <alignment horizontal="center" vertical="center"/>
    </xf>
    <xf numFmtId="0" fontId="6" fillId="8" borderId="24" xfId="0" quotePrefix="1" applyNumberFormat="1" applyFont="1" applyFill="1" applyBorder="1" applyAlignment="1">
      <alignment horizontal="center" vertical="center"/>
    </xf>
    <xf numFmtId="0" fontId="6" fillId="6" borderId="24"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1" xfId="0" applyNumberFormat="1" applyFont="1" applyFill="1" applyBorder="1" applyAlignment="1">
      <alignment horizontal="center" vertical="center"/>
    </xf>
    <xf numFmtId="49" fontId="23" fillId="0" borderId="51" xfId="0" applyNumberFormat="1" applyFont="1" applyFill="1" applyBorder="1" applyAlignment="1">
      <alignment horizontal="center" vertical="center"/>
    </xf>
    <xf numFmtId="0" fontId="23" fillId="0" borderId="52" xfId="0" applyNumberFormat="1" applyFont="1" applyFill="1" applyBorder="1" applyAlignment="1">
      <alignment horizontal="center" vertical="center"/>
    </xf>
    <xf numFmtId="0" fontId="12" fillId="0" borderId="52"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0" fontId="41" fillId="9" borderId="51"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3" fillId="0" borderId="0" xfId="0" applyFont="1" applyBorder="1" applyAlignment="1">
      <alignment horizontal="center" vertical="center"/>
    </xf>
    <xf numFmtId="1"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1" fontId="1" fillId="0" borderId="0" xfId="0" applyNumberFormat="1" applyFont="1" applyBorder="1" applyAlignment="1">
      <alignment horizontal="center" vertical="center"/>
    </xf>
    <xf numFmtId="0" fontId="1" fillId="0" borderId="0" xfId="0" applyFont="1" applyBorder="1" applyAlignment="1">
      <alignment horizontal="left" vertical="center"/>
    </xf>
    <xf numFmtId="1" fontId="6" fillId="0" borderId="66" xfId="0" applyNumberFormat="1" applyFont="1" applyFill="1" applyBorder="1" applyAlignment="1">
      <alignment horizontal="centerContinuous" vertical="center"/>
    </xf>
    <xf numFmtId="1" fontId="1" fillId="0" borderId="67" xfId="0" applyNumberFormat="1" applyFont="1" applyFill="1" applyBorder="1" applyAlignment="1">
      <alignment horizontal="centerContinuous" vertical="center"/>
    </xf>
    <xf numFmtId="1" fontId="6" fillId="0" borderId="25" xfId="0" applyNumberFormat="1" applyFont="1" applyFill="1" applyBorder="1" applyAlignment="1">
      <alignment horizontal="center" vertical="center"/>
    </xf>
    <xf numFmtId="1" fontId="6" fillId="0" borderId="12" xfId="0" applyNumberFormat="1" applyFont="1" applyFill="1" applyBorder="1" applyAlignment="1">
      <alignment horizontal="center" vertical="center"/>
    </xf>
    <xf numFmtId="0" fontId="1" fillId="0" borderId="140" xfId="0" applyFont="1" applyBorder="1" applyAlignment="1">
      <alignment horizontal="center" vertical="center" shrinkToFit="1"/>
    </xf>
    <xf numFmtId="0" fontId="1" fillId="0" borderId="141" xfId="0" applyFont="1" applyBorder="1" applyAlignment="1">
      <alignment horizontal="center" vertical="center"/>
    </xf>
    <xf numFmtId="0" fontId="1" fillId="0" borderId="141" xfId="0" quotePrefix="1" applyFont="1" applyBorder="1" applyAlignment="1">
      <alignment horizontal="center" vertical="center"/>
    </xf>
    <xf numFmtId="9" fontId="1" fillId="0" borderId="141" xfId="0" applyNumberFormat="1" applyFont="1" applyFill="1" applyBorder="1" applyAlignment="1">
      <alignment horizontal="center" vertical="center"/>
    </xf>
    <xf numFmtId="49" fontId="1" fillId="0" borderId="141" xfId="0" quotePrefix="1" applyNumberFormat="1" applyFont="1" applyBorder="1" applyAlignment="1">
      <alignment horizontal="center" vertical="center"/>
    </xf>
    <xf numFmtId="164" fontId="1" fillId="0" borderId="141" xfId="0" applyNumberFormat="1" applyFont="1" applyFill="1" applyBorder="1" applyAlignment="1">
      <alignment horizontal="center" vertical="center"/>
    </xf>
    <xf numFmtId="164" fontId="1" fillId="0" borderId="142" xfId="0" applyNumberFormat="1" applyFont="1" applyFill="1" applyBorder="1" applyAlignment="1">
      <alignment horizontal="centerContinuous" vertical="center"/>
    </xf>
    <xf numFmtId="164" fontId="1" fillId="0" borderId="143" xfId="0" applyNumberFormat="1" applyFont="1" applyFill="1" applyBorder="1" applyAlignment="1">
      <alignment horizontal="centerContinuous" vertical="center"/>
    </xf>
    <xf numFmtId="0" fontId="1" fillId="0" borderId="144" xfId="0" quotePrefix="1" applyFont="1" applyBorder="1" applyAlignment="1">
      <alignment horizontal="centerContinuous" vertical="center"/>
    </xf>
    <xf numFmtId="0" fontId="1" fillId="13" borderId="117" xfId="0" quotePrefix="1" applyFont="1" applyFill="1" applyBorder="1" applyAlignment="1">
      <alignment horizontal="center" vertical="center"/>
    </xf>
    <xf numFmtId="1" fontId="1" fillId="13" borderId="81" xfId="0" applyNumberFormat="1" applyFont="1" applyFill="1" applyBorder="1" applyAlignment="1">
      <alignment horizontal="center" vertical="center"/>
    </xf>
    <xf numFmtId="1" fontId="1" fillId="13" borderId="59" xfId="0" applyNumberFormat="1" applyFont="1" applyFill="1" applyBorder="1" applyAlignment="1">
      <alignment horizontal="center" vertical="center"/>
    </xf>
    <xf numFmtId="0" fontId="1" fillId="0" borderId="145" xfId="0" applyFont="1" applyFill="1" applyBorder="1" applyAlignment="1">
      <alignment horizontal="center" vertical="center" shrinkToFit="1"/>
    </xf>
    <xf numFmtId="0" fontId="1" fillId="0" borderId="39" xfId="0" quotePrefix="1" applyFont="1" applyFill="1" applyBorder="1" applyAlignment="1">
      <alignment horizontal="center" vertical="center"/>
    </xf>
    <xf numFmtId="0" fontId="1" fillId="0" borderId="39" xfId="0" applyFont="1" applyFill="1" applyBorder="1" applyAlignment="1">
      <alignment horizontal="center" vertical="center"/>
    </xf>
    <xf numFmtId="9" fontId="1" fillId="0" borderId="39" xfId="0" applyNumberFormat="1" applyFont="1" applyFill="1" applyBorder="1" applyAlignment="1">
      <alignment horizontal="center" vertical="center"/>
    </xf>
    <xf numFmtId="164" fontId="1" fillId="0" borderId="39" xfId="0" applyNumberFormat="1" applyFont="1" applyFill="1" applyBorder="1" applyAlignment="1">
      <alignment horizontal="center" vertical="center"/>
    </xf>
    <xf numFmtId="164" fontId="1" fillId="0" borderId="40" xfId="0" applyNumberFormat="1" applyFont="1" applyFill="1" applyBorder="1" applyAlignment="1">
      <alignment horizontal="centerContinuous" vertical="center"/>
    </xf>
    <xf numFmtId="0" fontId="1" fillId="0" borderId="139" xfId="0" applyFont="1" applyFill="1" applyBorder="1" applyAlignment="1">
      <alignment horizontal="centerContinuous" vertical="center"/>
    </xf>
    <xf numFmtId="0" fontId="1" fillId="0" borderId="145"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40" xfId="0" applyFont="1" applyFill="1" applyBorder="1" applyAlignment="1">
      <alignment horizontal="left" vertical="center"/>
    </xf>
    <xf numFmtId="0" fontId="1" fillId="0" borderId="96" xfId="0" applyFont="1" applyFill="1" applyBorder="1" applyAlignment="1">
      <alignment horizontal="center" vertical="center" shrinkToFit="1"/>
    </xf>
    <xf numFmtId="164" fontId="4" fillId="0" borderId="137" xfId="0" applyNumberFormat="1" applyFont="1" applyFill="1" applyBorder="1" applyAlignment="1">
      <alignment horizontal="center" vertical="center"/>
    </xf>
    <xf numFmtId="1" fontId="45" fillId="9" borderId="137" xfId="0" applyNumberFormat="1" applyFont="1" applyFill="1" applyBorder="1" applyAlignment="1">
      <alignment horizontal="center" vertical="center"/>
    </xf>
    <xf numFmtId="1" fontId="1" fillId="0" borderId="96" xfId="0" applyNumberFormat="1" applyFont="1" applyBorder="1" applyAlignment="1">
      <alignment horizontal="center" vertical="center"/>
    </xf>
    <xf numFmtId="0" fontId="1" fillId="0" borderId="97" xfId="0" applyFont="1" applyFill="1" applyBorder="1" applyAlignment="1">
      <alignment horizontal="center" vertical="center"/>
    </xf>
    <xf numFmtId="1" fontId="1" fillId="0" borderId="94" xfId="0" applyNumberFormat="1" applyFont="1" applyBorder="1" applyAlignment="1">
      <alignment horizontal="center" vertical="center" shrinkToFit="1"/>
    </xf>
    <xf numFmtId="9" fontId="6" fillId="0" borderId="23" xfId="2" applyFont="1" applyFill="1" applyBorder="1" applyAlignment="1">
      <alignment horizontal="center" shrinkToFit="1"/>
    </xf>
    <xf numFmtId="0" fontId="60" fillId="0" borderId="8" xfId="5" applyFont="1" applyFill="1" applyBorder="1" applyAlignment="1">
      <alignment horizontal="center" shrinkToFit="1"/>
    </xf>
    <xf numFmtId="0" fontId="6" fillId="0" borderId="51" xfId="5" applyFont="1" applyFill="1" applyBorder="1" applyAlignment="1">
      <alignment horizontal="center" wrapText="1"/>
    </xf>
    <xf numFmtId="9" fontId="6" fillId="0" borderId="51" xfId="2" applyFont="1" applyFill="1" applyBorder="1" applyAlignment="1">
      <alignment horizontal="center" vertical="center" shrinkToFit="1"/>
    </xf>
    <xf numFmtId="0" fontId="6" fillId="0" borderId="52" xfId="2"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0" fontId="1" fillId="0" borderId="107" xfId="0" applyFont="1" applyBorder="1" applyAlignment="1">
      <alignment horizontal="center" shrinkToFit="1"/>
    </xf>
    <xf numFmtId="0" fontId="1" fillId="0" borderId="104" xfId="0" applyFont="1" applyBorder="1" applyAlignment="1">
      <alignment horizontal="center" shrinkToFit="1"/>
    </xf>
    <xf numFmtId="164" fontId="1" fillId="0" borderId="35" xfId="0" applyNumberFormat="1" applyFont="1" applyBorder="1" applyAlignment="1">
      <alignment horizontal="center" shrinkToFit="1"/>
    </xf>
    <xf numFmtId="0" fontId="1" fillId="0" borderId="35" xfId="0" applyFont="1" applyBorder="1" applyAlignment="1">
      <alignment horizontal="left"/>
    </xf>
    <xf numFmtId="0" fontId="1" fillId="0" borderId="37" xfId="0" applyFont="1" applyBorder="1" applyAlignment="1">
      <alignment horizontal="left" shrinkToFit="1"/>
    </xf>
    <xf numFmtId="0" fontId="1" fillId="0" borderId="0" xfId="0" applyFont="1" applyAlignment="1">
      <alignment horizontal="center"/>
    </xf>
    <xf numFmtId="0" fontId="1" fillId="0" borderId="145" xfId="0" applyFont="1" applyBorder="1" applyAlignment="1">
      <alignment horizontal="center" shrinkToFit="1"/>
    </xf>
    <xf numFmtId="0" fontId="1" fillId="0" borderId="146" xfId="0" applyFont="1" applyBorder="1" applyAlignment="1">
      <alignment horizontal="center" shrinkToFit="1"/>
    </xf>
    <xf numFmtId="164" fontId="1" fillId="0" borderId="39" xfId="0" applyNumberFormat="1" applyFont="1" applyBorder="1" applyAlignment="1">
      <alignment horizontal="center" shrinkToFit="1"/>
    </xf>
    <xf numFmtId="0" fontId="1" fillId="0" borderId="39" xfId="0" applyFont="1" applyBorder="1" applyAlignment="1">
      <alignment horizontal="left"/>
    </xf>
    <xf numFmtId="0" fontId="13" fillId="6" borderId="1" xfId="0" applyFont="1" applyFill="1" applyBorder="1" applyAlignment="1">
      <alignment vertical="center"/>
    </xf>
    <xf numFmtId="49" fontId="22" fillId="6" borderId="22"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3" fillId="6" borderId="23" xfId="0" applyNumberFormat="1" applyFont="1" applyFill="1" applyBorder="1" applyAlignment="1">
      <alignment horizontal="center"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4" xfId="8" xr:uid="{00000000-0005-0000-0000-000005000000}"/>
    <cellStyle name="Percent" xfId="2" builtinId="5"/>
    <cellStyle name="Percent 2" xfId="3" xr:uid="{00000000-0005-0000-0000-000007000000}"/>
    <cellStyle name="Percent 2 2" xfId="7" xr:uid="{00000000-0005-0000-0000-000008000000}"/>
  </cellStyles>
  <dxfs count="33">
    <dxf>
      <font>
        <color rgb="FFFF0000"/>
      </font>
    </dxf>
    <dxf>
      <font>
        <b val="0"/>
        <i/>
        <color theme="1"/>
      </font>
      <fill>
        <patternFill>
          <bgColor theme="0" tint="-0.24994659260841701"/>
        </patternFill>
      </fill>
    </dxf>
    <dxf>
      <font>
        <b/>
        <i val="0"/>
        <color theme="1"/>
      </font>
      <fill>
        <patternFill>
          <bgColor rgb="FF66FF33"/>
        </patternFill>
      </fill>
    </dxf>
    <dxf>
      <fill>
        <gradientFill type="path" left="0.5" right="0.5" top="0.5" bottom="0.5">
          <stop position="0">
            <color rgb="FFFF0000"/>
          </stop>
          <stop position="1">
            <color rgb="FFFFC000"/>
          </stop>
        </gradient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24994659260841701"/>
        </patternFill>
      </fill>
    </dxf>
    <dxf>
      <font>
        <b/>
        <i val="0"/>
        <color theme="1"/>
      </font>
      <fill>
        <patternFill>
          <bgColor rgb="FF66FF33"/>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9FF99"/>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9966FF"/>
      <color rgb="FF0000FF"/>
      <color rgb="FF00FFFF"/>
      <color rgb="FFFF6600"/>
      <color rgb="FF66FF33"/>
      <color rgb="FF99FF99"/>
      <color rgb="FF00FF00"/>
      <color rgb="FF00990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15</xdr:row>
      <xdr:rowOff>57150</xdr:rowOff>
    </xdr:from>
    <xdr:to>
      <xdr:col>6</xdr:col>
      <xdr:colOff>1276350</xdr:colOff>
      <xdr:row>23</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r>
            <a:rPr lang="en-US" sz="1200">
              <a:effectLst/>
              <a:latin typeface="Times New Roman" panose="02020603050405020304" pitchFamily="18" charset="0"/>
              <a:ea typeface="+mn-ea"/>
              <a:cs typeface="Times New Roman" panose="02020603050405020304" pitchFamily="18" charset="0"/>
            </a:rPr>
            <a:t>Native to Everlund.</a:t>
          </a:r>
          <a:endParaRPr lang="en-US" sz="1200">
            <a:effectLst/>
            <a:latin typeface="Times New Roman" panose="02020603050405020304" pitchFamily="18" charset="0"/>
            <a:cs typeface="Times New Roman" panose="02020603050405020304" pitchFamily="18" charset="0"/>
          </a:endParaRPr>
        </a:p>
        <a:p>
          <a:endParaRPr lang="en-US" sz="1200">
            <a:effectLst/>
            <a:latin typeface="Times New Roman" panose="02020603050405020304" pitchFamily="18" charset="0"/>
            <a:ea typeface="+mn-ea"/>
            <a:cs typeface="Times New Roman" panose="02020603050405020304" pitchFamily="18" charset="0"/>
          </a:endParaRPr>
        </a:p>
        <a:p>
          <a:r>
            <a:rPr lang="en-US" sz="1200">
              <a:effectLst/>
              <a:latin typeface="Times New Roman" panose="02020603050405020304" pitchFamily="18" charset="0"/>
              <a:ea typeface="+mn-ea"/>
              <a:cs typeface="Times New Roman" panose="02020603050405020304" pitchFamily="18" charset="0"/>
            </a:rPr>
            <a:t>She left her family home due to poor relationships with her human mother’s family after her elven father was killed in a boating accident.</a:t>
          </a:r>
          <a:endParaRPr lang="en-US" sz="1200">
            <a:effectLst/>
            <a:latin typeface="Times New Roman" panose="02020603050405020304" pitchFamily="18" charset="0"/>
            <a:cs typeface="Times New Roman" panose="02020603050405020304" pitchFamily="18" charset="0"/>
          </a:endParaRPr>
        </a:p>
        <a:p>
          <a:endParaRPr lang="en-US" sz="1200">
            <a:effectLst/>
            <a:latin typeface="Times New Roman" panose="02020603050405020304" pitchFamily="18" charset="0"/>
            <a:ea typeface="+mn-ea"/>
            <a:cs typeface="Times New Roman" panose="02020603050405020304" pitchFamily="18" charset="0"/>
          </a:endParaRPr>
        </a:p>
        <a:p>
          <a:r>
            <a:rPr lang="en-US" sz="1200">
              <a:effectLst/>
              <a:latin typeface="Times New Roman" panose="02020603050405020304" pitchFamily="18" charset="0"/>
              <a:ea typeface="+mn-ea"/>
              <a:cs typeface="Times New Roman" panose="02020603050405020304" pitchFamily="18" charset="0"/>
            </a:rPr>
            <a:t>She is in love with and defers to Rook, admires Lauren and Allisa, reserved around the Gambit, tolerates the other followers. She can be prickly</a:t>
          </a:r>
          <a:r>
            <a:rPr lang="en-US" sz="1200" baseline="0">
              <a:effectLst/>
              <a:latin typeface="Times New Roman" panose="02020603050405020304" pitchFamily="18" charset="0"/>
              <a:ea typeface="+mn-ea"/>
              <a:cs typeface="Times New Roman" panose="02020603050405020304" pitchFamily="18" charset="0"/>
            </a:rPr>
            <a:t> and aloof. </a:t>
          </a:r>
          <a:endParaRPr lang="en-US" sz="1200">
            <a:effectLst/>
            <a:latin typeface="Times New Roman" panose="02020603050405020304" pitchFamily="18" charset="0"/>
            <a:cs typeface="Times New Roman" panose="02020603050405020304" pitchFamily="18" charset="0"/>
          </a:endParaRPr>
        </a:p>
        <a:p>
          <a:endParaRPr lang="en-US" sz="1200" baseline="0">
            <a:effectLst/>
            <a:latin typeface="Times New Roman" panose="02020603050405020304" pitchFamily="18" charset="0"/>
            <a:ea typeface="+mn-ea"/>
            <a:cs typeface="Times New Roman" panose="02020603050405020304" pitchFamily="18" charset="0"/>
          </a:endParaRPr>
        </a:p>
        <a:p>
          <a:r>
            <a:rPr lang="en-US" sz="1200" baseline="0">
              <a:effectLst/>
              <a:latin typeface="Times New Roman" panose="02020603050405020304" pitchFamily="18" charset="0"/>
              <a:ea typeface="+mn-ea"/>
              <a:cs typeface="Times New Roman" panose="02020603050405020304" pitchFamily="18" charset="0"/>
            </a:rPr>
            <a:t>She is an excellent blacksmith; her specialty is decorative wrought iron for gates and similar items.</a:t>
          </a:r>
          <a:endParaRPr lang="en-US" sz="1200">
            <a:effectLst/>
            <a:latin typeface="Times New Roman" panose="02020603050405020304" pitchFamily="18" charset="0"/>
            <a:cs typeface="Times New Roman" panose="02020603050405020304" pitchFamily="18" charset="0"/>
          </a:endParaRPr>
        </a:p>
      </xdr:txBody>
    </xdr:sp>
    <xdr:clientData/>
  </xdr:twoCellAnchor>
  <xdr:twoCellAnchor>
    <xdr:from>
      <xdr:col>5</xdr:col>
      <xdr:colOff>68580</xdr:colOff>
      <xdr:row>12</xdr:row>
      <xdr:rowOff>0</xdr:rowOff>
    </xdr:from>
    <xdr:to>
      <xdr:col>6</xdr:col>
      <xdr:colOff>1240155</xdr:colOff>
      <xdr:row>14</xdr:row>
      <xdr:rowOff>211454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198620" y="2750820"/>
          <a:ext cx="2291715" cy="6457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endParaRPr lang="en-US" sz="1200" b="0" i="1" u="none" strike="noStrike" baseline="0">
            <a:solidFill>
              <a:srgbClr val="000000"/>
            </a:solidFill>
            <a:latin typeface="Times New Roman"/>
            <a:cs typeface="Times New Roman"/>
          </a:endParaRPr>
        </a:p>
      </xdr:txBody>
    </xdr:sp>
    <xdr:clientData/>
  </xdr:twoCellAnchor>
  <xdr:twoCellAnchor editAs="oneCell">
    <xdr:from>
      <xdr:col>5</xdr:col>
      <xdr:colOff>45720</xdr:colOff>
      <xdr:row>1</xdr:row>
      <xdr:rowOff>121920</xdr:rowOff>
    </xdr:from>
    <xdr:to>
      <xdr:col>6</xdr:col>
      <xdr:colOff>1255394</xdr:colOff>
      <xdr:row>11</xdr:row>
      <xdr:rowOff>136894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5760" y="495300"/>
          <a:ext cx="2329814" cy="2179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470535</xdr:colOff>
      <xdr:row>1</xdr:row>
      <xdr:rowOff>123825</xdr:rowOff>
    </xdr:from>
    <xdr:to>
      <xdr:col>3</xdr:col>
      <xdr:colOff>1905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showGridLines="0" tabSelected="1" zoomScaleNormal="100" workbookViewId="0"/>
  </sheetViews>
  <sheetFormatPr defaultColWidth="13" defaultRowHeight="15.6"/>
  <cols>
    <col min="1" max="1" width="14.3984375" style="46" customWidth="1"/>
    <col min="2" max="3" width="7.59765625" style="47" customWidth="1"/>
    <col min="4" max="4" width="13.69921875" style="46" bestFit="1" customWidth="1"/>
    <col min="5" max="5" width="10.8984375" style="47" bestFit="1" customWidth="1"/>
    <col min="6" max="6" width="14.69921875" style="46" customWidth="1"/>
    <col min="7" max="7" width="17.09765625" style="47" customWidth="1"/>
    <col min="8" max="16384" width="13" style="10"/>
  </cols>
  <sheetData>
    <row r="1" spans="1:7" ht="29.4" thickTop="1" thickBot="1">
      <c r="A1" s="280" t="s">
        <v>242</v>
      </c>
      <c r="B1" s="281"/>
      <c r="C1" s="109"/>
      <c r="D1" s="110"/>
      <c r="E1" s="222"/>
      <c r="F1" s="110"/>
      <c r="G1" s="282" t="s">
        <v>163</v>
      </c>
    </row>
    <row r="2" spans="1:7" ht="17.399999999999999" thickTop="1">
      <c r="A2" s="11" t="s">
        <v>217</v>
      </c>
      <c r="B2" s="143" t="s">
        <v>243</v>
      </c>
      <c r="C2" s="143"/>
      <c r="D2" s="14" t="s">
        <v>230</v>
      </c>
      <c r="E2" s="13" t="s">
        <v>88</v>
      </c>
      <c r="F2" s="15"/>
      <c r="G2" s="16"/>
    </row>
    <row r="3" spans="1:7" ht="16.8">
      <c r="A3" s="11" t="s">
        <v>218</v>
      </c>
      <c r="B3" s="143" t="s">
        <v>87</v>
      </c>
      <c r="C3" s="143"/>
      <c r="D3" s="14" t="s">
        <v>85</v>
      </c>
      <c r="E3" s="13">
        <v>14</v>
      </c>
      <c r="F3" s="14"/>
      <c r="G3" s="16"/>
    </row>
    <row r="4" spans="1:7" ht="16.8">
      <c r="A4" s="11" t="s">
        <v>219</v>
      </c>
      <c r="B4" s="143" t="s">
        <v>255</v>
      </c>
      <c r="C4" s="143"/>
      <c r="D4" s="14" t="s">
        <v>231</v>
      </c>
      <c r="E4" s="13">
        <v>32</v>
      </c>
      <c r="F4" s="14"/>
      <c r="G4" s="16"/>
    </row>
    <row r="5" spans="1:7" ht="16.8">
      <c r="A5" s="11" t="s">
        <v>220</v>
      </c>
      <c r="B5" s="143" t="s">
        <v>256</v>
      </c>
      <c r="C5" s="143"/>
      <c r="D5" s="14" t="s">
        <v>232</v>
      </c>
      <c r="E5" s="13" t="s">
        <v>257</v>
      </c>
      <c r="F5" s="14"/>
      <c r="G5" s="16"/>
    </row>
    <row r="6" spans="1:7" ht="17.399999999999999" thickBot="1">
      <c r="A6" s="11" t="s">
        <v>221</v>
      </c>
      <c r="B6" s="143" t="s">
        <v>259</v>
      </c>
      <c r="C6" s="143"/>
      <c r="D6" s="14" t="s">
        <v>233</v>
      </c>
      <c r="E6" s="13" t="s">
        <v>258</v>
      </c>
      <c r="F6" s="14"/>
      <c r="G6" s="16"/>
    </row>
    <row r="7" spans="1:7" ht="17.399999999999999" thickTop="1">
      <c r="A7" s="17" t="s">
        <v>222</v>
      </c>
      <c r="B7" s="505">
        <f>E3</f>
        <v>14</v>
      </c>
      <c r="C7" s="506"/>
      <c r="D7" s="18" t="s">
        <v>234</v>
      </c>
      <c r="E7" s="19" t="s">
        <v>82</v>
      </c>
      <c r="F7" s="20"/>
      <c r="G7" s="16"/>
    </row>
    <row r="8" spans="1:7" ht="17.399999999999999" thickBot="1">
      <c r="A8" s="365" t="s">
        <v>223</v>
      </c>
      <c r="B8" s="366">
        <f>C10+4</f>
        <v>4</v>
      </c>
      <c r="C8" s="367"/>
      <c r="D8" s="368" t="s">
        <v>235</v>
      </c>
      <c r="E8" s="369" t="s">
        <v>82</v>
      </c>
      <c r="F8" s="20"/>
      <c r="G8" s="16"/>
    </row>
    <row r="9" spans="1:7" ht="16.8">
      <c r="A9" s="21" t="s">
        <v>224</v>
      </c>
      <c r="B9" s="315">
        <f>18</f>
        <v>18</v>
      </c>
      <c r="C9" s="316" t="str">
        <f t="shared" ref="C9:C14" si="0">IF(B9&gt;9.9,CONCATENATE("+",ROUNDDOWN((B9-10)/2,0)),ROUNDUP((B9-10)/2,0))</f>
        <v>+4</v>
      </c>
      <c r="D9" s="22" t="s">
        <v>236</v>
      </c>
      <c r="E9" s="111" t="s">
        <v>244</v>
      </c>
      <c r="F9" s="20"/>
      <c r="G9" s="16"/>
    </row>
    <row r="10" spans="1:7" ht="16.8">
      <c r="A10" s="23" t="s">
        <v>225</v>
      </c>
      <c r="B10" s="317">
        <f>10</f>
        <v>10</v>
      </c>
      <c r="C10" s="318" t="str">
        <f t="shared" si="0"/>
        <v>+0</v>
      </c>
      <c r="D10" s="24" t="s">
        <v>237</v>
      </c>
      <c r="E10" s="25">
        <f>SUM(Martial!G3:G34,Equipment!C3:C20)</f>
        <v>27.5</v>
      </c>
      <c r="F10" s="20"/>
      <c r="G10" s="16"/>
    </row>
    <row r="11" spans="1:7" ht="16.8">
      <c r="A11" s="26" t="s">
        <v>226</v>
      </c>
      <c r="B11" s="317">
        <f>14</f>
        <v>14</v>
      </c>
      <c r="C11" s="319" t="str">
        <f t="shared" si="0"/>
        <v>+2</v>
      </c>
      <c r="D11" s="24" t="s">
        <v>238</v>
      </c>
      <c r="E11" s="27">
        <f>ROUNDUP(((E3*10)*0.75)+(E3*C11),0)</f>
        <v>133</v>
      </c>
      <c r="F11" s="20"/>
      <c r="G11" s="16"/>
    </row>
    <row r="12" spans="1:7" ht="16.8">
      <c r="A12" s="28" t="s">
        <v>227</v>
      </c>
      <c r="B12" s="320">
        <f>12</f>
        <v>12</v>
      </c>
      <c r="C12" s="318" t="str">
        <f t="shared" si="0"/>
        <v>+1</v>
      </c>
      <c r="D12" s="29" t="s">
        <v>239</v>
      </c>
      <c r="E12" s="507">
        <f>10+C10</f>
        <v>10</v>
      </c>
      <c r="F12" s="11"/>
      <c r="G12" s="16"/>
    </row>
    <row r="13" spans="1:7" ht="16.8">
      <c r="A13" s="30" t="s">
        <v>228</v>
      </c>
      <c r="B13" s="321">
        <f>10</f>
        <v>10</v>
      </c>
      <c r="C13" s="318" t="str">
        <f t="shared" si="0"/>
        <v>+0</v>
      </c>
      <c r="D13" s="29" t="s">
        <v>240</v>
      </c>
      <c r="E13" s="507">
        <f>E14-C10</f>
        <v>28</v>
      </c>
      <c r="F13" s="20"/>
      <c r="G13" s="16"/>
    </row>
    <row r="14" spans="1:7" ht="17.399999999999999" thickBot="1">
      <c r="A14" s="31" t="s">
        <v>229</v>
      </c>
      <c r="B14" s="322">
        <v>9</v>
      </c>
      <c r="C14" s="323">
        <f t="shared" si="0"/>
        <v>-1</v>
      </c>
      <c r="D14" s="32" t="s">
        <v>241</v>
      </c>
      <c r="E14" s="508">
        <f>E12+SUM(Martial!$B$26:$B$31)</f>
        <v>28</v>
      </c>
      <c r="F14" s="20"/>
      <c r="G14" s="16"/>
    </row>
    <row r="15" spans="1:7" ht="24" thickTop="1" thickBot="1">
      <c r="A15" s="33" t="s">
        <v>17</v>
      </c>
      <c r="B15" s="34"/>
      <c r="C15" s="34"/>
      <c r="D15" s="35"/>
      <c r="E15" s="35"/>
      <c r="F15" s="35"/>
      <c r="G15" s="36"/>
    </row>
    <row r="16" spans="1:7" s="40" customFormat="1" ht="17.399999999999999" thickTop="1">
      <c r="A16" s="37"/>
      <c r="B16" s="38"/>
      <c r="C16" s="38"/>
      <c r="D16" s="38"/>
      <c r="E16" s="38"/>
      <c r="F16" s="38"/>
      <c r="G16" s="39"/>
    </row>
    <row r="17" spans="1:8" s="40" customFormat="1" ht="16.8">
      <c r="A17" s="41"/>
      <c r="B17" s="12"/>
      <c r="C17" s="12"/>
      <c r="D17" s="12"/>
      <c r="E17" s="12"/>
      <c r="F17" s="12"/>
      <c r="G17" s="42"/>
    </row>
    <row r="18" spans="1:8" s="40" customFormat="1" ht="16.8">
      <c r="A18" s="41"/>
      <c r="B18" s="12"/>
      <c r="C18" s="12"/>
      <c r="D18" s="12"/>
      <c r="E18" s="12"/>
      <c r="F18" s="12"/>
      <c r="G18" s="42"/>
    </row>
    <row r="19" spans="1:8" s="40" customFormat="1" ht="16.8">
      <c r="A19" s="41"/>
      <c r="B19" s="12"/>
      <c r="C19" s="12"/>
      <c r="D19" s="12"/>
      <c r="E19" s="12"/>
      <c r="F19" s="12"/>
      <c r="G19" s="42"/>
    </row>
    <row r="20" spans="1:8" s="40" customFormat="1" ht="16.8">
      <c r="A20" s="41"/>
      <c r="B20" s="12"/>
      <c r="C20" s="12"/>
      <c r="D20" s="12"/>
      <c r="E20" s="12"/>
      <c r="F20" s="12"/>
      <c r="G20" s="42"/>
    </row>
    <row r="21" spans="1:8" s="40" customFormat="1" ht="16.8">
      <c r="A21" s="41"/>
      <c r="B21" s="12"/>
      <c r="C21" s="12"/>
      <c r="D21" s="12"/>
      <c r="E21" s="12"/>
      <c r="F21" s="12"/>
      <c r="G21" s="42"/>
    </row>
    <row r="22" spans="1:8" s="40" customFormat="1" ht="16.8">
      <c r="A22" s="41"/>
      <c r="B22" s="12"/>
      <c r="C22" s="12"/>
      <c r="D22" s="12"/>
      <c r="E22" s="12"/>
      <c r="F22" s="12"/>
      <c r="G22" s="42"/>
    </row>
    <row r="23" spans="1:8" s="40" customFormat="1" ht="16.8">
      <c r="A23" s="41"/>
      <c r="B23" s="12"/>
      <c r="C23" s="12"/>
      <c r="D23" s="12"/>
      <c r="E23" s="12"/>
      <c r="F23" s="12"/>
      <c r="G23" s="42"/>
    </row>
    <row r="24" spans="1:8" ht="17.399999999999999" thickBot="1">
      <c r="A24" s="43"/>
      <c r="B24" s="44"/>
      <c r="C24" s="44"/>
      <c r="D24" s="44"/>
      <c r="E24" s="44"/>
      <c r="F24" s="44"/>
      <c r="G24" s="45"/>
      <c r="H24" s="40"/>
    </row>
    <row r="25" spans="1:8" ht="16.2" thickTop="1"/>
  </sheetData>
  <phoneticPr fontId="0" type="noConversion"/>
  <conditionalFormatting sqref="E10">
    <cfRule type="cellIs" dxfId="32" priority="4" stopIfTrue="1" operator="greaterThan">
      <formula>116</formula>
    </cfRule>
    <cfRule type="cellIs" dxfId="31" priority="5" stopIfTrue="1" operator="between">
      <formula>58</formula>
      <formula>116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zoomScaleNormal="100" workbookViewId="0">
      <pane ySplit="2" topLeftCell="A3" activePane="bottomLeft" state="frozen"/>
      <selection pane="bottomLeft" activeCell="A3" sqref="A3"/>
    </sheetView>
  </sheetViews>
  <sheetFormatPr defaultColWidth="13" defaultRowHeight="15.6"/>
  <cols>
    <col min="1" max="1" width="30.3984375" style="46" bestFit="1" customWidth="1"/>
    <col min="2" max="2" width="5.8984375" style="46" bestFit="1" customWidth="1"/>
    <col min="3" max="3" width="11.59765625" style="47" hidden="1" customWidth="1"/>
    <col min="4" max="4" width="5.796875" style="47" hidden="1" customWidth="1"/>
    <col min="5" max="5" width="9.19921875" style="47" bestFit="1" customWidth="1"/>
    <col min="6" max="6" width="8.19921875" style="47" bestFit="1" customWidth="1"/>
    <col min="7" max="7" width="6" style="502" bestFit="1" customWidth="1"/>
    <col min="8" max="8" width="5.19921875" style="502" bestFit="1" customWidth="1"/>
    <col min="9" max="9" width="6.8984375" style="502" bestFit="1" customWidth="1"/>
    <col min="10" max="10" width="34.69921875" style="46" bestFit="1" customWidth="1"/>
    <col min="11" max="16384" width="13" style="10"/>
  </cols>
  <sheetData>
    <row r="1" spans="1:10" ht="23.4" thickBot="1">
      <c r="A1" s="395" t="s">
        <v>7</v>
      </c>
      <c r="B1" s="396"/>
      <c r="C1" s="396"/>
      <c r="D1" s="396"/>
      <c r="E1" s="396"/>
      <c r="F1" s="396"/>
      <c r="G1" s="397"/>
      <c r="H1" s="397"/>
      <c r="I1" s="397"/>
      <c r="J1" s="396"/>
    </row>
    <row r="2" spans="1:10" s="40" customFormat="1" ht="34.200000000000003" thickBot="1">
      <c r="A2" s="398" t="s">
        <v>213</v>
      </c>
      <c r="B2" s="399" t="s">
        <v>22</v>
      </c>
      <c r="C2" s="399" t="s">
        <v>24</v>
      </c>
      <c r="D2" s="399" t="s">
        <v>21</v>
      </c>
      <c r="E2" s="1" t="s">
        <v>49</v>
      </c>
      <c r="F2" s="1" t="s">
        <v>25</v>
      </c>
      <c r="G2" s="400" t="s">
        <v>51</v>
      </c>
      <c r="H2" s="401" t="s">
        <v>76</v>
      </c>
      <c r="I2" s="400" t="s">
        <v>64</v>
      </c>
      <c r="J2" s="402" t="s">
        <v>0</v>
      </c>
    </row>
    <row r="3" spans="1:10" s="40" customFormat="1" ht="16.8">
      <c r="A3" s="403" t="s">
        <v>53</v>
      </c>
      <c r="B3" s="404">
        <f>7</f>
        <v>7</v>
      </c>
      <c r="C3" s="404" t="s">
        <v>226</v>
      </c>
      <c r="D3" s="404" t="str">
        <f>VLOOKUP(C3,'Personal File'!$A$9:$C$14,3,FALSE)</f>
        <v>+2</v>
      </c>
      <c r="E3" s="405" t="str">
        <f t="shared" ref="E3:E46" si="0">CONCATENATE(LEFT(C3,3)," (",D3,")")</f>
        <v>Con (+2)</v>
      </c>
      <c r="F3" s="406">
        <f>1</f>
        <v>1</v>
      </c>
      <c r="G3" s="407">
        <f t="shared" ref="G3:G46" si="1">B3+D3+F3</f>
        <v>10</v>
      </c>
      <c r="H3" s="408">
        <f t="shared" ref="H3:H46" ca="1" si="2">RANDBETWEEN(1,20)</f>
        <v>9</v>
      </c>
      <c r="I3" s="409">
        <f t="shared" ref="I3:I5" ca="1" si="3">SUM(G3:H3)</f>
        <v>19</v>
      </c>
      <c r="J3" s="410" t="s">
        <v>138</v>
      </c>
    </row>
    <row r="4" spans="1:10" s="40" customFormat="1" ht="16.8">
      <c r="A4" s="411" t="s">
        <v>54</v>
      </c>
      <c r="B4" s="404">
        <f>3</f>
        <v>3</v>
      </c>
      <c r="C4" s="404" t="s">
        <v>225</v>
      </c>
      <c r="D4" s="404" t="str">
        <f>VLOOKUP(C4,'Personal File'!$A$9:$C$14,3,FALSE)</f>
        <v>+0</v>
      </c>
      <c r="E4" s="412" t="str">
        <f t="shared" si="0"/>
        <v>Dex (+0)</v>
      </c>
      <c r="F4" s="406">
        <f>1</f>
        <v>1</v>
      </c>
      <c r="G4" s="407">
        <f t="shared" si="1"/>
        <v>4</v>
      </c>
      <c r="H4" s="408">
        <f t="shared" ca="1" si="2"/>
        <v>18</v>
      </c>
      <c r="I4" s="409">
        <f t="shared" ca="1" si="3"/>
        <v>22</v>
      </c>
      <c r="J4" s="413" t="s">
        <v>215</v>
      </c>
    </row>
    <row r="5" spans="1:10" s="40" customFormat="1" ht="16.8">
      <c r="A5" s="414" t="s">
        <v>55</v>
      </c>
      <c r="B5" s="415">
        <f>7</f>
        <v>7</v>
      </c>
      <c r="C5" s="415" t="s">
        <v>228</v>
      </c>
      <c r="D5" s="415" t="str">
        <f>VLOOKUP(C5,'Personal File'!$A$9:$C$14,3,FALSE)</f>
        <v>+0</v>
      </c>
      <c r="E5" s="416" t="str">
        <f t="shared" si="0"/>
        <v>Wis (+0)</v>
      </c>
      <c r="F5" s="417">
        <f>1</f>
        <v>1</v>
      </c>
      <c r="G5" s="418">
        <f t="shared" si="1"/>
        <v>8</v>
      </c>
      <c r="H5" s="419">
        <f t="shared" ca="1" si="2"/>
        <v>18</v>
      </c>
      <c r="I5" s="420">
        <f t="shared" ca="1" si="3"/>
        <v>26</v>
      </c>
      <c r="J5" s="421" t="s">
        <v>141</v>
      </c>
    </row>
    <row r="6" spans="1:10" s="429" customFormat="1" ht="16.8">
      <c r="A6" s="422" t="s">
        <v>26</v>
      </c>
      <c r="B6" s="423">
        <v>0</v>
      </c>
      <c r="C6" s="424" t="s">
        <v>227</v>
      </c>
      <c r="D6" s="425" t="str">
        <f>VLOOKUP(C6,'Personal File'!$A$9:$C$14,3,FALSE)</f>
        <v>+1</v>
      </c>
      <c r="E6" s="426" t="str">
        <f t="shared" si="0"/>
        <v>Int (+1)</v>
      </c>
      <c r="F6" s="427" t="s">
        <v>50</v>
      </c>
      <c r="G6" s="427">
        <f t="shared" si="1"/>
        <v>1</v>
      </c>
      <c r="H6" s="408">
        <f t="shared" ca="1" si="2"/>
        <v>5</v>
      </c>
      <c r="I6" s="427">
        <f t="shared" ref="I6:I7" ca="1" si="4">SUM(G6:H6)</f>
        <v>6</v>
      </c>
      <c r="J6" s="428"/>
    </row>
    <row r="7" spans="1:10" s="434" customFormat="1" ht="16.8">
      <c r="A7" s="430" t="s">
        <v>27</v>
      </c>
      <c r="B7" s="423">
        <v>0</v>
      </c>
      <c r="C7" s="431" t="s">
        <v>225</v>
      </c>
      <c r="D7" s="432" t="str">
        <f>VLOOKUP(C7,'Personal File'!$A$9:$C$14,3,FALSE)</f>
        <v>+0</v>
      </c>
      <c r="E7" s="412" t="str">
        <f t="shared" si="0"/>
        <v>Dex (+0)</v>
      </c>
      <c r="F7" s="427" t="s">
        <v>108</v>
      </c>
      <c r="G7" s="427">
        <f t="shared" si="1"/>
        <v>-2</v>
      </c>
      <c r="H7" s="433">
        <f t="shared" ca="1" si="2"/>
        <v>9</v>
      </c>
      <c r="I7" s="427">
        <f t="shared" ca="1" si="4"/>
        <v>7</v>
      </c>
      <c r="J7" s="428"/>
    </row>
    <row r="8" spans="1:10" s="439" customFormat="1" ht="16.8">
      <c r="A8" s="435" t="s">
        <v>28</v>
      </c>
      <c r="B8" s="423">
        <v>0</v>
      </c>
      <c r="C8" s="436" t="s">
        <v>229</v>
      </c>
      <c r="D8" s="437">
        <f>VLOOKUP(C8,'Personal File'!$A$9:$C$14,3,FALSE)</f>
        <v>-1</v>
      </c>
      <c r="E8" s="438" t="str">
        <f t="shared" si="0"/>
        <v>Cha (-1)</v>
      </c>
      <c r="F8" s="427" t="s">
        <v>50</v>
      </c>
      <c r="G8" s="427">
        <f t="shared" si="1"/>
        <v>-1</v>
      </c>
      <c r="H8" s="433">
        <f t="shared" ca="1" si="2"/>
        <v>1</v>
      </c>
      <c r="I8" s="427">
        <f t="shared" ref="I8:I46" ca="1" si="5">SUM(G8:H8)</f>
        <v>0</v>
      </c>
      <c r="J8" s="428"/>
    </row>
    <row r="9" spans="1:10" s="444" customFormat="1" ht="16.8">
      <c r="A9" s="440" t="s">
        <v>29</v>
      </c>
      <c r="B9" s="423">
        <v>2</v>
      </c>
      <c r="C9" s="441" t="s">
        <v>224</v>
      </c>
      <c r="D9" s="442" t="str">
        <f>VLOOKUP(C9,'Personal File'!$A$9:$C$14,3,FALSE)</f>
        <v>+4</v>
      </c>
      <c r="E9" s="443" t="str">
        <f t="shared" si="0"/>
        <v>Str (+4)</v>
      </c>
      <c r="F9" s="427" t="s">
        <v>108</v>
      </c>
      <c r="G9" s="427">
        <f t="shared" si="1"/>
        <v>4</v>
      </c>
      <c r="H9" s="433">
        <f t="shared" ca="1" si="2"/>
        <v>13</v>
      </c>
      <c r="I9" s="427">
        <f t="shared" ca="1" si="5"/>
        <v>17</v>
      </c>
      <c r="J9" s="428"/>
    </row>
    <row r="10" spans="1:10" s="444" customFormat="1" ht="16.8">
      <c r="A10" s="445" t="s">
        <v>8</v>
      </c>
      <c r="B10" s="446">
        <v>6</v>
      </c>
      <c r="C10" s="447" t="s">
        <v>226</v>
      </c>
      <c r="D10" s="448" t="str">
        <f>VLOOKUP(C10,'Personal File'!$A$9:$C$14,3,FALSE)</f>
        <v>+2</v>
      </c>
      <c r="E10" s="449" t="str">
        <f t="shared" si="0"/>
        <v>Con (+2)</v>
      </c>
      <c r="F10" s="450" t="s">
        <v>50</v>
      </c>
      <c r="G10" s="450">
        <f t="shared" si="1"/>
        <v>8</v>
      </c>
      <c r="H10" s="433">
        <f t="shared" ca="1" si="2"/>
        <v>4</v>
      </c>
      <c r="I10" s="450">
        <f t="shared" ca="1" si="5"/>
        <v>12</v>
      </c>
      <c r="J10" s="451"/>
    </row>
    <row r="11" spans="1:10" s="429" customFormat="1" ht="16.8">
      <c r="A11" s="452" t="s">
        <v>301</v>
      </c>
      <c r="B11" s="446">
        <v>3</v>
      </c>
      <c r="C11" s="453" t="s">
        <v>227</v>
      </c>
      <c r="D11" s="454" t="str">
        <f>VLOOKUP(C11,'Personal File'!$A$9:$C$14,3,FALSE)</f>
        <v>+1</v>
      </c>
      <c r="E11" s="455" t="str">
        <f t="shared" si="0"/>
        <v>Int (+1)</v>
      </c>
      <c r="F11" s="450" t="s">
        <v>50</v>
      </c>
      <c r="G11" s="450">
        <f t="shared" si="1"/>
        <v>4</v>
      </c>
      <c r="H11" s="433">
        <f t="shared" ca="1" si="2"/>
        <v>4</v>
      </c>
      <c r="I11" s="450">
        <f t="shared" ca="1" si="5"/>
        <v>8</v>
      </c>
      <c r="J11" s="451"/>
    </row>
    <row r="12" spans="1:10" s="456" customFormat="1" ht="16.8">
      <c r="A12" s="452" t="s">
        <v>30</v>
      </c>
      <c r="B12" s="446">
        <v>1</v>
      </c>
      <c r="C12" s="453" t="s">
        <v>227</v>
      </c>
      <c r="D12" s="454" t="str">
        <f>VLOOKUP(C12,'Personal File'!$A$9:$C$14,3,FALSE)</f>
        <v>+1</v>
      </c>
      <c r="E12" s="455" t="str">
        <f t="shared" si="0"/>
        <v>Int (+1)</v>
      </c>
      <c r="F12" s="450" t="s">
        <v>50</v>
      </c>
      <c r="G12" s="450">
        <f t="shared" si="1"/>
        <v>2</v>
      </c>
      <c r="H12" s="433">
        <f t="shared" ca="1" si="2"/>
        <v>2</v>
      </c>
      <c r="I12" s="450">
        <f t="shared" ca="1" si="5"/>
        <v>4</v>
      </c>
      <c r="J12" s="451"/>
    </row>
    <row r="13" spans="1:10" s="434" customFormat="1" ht="16.8">
      <c r="A13" s="435" t="s">
        <v>31</v>
      </c>
      <c r="B13" s="423">
        <v>0</v>
      </c>
      <c r="C13" s="436" t="s">
        <v>229</v>
      </c>
      <c r="D13" s="437">
        <f>VLOOKUP(C13,'Personal File'!$A$9:$C$14,3,FALSE)</f>
        <v>-1</v>
      </c>
      <c r="E13" s="438" t="str">
        <f t="shared" si="0"/>
        <v>Cha (-1)</v>
      </c>
      <c r="F13" s="427" t="s">
        <v>72</v>
      </c>
      <c r="G13" s="427">
        <f t="shared" si="1"/>
        <v>1</v>
      </c>
      <c r="H13" s="433">
        <f t="shared" ca="1" si="2"/>
        <v>12</v>
      </c>
      <c r="I13" s="427">
        <f t="shared" ca="1" si="5"/>
        <v>13</v>
      </c>
      <c r="J13" s="457"/>
    </row>
    <row r="14" spans="1:10" s="434" customFormat="1" ht="16.8">
      <c r="A14" s="458" t="s">
        <v>32</v>
      </c>
      <c r="B14" s="459">
        <v>0</v>
      </c>
      <c r="C14" s="460" t="s">
        <v>227</v>
      </c>
      <c r="D14" s="461" t="str">
        <f>VLOOKUP(C14,'Personal File'!$A$9:$C$14,3,FALSE)</f>
        <v>+1</v>
      </c>
      <c r="E14" s="462" t="str">
        <f t="shared" si="0"/>
        <v>Int (+1)</v>
      </c>
      <c r="F14" s="463" t="s">
        <v>50</v>
      </c>
      <c r="G14" s="463">
        <f t="shared" si="1"/>
        <v>1</v>
      </c>
      <c r="H14" s="433">
        <f t="shared" ca="1" si="2"/>
        <v>7</v>
      </c>
      <c r="I14" s="463">
        <f t="shared" ca="1" si="5"/>
        <v>8</v>
      </c>
      <c r="J14" s="464"/>
    </row>
    <row r="15" spans="1:10" s="434" customFormat="1" ht="16.8">
      <c r="A15" s="435" t="s">
        <v>33</v>
      </c>
      <c r="B15" s="423">
        <v>0</v>
      </c>
      <c r="C15" s="436" t="s">
        <v>229</v>
      </c>
      <c r="D15" s="437">
        <f>VLOOKUP(C15,'Personal File'!$A$9:$C$14,3,FALSE)</f>
        <v>-1</v>
      </c>
      <c r="E15" s="438" t="str">
        <f t="shared" si="0"/>
        <v>Cha (-1)</v>
      </c>
      <c r="F15" s="427" t="s">
        <v>50</v>
      </c>
      <c r="G15" s="427">
        <f t="shared" si="1"/>
        <v>-1</v>
      </c>
      <c r="H15" s="433">
        <f t="shared" ca="1" si="2"/>
        <v>7</v>
      </c>
      <c r="I15" s="427">
        <f t="shared" ca="1" si="5"/>
        <v>6</v>
      </c>
      <c r="J15" s="457"/>
    </row>
    <row r="16" spans="1:10" s="434" customFormat="1" ht="16.8">
      <c r="A16" s="430" t="s">
        <v>34</v>
      </c>
      <c r="B16" s="423">
        <v>0</v>
      </c>
      <c r="C16" s="431" t="s">
        <v>225</v>
      </c>
      <c r="D16" s="432" t="str">
        <f>VLOOKUP(C16,'Personal File'!$A$9:$C$14,3,FALSE)</f>
        <v>+0</v>
      </c>
      <c r="E16" s="412" t="str">
        <f t="shared" si="0"/>
        <v>Dex (+0)</v>
      </c>
      <c r="F16" s="427" t="s">
        <v>108</v>
      </c>
      <c r="G16" s="427">
        <f t="shared" si="1"/>
        <v>-2</v>
      </c>
      <c r="H16" s="433">
        <f t="shared" ca="1" si="2"/>
        <v>1</v>
      </c>
      <c r="I16" s="427">
        <f t="shared" ca="1" si="5"/>
        <v>-1</v>
      </c>
      <c r="J16" s="457"/>
    </row>
    <row r="17" spans="1:10" s="434" customFormat="1" ht="16.8">
      <c r="A17" s="422" t="s">
        <v>35</v>
      </c>
      <c r="B17" s="423">
        <v>0</v>
      </c>
      <c r="C17" s="424" t="s">
        <v>227</v>
      </c>
      <c r="D17" s="425" t="str">
        <f>VLOOKUP(C17,'Personal File'!$A$9:$C$14,3,FALSE)</f>
        <v>+1</v>
      </c>
      <c r="E17" s="426" t="str">
        <f t="shared" si="0"/>
        <v>Int (+1)</v>
      </c>
      <c r="F17" s="427" t="s">
        <v>50</v>
      </c>
      <c r="G17" s="427">
        <f t="shared" si="1"/>
        <v>1</v>
      </c>
      <c r="H17" s="433">
        <f t="shared" ca="1" si="2"/>
        <v>4</v>
      </c>
      <c r="I17" s="427">
        <f t="shared" ca="1" si="5"/>
        <v>5</v>
      </c>
      <c r="J17" s="457"/>
    </row>
    <row r="18" spans="1:10" s="434" customFormat="1" ht="16.8">
      <c r="A18" s="435" t="s">
        <v>36</v>
      </c>
      <c r="B18" s="423">
        <v>0</v>
      </c>
      <c r="C18" s="436" t="s">
        <v>229</v>
      </c>
      <c r="D18" s="437">
        <f>VLOOKUP(C18,'Personal File'!$A$9:$C$14,3,FALSE)</f>
        <v>-1</v>
      </c>
      <c r="E18" s="438" t="str">
        <f t="shared" si="0"/>
        <v>Cha (-1)</v>
      </c>
      <c r="F18" s="427" t="s">
        <v>72</v>
      </c>
      <c r="G18" s="427">
        <f t="shared" si="1"/>
        <v>1</v>
      </c>
      <c r="H18" s="433">
        <f t="shared" ca="1" si="2"/>
        <v>18</v>
      </c>
      <c r="I18" s="427">
        <f t="shared" ca="1" si="5"/>
        <v>19</v>
      </c>
      <c r="J18" s="457"/>
    </row>
    <row r="19" spans="1:10" s="434" customFormat="1" ht="16.8">
      <c r="A19" s="435" t="s">
        <v>10</v>
      </c>
      <c r="B19" s="423">
        <v>0</v>
      </c>
      <c r="C19" s="436" t="s">
        <v>229</v>
      </c>
      <c r="D19" s="437">
        <f>VLOOKUP(C19,'Personal File'!$A$9:$C$14,3,FALSE)</f>
        <v>-1</v>
      </c>
      <c r="E19" s="438" t="str">
        <f t="shared" si="0"/>
        <v>Cha (-1)</v>
      </c>
      <c r="F19" s="427" t="s">
        <v>50</v>
      </c>
      <c r="G19" s="427">
        <f t="shared" si="1"/>
        <v>-1</v>
      </c>
      <c r="H19" s="433">
        <f t="shared" ca="1" si="2"/>
        <v>12</v>
      </c>
      <c r="I19" s="427">
        <f t="shared" ca="1" si="5"/>
        <v>11</v>
      </c>
      <c r="J19" s="457"/>
    </row>
    <row r="20" spans="1:10" s="434" customFormat="1" ht="16.8">
      <c r="A20" s="465" t="s">
        <v>37</v>
      </c>
      <c r="B20" s="423">
        <v>0</v>
      </c>
      <c r="C20" s="466" t="s">
        <v>228</v>
      </c>
      <c r="D20" s="467" t="str">
        <f>VLOOKUP(C20,'Personal File'!$A$9:$C$14,3,FALSE)</f>
        <v>+0</v>
      </c>
      <c r="E20" s="468" t="str">
        <f t="shared" si="0"/>
        <v>Wis (+0)</v>
      </c>
      <c r="F20" s="427" t="s">
        <v>50</v>
      </c>
      <c r="G20" s="427">
        <f t="shared" si="1"/>
        <v>0</v>
      </c>
      <c r="H20" s="433">
        <f t="shared" ca="1" si="2"/>
        <v>5</v>
      </c>
      <c r="I20" s="427">
        <f t="shared" ca="1" si="5"/>
        <v>5</v>
      </c>
      <c r="J20" s="457"/>
    </row>
    <row r="21" spans="1:10" s="434" customFormat="1" ht="16.8">
      <c r="A21" s="430" t="s">
        <v>38</v>
      </c>
      <c r="B21" s="423">
        <v>0</v>
      </c>
      <c r="C21" s="431" t="s">
        <v>225</v>
      </c>
      <c r="D21" s="432" t="str">
        <f>VLOOKUP(C21,'Personal File'!$A$9:$C$14,3,FALSE)</f>
        <v>+0</v>
      </c>
      <c r="E21" s="412" t="str">
        <f t="shared" si="0"/>
        <v>Dex (+0)</v>
      </c>
      <c r="F21" s="427" t="s">
        <v>108</v>
      </c>
      <c r="G21" s="427">
        <f t="shared" si="1"/>
        <v>-2</v>
      </c>
      <c r="H21" s="433">
        <f t="shared" ca="1" si="2"/>
        <v>4</v>
      </c>
      <c r="I21" s="427">
        <f t="shared" ca="1" si="5"/>
        <v>2</v>
      </c>
      <c r="J21" s="457"/>
    </row>
    <row r="22" spans="1:10" s="434" customFormat="1" ht="16.8">
      <c r="A22" s="435" t="s">
        <v>39</v>
      </c>
      <c r="B22" s="423">
        <v>0</v>
      </c>
      <c r="C22" s="436" t="s">
        <v>229</v>
      </c>
      <c r="D22" s="437">
        <f>VLOOKUP(C22,'Personal File'!$A$9:$C$14,3,FALSE)</f>
        <v>-1</v>
      </c>
      <c r="E22" s="438" t="str">
        <f t="shared" si="0"/>
        <v>Cha (-1)</v>
      </c>
      <c r="F22" s="427" t="s">
        <v>50</v>
      </c>
      <c r="G22" s="427">
        <f t="shared" si="1"/>
        <v>-1</v>
      </c>
      <c r="H22" s="433">
        <f t="shared" ca="1" si="2"/>
        <v>2</v>
      </c>
      <c r="I22" s="427">
        <f t="shared" ca="1" si="5"/>
        <v>1</v>
      </c>
      <c r="J22" s="457"/>
    </row>
    <row r="23" spans="1:10" s="434" customFormat="1" ht="16.8">
      <c r="A23" s="469" t="s">
        <v>40</v>
      </c>
      <c r="B23" s="446">
        <v>2</v>
      </c>
      <c r="C23" s="470" t="s">
        <v>224</v>
      </c>
      <c r="D23" s="471" t="str">
        <f>VLOOKUP(C23,'Personal File'!$A$9:$C$14,3,FALSE)</f>
        <v>+4</v>
      </c>
      <c r="E23" s="472" t="str">
        <f t="shared" si="0"/>
        <v>Str (+4)</v>
      </c>
      <c r="F23" s="450" t="s">
        <v>108</v>
      </c>
      <c r="G23" s="450">
        <f t="shared" si="1"/>
        <v>4</v>
      </c>
      <c r="H23" s="433">
        <f t="shared" ca="1" si="2"/>
        <v>8</v>
      </c>
      <c r="I23" s="450">
        <f t="shared" ca="1" si="5"/>
        <v>12</v>
      </c>
      <c r="J23" s="451"/>
    </row>
    <row r="24" spans="1:10" s="434" customFormat="1" ht="16.8">
      <c r="A24" s="452" t="s">
        <v>78</v>
      </c>
      <c r="B24" s="446">
        <v>7</v>
      </c>
      <c r="C24" s="453" t="s">
        <v>227</v>
      </c>
      <c r="D24" s="454" t="str">
        <f>VLOOKUP(C24,'Personal File'!$A$9:$C$14,3,FALSE)</f>
        <v>+1</v>
      </c>
      <c r="E24" s="455" t="str">
        <f t="shared" si="0"/>
        <v>Int (+1)</v>
      </c>
      <c r="F24" s="450" t="s">
        <v>50</v>
      </c>
      <c r="G24" s="450">
        <f t="shared" ref="G24:G29" si="6">B24+D24+F24</f>
        <v>8</v>
      </c>
      <c r="H24" s="433">
        <f t="shared" ca="1" si="2"/>
        <v>3</v>
      </c>
      <c r="I24" s="450">
        <f t="shared" ref="I24:I29" ca="1" si="7">SUM(G24:H24)</f>
        <v>11</v>
      </c>
      <c r="J24" s="451"/>
    </row>
    <row r="25" spans="1:10" s="434" customFormat="1" ht="16.8">
      <c r="A25" s="452" t="s">
        <v>89</v>
      </c>
      <c r="B25" s="446">
        <v>1</v>
      </c>
      <c r="C25" s="453" t="s">
        <v>227</v>
      </c>
      <c r="D25" s="454" t="str">
        <f>VLOOKUP(C25,'Personal File'!$A$9:$C$14,3,FALSE)</f>
        <v>+1</v>
      </c>
      <c r="E25" s="455" t="str">
        <f t="shared" si="0"/>
        <v>Int (+1)</v>
      </c>
      <c r="F25" s="450" t="s">
        <v>50</v>
      </c>
      <c r="G25" s="450">
        <f t="shared" ref="G25:G28" si="8">B25+D25+F25</f>
        <v>2</v>
      </c>
      <c r="H25" s="433">
        <f t="shared" ca="1" si="2"/>
        <v>20</v>
      </c>
      <c r="I25" s="450">
        <f t="shared" ref="I25:I28" ca="1" si="9">SUM(G25:H25)</f>
        <v>22</v>
      </c>
      <c r="J25" s="451"/>
    </row>
    <row r="26" spans="1:10" s="434" customFormat="1" ht="16.8">
      <c r="A26" s="452" t="s">
        <v>90</v>
      </c>
      <c r="B26" s="446">
        <v>1</v>
      </c>
      <c r="C26" s="453" t="s">
        <v>227</v>
      </c>
      <c r="D26" s="454" t="str">
        <f>VLOOKUP(C26,'Personal File'!$A$9:$C$14,3,FALSE)</f>
        <v>+1</v>
      </c>
      <c r="E26" s="455" t="str">
        <f t="shared" si="0"/>
        <v>Int (+1)</v>
      </c>
      <c r="F26" s="450" t="s">
        <v>50</v>
      </c>
      <c r="G26" s="450">
        <f t="shared" si="8"/>
        <v>2</v>
      </c>
      <c r="H26" s="433">
        <f t="shared" ca="1" si="2"/>
        <v>18</v>
      </c>
      <c r="I26" s="450">
        <f t="shared" ca="1" si="9"/>
        <v>20</v>
      </c>
      <c r="J26" s="451"/>
    </row>
    <row r="27" spans="1:10" s="434" customFormat="1" ht="16.8">
      <c r="A27" s="452" t="s">
        <v>91</v>
      </c>
      <c r="B27" s="446">
        <v>1</v>
      </c>
      <c r="C27" s="453" t="s">
        <v>227</v>
      </c>
      <c r="D27" s="454" t="str">
        <f>VLOOKUP(C27,'Personal File'!$A$9:$C$14,3,FALSE)</f>
        <v>+1</v>
      </c>
      <c r="E27" s="455" t="str">
        <f t="shared" si="0"/>
        <v>Int (+1)</v>
      </c>
      <c r="F27" s="450" t="s">
        <v>50</v>
      </c>
      <c r="G27" s="450">
        <f t="shared" si="8"/>
        <v>2</v>
      </c>
      <c r="H27" s="433">
        <f t="shared" ca="1" si="2"/>
        <v>9</v>
      </c>
      <c r="I27" s="450">
        <f t="shared" ca="1" si="9"/>
        <v>11</v>
      </c>
      <c r="J27" s="451"/>
    </row>
    <row r="28" spans="1:10" s="434" customFormat="1" ht="16.8">
      <c r="A28" s="452" t="s">
        <v>92</v>
      </c>
      <c r="B28" s="446">
        <v>1</v>
      </c>
      <c r="C28" s="453" t="s">
        <v>227</v>
      </c>
      <c r="D28" s="454" t="str">
        <f>VLOOKUP(C28,'Personal File'!$A$9:$C$14,3,FALSE)</f>
        <v>+1</v>
      </c>
      <c r="E28" s="455" t="str">
        <f t="shared" si="0"/>
        <v>Int (+1)</v>
      </c>
      <c r="F28" s="450" t="s">
        <v>50</v>
      </c>
      <c r="G28" s="450">
        <f t="shared" si="8"/>
        <v>2</v>
      </c>
      <c r="H28" s="433">
        <f t="shared" ca="1" si="2"/>
        <v>8</v>
      </c>
      <c r="I28" s="450">
        <f t="shared" ca="1" si="9"/>
        <v>10</v>
      </c>
      <c r="J28" s="451"/>
    </row>
    <row r="29" spans="1:10" s="434" customFormat="1" ht="16.8">
      <c r="A29" s="452" t="s">
        <v>93</v>
      </c>
      <c r="B29" s="446">
        <v>4</v>
      </c>
      <c r="C29" s="453" t="s">
        <v>227</v>
      </c>
      <c r="D29" s="454" t="str">
        <f>VLOOKUP(C29,'Personal File'!$A$9:$C$14,3,FALSE)</f>
        <v>+1</v>
      </c>
      <c r="E29" s="455" t="str">
        <f t="shared" si="0"/>
        <v>Int (+1)</v>
      </c>
      <c r="F29" s="450" t="s">
        <v>50</v>
      </c>
      <c r="G29" s="450">
        <f t="shared" si="6"/>
        <v>5</v>
      </c>
      <c r="H29" s="433">
        <f t="shared" ca="1" si="2"/>
        <v>1</v>
      </c>
      <c r="I29" s="450">
        <f t="shared" ca="1" si="7"/>
        <v>6</v>
      </c>
      <c r="J29" s="451"/>
    </row>
    <row r="30" spans="1:10" s="434" customFormat="1" ht="16.8">
      <c r="A30" s="473" t="s">
        <v>41</v>
      </c>
      <c r="B30" s="446">
        <v>1</v>
      </c>
      <c r="C30" s="474" t="s">
        <v>228</v>
      </c>
      <c r="D30" s="475" t="str">
        <f>VLOOKUP(C30,'Personal File'!$A$9:$C$14,3,FALSE)</f>
        <v>+0</v>
      </c>
      <c r="E30" s="476" t="str">
        <f t="shared" si="0"/>
        <v>Wis (+0)</v>
      </c>
      <c r="F30" s="450" t="s">
        <v>73</v>
      </c>
      <c r="G30" s="450">
        <f t="shared" si="1"/>
        <v>2</v>
      </c>
      <c r="H30" s="433">
        <f t="shared" ca="1" si="2"/>
        <v>9</v>
      </c>
      <c r="I30" s="450">
        <f t="shared" ca="1" si="5"/>
        <v>11</v>
      </c>
      <c r="J30" s="451"/>
    </row>
    <row r="31" spans="1:10" s="434" customFormat="1" ht="16.8">
      <c r="A31" s="430" t="s">
        <v>11</v>
      </c>
      <c r="B31" s="423">
        <v>0</v>
      </c>
      <c r="C31" s="431" t="s">
        <v>225</v>
      </c>
      <c r="D31" s="432" t="str">
        <f>VLOOKUP(C31,'Personal File'!$A$9:$C$14,3,FALSE)</f>
        <v>+0</v>
      </c>
      <c r="E31" s="412" t="str">
        <f t="shared" si="0"/>
        <v>Dex (+0)</v>
      </c>
      <c r="F31" s="427" t="s">
        <v>108</v>
      </c>
      <c r="G31" s="427">
        <f t="shared" si="1"/>
        <v>-2</v>
      </c>
      <c r="H31" s="433">
        <f t="shared" ca="1" si="2"/>
        <v>18</v>
      </c>
      <c r="I31" s="427">
        <f t="shared" ca="1" si="5"/>
        <v>16</v>
      </c>
      <c r="J31" s="457"/>
    </row>
    <row r="32" spans="1:10" s="434" customFormat="1" ht="16.8">
      <c r="A32" s="477" t="s">
        <v>42</v>
      </c>
      <c r="B32" s="459">
        <v>0</v>
      </c>
      <c r="C32" s="478" t="s">
        <v>225</v>
      </c>
      <c r="D32" s="479" t="str">
        <f>VLOOKUP(C32,'Personal File'!$A$9:$C$14,3,FALSE)</f>
        <v>+0</v>
      </c>
      <c r="E32" s="480" t="str">
        <f t="shared" si="0"/>
        <v>Dex (+0)</v>
      </c>
      <c r="F32" s="463" t="s">
        <v>50</v>
      </c>
      <c r="G32" s="463">
        <f t="shared" si="1"/>
        <v>0</v>
      </c>
      <c r="H32" s="433">
        <f t="shared" ca="1" si="2"/>
        <v>19</v>
      </c>
      <c r="I32" s="463">
        <f t="shared" ca="1" si="5"/>
        <v>19</v>
      </c>
      <c r="J32" s="464"/>
    </row>
    <row r="33" spans="1:10" ht="16.8">
      <c r="A33" s="435" t="s">
        <v>77</v>
      </c>
      <c r="B33" s="423">
        <v>0</v>
      </c>
      <c r="C33" s="436" t="s">
        <v>229</v>
      </c>
      <c r="D33" s="437">
        <f>VLOOKUP(C33,'Personal File'!$A$9:$C$14,3,FALSE)</f>
        <v>-1</v>
      </c>
      <c r="E33" s="438" t="str">
        <f t="shared" si="0"/>
        <v>Cha (-1)</v>
      </c>
      <c r="F33" s="427" t="s">
        <v>50</v>
      </c>
      <c r="G33" s="427">
        <f t="shared" si="1"/>
        <v>-1</v>
      </c>
      <c r="H33" s="433">
        <f t="shared" ca="1" si="2"/>
        <v>7</v>
      </c>
      <c r="I33" s="427">
        <f t="shared" ca="1" si="5"/>
        <v>6</v>
      </c>
      <c r="J33" s="457"/>
    </row>
    <row r="34" spans="1:10" ht="16.8">
      <c r="A34" s="481" t="s">
        <v>245</v>
      </c>
      <c r="B34" s="459">
        <v>2</v>
      </c>
      <c r="C34" s="482" t="s">
        <v>228</v>
      </c>
      <c r="D34" s="483" t="str">
        <f>VLOOKUP(C34,'Personal File'!$A$9:$C$14,3,FALSE)</f>
        <v>+0</v>
      </c>
      <c r="E34" s="484" t="str">
        <f t="shared" si="0"/>
        <v>Wis (+0)</v>
      </c>
      <c r="F34" s="463" t="s">
        <v>50</v>
      </c>
      <c r="G34" s="463">
        <f t="shared" si="1"/>
        <v>2</v>
      </c>
      <c r="H34" s="433">
        <f t="shared" ca="1" si="2"/>
        <v>2</v>
      </c>
      <c r="I34" s="463">
        <f t="shared" ca="1" si="5"/>
        <v>4</v>
      </c>
      <c r="J34" s="464"/>
    </row>
    <row r="35" spans="1:10" ht="16.8">
      <c r="A35" s="485" t="s">
        <v>12</v>
      </c>
      <c r="B35" s="446">
        <v>2</v>
      </c>
      <c r="C35" s="486" t="s">
        <v>225</v>
      </c>
      <c r="D35" s="487" t="str">
        <f>VLOOKUP(C35,'Personal File'!$A$9:$C$14,3,FALSE)</f>
        <v>+0</v>
      </c>
      <c r="E35" s="488" t="str">
        <f t="shared" si="0"/>
        <v>Dex (+0)</v>
      </c>
      <c r="F35" s="450" t="s">
        <v>50</v>
      </c>
      <c r="G35" s="450">
        <f t="shared" si="1"/>
        <v>2</v>
      </c>
      <c r="H35" s="433">
        <f t="shared" ca="1" si="2"/>
        <v>3</v>
      </c>
      <c r="I35" s="450">
        <f t="shared" ca="1" si="5"/>
        <v>5</v>
      </c>
      <c r="J35" s="451"/>
    </row>
    <row r="36" spans="1:10" ht="16.8">
      <c r="A36" s="452" t="s">
        <v>13</v>
      </c>
      <c r="B36" s="446">
        <v>1</v>
      </c>
      <c r="C36" s="453" t="s">
        <v>227</v>
      </c>
      <c r="D36" s="454" t="str">
        <f>VLOOKUP(C36,'Personal File'!$A$9:$C$14,3,FALSE)</f>
        <v>+1</v>
      </c>
      <c r="E36" s="455" t="str">
        <f t="shared" si="0"/>
        <v>Int (+1)</v>
      </c>
      <c r="F36" s="450" t="s">
        <v>73</v>
      </c>
      <c r="G36" s="450">
        <f t="shared" si="1"/>
        <v>3</v>
      </c>
      <c r="H36" s="433">
        <f t="shared" ca="1" si="2"/>
        <v>18</v>
      </c>
      <c r="I36" s="450">
        <f t="shared" ca="1" si="5"/>
        <v>21</v>
      </c>
      <c r="J36" s="451"/>
    </row>
    <row r="37" spans="1:10" ht="16.8">
      <c r="A37" s="473" t="s">
        <v>43</v>
      </c>
      <c r="B37" s="446">
        <v>5</v>
      </c>
      <c r="C37" s="474" t="s">
        <v>228</v>
      </c>
      <c r="D37" s="475" t="str">
        <f>VLOOKUP(C37,'Personal File'!$A$9:$C$14,3,FALSE)</f>
        <v>+0</v>
      </c>
      <c r="E37" s="476" t="str">
        <f t="shared" si="0"/>
        <v>Wis (+0)</v>
      </c>
      <c r="F37" s="450" t="s">
        <v>50</v>
      </c>
      <c r="G37" s="450">
        <f t="shared" si="1"/>
        <v>5</v>
      </c>
      <c r="H37" s="433">
        <f t="shared" ca="1" si="2"/>
        <v>15</v>
      </c>
      <c r="I37" s="450">
        <f t="shared" ca="1" si="5"/>
        <v>20</v>
      </c>
      <c r="J37" s="451"/>
    </row>
    <row r="38" spans="1:10" ht="16.8">
      <c r="A38" s="477" t="s">
        <v>67</v>
      </c>
      <c r="B38" s="459">
        <v>0</v>
      </c>
      <c r="C38" s="478" t="s">
        <v>225</v>
      </c>
      <c r="D38" s="479" t="str">
        <f>VLOOKUP(C38,'Personal File'!$A$9:$C$14,3,FALSE)</f>
        <v>+0</v>
      </c>
      <c r="E38" s="480" t="str">
        <f t="shared" si="0"/>
        <v>Dex (+0)</v>
      </c>
      <c r="F38" s="463" t="s">
        <v>108</v>
      </c>
      <c r="G38" s="463">
        <f t="shared" si="1"/>
        <v>-2</v>
      </c>
      <c r="H38" s="433">
        <f t="shared" ca="1" si="2"/>
        <v>6</v>
      </c>
      <c r="I38" s="463">
        <f t="shared" ca="1" si="5"/>
        <v>4</v>
      </c>
      <c r="J38" s="464"/>
    </row>
    <row r="39" spans="1:10" ht="16.8">
      <c r="A39" s="458" t="s">
        <v>94</v>
      </c>
      <c r="B39" s="459">
        <v>0</v>
      </c>
      <c r="C39" s="460" t="s">
        <v>227</v>
      </c>
      <c r="D39" s="461" t="str">
        <f>VLOOKUP(C39,'Personal File'!$A$9:$C$14,3,FALSE)</f>
        <v>+1</v>
      </c>
      <c r="E39" s="462" t="str">
        <f t="shared" si="0"/>
        <v>Int (+1)</v>
      </c>
      <c r="F39" s="463" t="s">
        <v>50</v>
      </c>
      <c r="G39" s="463">
        <f t="shared" ref="G39" si="10">B39+D39+F39</f>
        <v>1</v>
      </c>
      <c r="H39" s="433">
        <f t="shared" ca="1" si="2"/>
        <v>10</v>
      </c>
      <c r="I39" s="463">
        <f t="shared" ref="I39" ca="1" si="11">SUM(G39:H39)</f>
        <v>11</v>
      </c>
      <c r="J39" s="489"/>
    </row>
    <row r="40" spans="1:10" ht="16.8">
      <c r="A40" s="452" t="s">
        <v>44</v>
      </c>
      <c r="B40" s="446">
        <v>7</v>
      </c>
      <c r="C40" s="453" t="s">
        <v>227</v>
      </c>
      <c r="D40" s="454" t="str">
        <f>VLOOKUP(C40,'Personal File'!$A$9:$C$14,3,FALSE)</f>
        <v>+1</v>
      </c>
      <c r="E40" s="455" t="str">
        <f t="shared" si="0"/>
        <v>Int (+1)</v>
      </c>
      <c r="F40" s="450" t="s">
        <v>50</v>
      </c>
      <c r="G40" s="450">
        <f t="shared" ref="G40" si="12">B40+D40+F40</f>
        <v>8</v>
      </c>
      <c r="H40" s="433">
        <f t="shared" ca="1" si="2"/>
        <v>15</v>
      </c>
      <c r="I40" s="450">
        <f t="shared" ref="I40" ca="1" si="13">SUM(G40:H40)</f>
        <v>23</v>
      </c>
      <c r="J40" s="490"/>
    </row>
    <row r="41" spans="1:10" ht="16.8">
      <c r="A41" s="465" t="s">
        <v>45</v>
      </c>
      <c r="B41" s="423">
        <v>0</v>
      </c>
      <c r="C41" s="466" t="s">
        <v>228</v>
      </c>
      <c r="D41" s="467" t="str">
        <f>VLOOKUP(C41,'Personal File'!$A$9:$C$14,3,FALSE)</f>
        <v>+0</v>
      </c>
      <c r="E41" s="468" t="str">
        <f t="shared" si="0"/>
        <v>Wis (+0)</v>
      </c>
      <c r="F41" s="427" t="s">
        <v>73</v>
      </c>
      <c r="G41" s="427">
        <f t="shared" si="1"/>
        <v>1</v>
      </c>
      <c r="H41" s="433">
        <f t="shared" ca="1" si="2"/>
        <v>18</v>
      </c>
      <c r="I41" s="427">
        <f t="shared" ca="1" si="5"/>
        <v>19</v>
      </c>
      <c r="J41" s="413"/>
    </row>
    <row r="42" spans="1:10" ht="16.8">
      <c r="A42" s="465" t="s">
        <v>68</v>
      </c>
      <c r="B42" s="423">
        <v>0</v>
      </c>
      <c r="C42" s="466" t="s">
        <v>228</v>
      </c>
      <c r="D42" s="467" t="str">
        <f>VLOOKUP(C42,'Personal File'!$A$9:$C$14,3,FALSE)</f>
        <v>+0</v>
      </c>
      <c r="E42" s="468" t="str">
        <f t="shared" si="0"/>
        <v>Wis (+0)</v>
      </c>
      <c r="F42" s="427" t="s">
        <v>50</v>
      </c>
      <c r="G42" s="427">
        <f t="shared" si="1"/>
        <v>0</v>
      </c>
      <c r="H42" s="433">
        <f t="shared" ca="1" si="2"/>
        <v>3</v>
      </c>
      <c r="I42" s="427">
        <f t="shared" ca="1" si="5"/>
        <v>3</v>
      </c>
      <c r="J42" s="457"/>
    </row>
    <row r="43" spans="1:10" ht="16.8">
      <c r="A43" s="469" t="s">
        <v>14</v>
      </c>
      <c r="B43" s="446">
        <v>2</v>
      </c>
      <c r="C43" s="470" t="s">
        <v>224</v>
      </c>
      <c r="D43" s="471" t="str">
        <f>VLOOKUP(C43,'Personal File'!$A$9:$C$14,3,FALSE)</f>
        <v>+4</v>
      </c>
      <c r="E43" s="472" t="str">
        <f t="shared" si="0"/>
        <v>Str (+4)</v>
      </c>
      <c r="F43" s="450" t="s">
        <v>50</v>
      </c>
      <c r="G43" s="450">
        <f t="shared" si="1"/>
        <v>6</v>
      </c>
      <c r="H43" s="433">
        <f t="shared" ca="1" si="2"/>
        <v>13</v>
      </c>
      <c r="I43" s="450">
        <f t="shared" ca="1" si="5"/>
        <v>19</v>
      </c>
      <c r="J43" s="451"/>
    </row>
    <row r="44" spans="1:10" ht="16.8">
      <c r="A44" s="477" t="s">
        <v>46</v>
      </c>
      <c r="B44" s="459">
        <v>0</v>
      </c>
      <c r="C44" s="478" t="s">
        <v>225</v>
      </c>
      <c r="D44" s="479" t="str">
        <f>VLOOKUP(C44,'Personal File'!$A$9:$C$14,3,FALSE)</f>
        <v>+0</v>
      </c>
      <c r="E44" s="480" t="str">
        <f t="shared" si="0"/>
        <v>Dex (+0)</v>
      </c>
      <c r="F44" s="463" t="s">
        <v>108</v>
      </c>
      <c r="G44" s="463">
        <f t="shared" si="1"/>
        <v>-2</v>
      </c>
      <c r="H44" s="433">
        <f t="shared" ca="1" si="2"/>
        <v>17</v>
      </c>
      <c r="I44" s="463">
        <f t="shared" ca="1" si="5"/>
        <v>15</v>
      </c>
      <c r="J44" s="464"/>
    </row>
    <row r="45" spans="1:10" ht="16.8">
      <c r="A45" s="553" t="s">
        <v>47</v>
      </c>
      <c r="B45" s="446">
        <v>2</v>
      </c>
      <c r="C45" s="554" t="s">
        <v>229</v>
      </c>
      <c r="D45" s="555">
        <f>VLOOKUP(C45,'Personal File'!$A$9:$C$14,3,FALSE)</f>
        <v>-1</v>
      </c>
      <c r="E45" s="556" t="str">
        <f t="shared" si="0"/>
        <v>Cha (-1)</v>
      </c>
      <c r="F45" s="450" t="s">
        <v>50</v>
      </c>
      <c r="G45" s="450">
        <f t="shared" si="1"/>
        <v>1</v>
      </c>
      <c r="H45" s="433">
        <f t="shared" ca="1" si="2"/>
        <v>3</v>
      </c>
      <c r="I45" s="450">
        <f t="shared" ca="1" si="5"/>
        <v>4</v>
      </c>
      <c r="J45" s="451"/>
    </row>
    <row r="46" spans="1:10" ht="17.399999999999999" thickBot="1">
      <c r="A46" s="491" t="s">
        <v>48</v>
      </c>
      <c r="B46" s="492">
        <v>0</v>
      </c>
      <c r="C46" s="493" t="s">
        <v>225</v>
      </c>
      <c r="D46" s="494" t="str">
        <f>VLOOKUP(C46,'Personal File'!$A$9:$C$14,3,FALSE)</f>
        <v>+0</v>
      </c>
      <c r="E46" s="495" t="str">
        <f t="shared" si="0"/>
        <v>Dex (+0)</v>
      </c>
      <c r="F46" s="496" t="s">
        <v>50</v>
      </c>
      <c r="G46" s="496">
        <f t="shared" si="1"/>
        <v>0</v>
      </c>
      <c r="H46" s="497">
        <f t="shared" ca="1" si="2"/>
        <v>3</v>
      </c>
      <c r="I46" s="496">
        <f t="shared" ca="1" si="5"/>
        <v>3</v>
      </c>
      <c r="J46" s="498"/>
    </row>
    <row r="47" spans="1:10" ht="16.2" thickTop="1">
      <c r="B47" s="499">
        <f>SUM(B6:B46)</f>
        <v>51</v>
      </c>
      <c r="E47" s="500">
        <f>SUM(E48:E61)</f>
        <v>51</v>
      </c>
      <c r="F47" s="501" t="s">
        <v>51</v>
      </c>
    </row>
    <row r="48" spans="1:10">
      <c r="B48" s="499"/>
      <c r="E48" s="503">
        <f>4*(2+'Personal File'!$C$12)</f>
        <v>12</v>
      </c>
      <c r="F48" s="504" t="s">
        <v>95</v>
      </c>
    </row>
    <row r="49" spans="2:6">
      <c r="B49" s="499"/>
      <c r="E49" s="503">
        <f>2+'Personal File'!$C$12</f>
        <v>3</v>
      </c>
      <c r="F49" s="504" t="s">
        <v>96</v>
      </c>
    </row>
    <row r="50" spans="2:6">
      <c r="B50" s="499"/>
      <c r="E50" s="503">
        <f>2+'Personal File'!$C$12</f>
        <v>3</v>
      </c>
      <c r="F50" s="504" t="s">
        <v>97</v>
      </c>
    </row>
    <row r="51" spans="2:6">
      <c r="B51" s="499"/>
      <c r="E51" s="503">
        <f>2+'Personal File'!$C$12</f>
        <v>3</v>
      </c>
      <c r="F51" s="504" t="s">
        <v>98</v>
      </c>
    </row>
    <row r="52" spans="2:6">
      <c r="E52" s="503">
        <f>2+'Personal File'!$C$12</f>
        <v>3</v>
      </c>
      <c r="F52" s="504" t="s">
        <v>145</v>
      </c>
    </row>
    <row r="53" spans="2:6">
      <c r="E53" s="503">
        <f>2+'Personal File'!$C$12</f>
        <v>3</v>
      </c>
      <c r="F53" s="504" t="s">
        <v>146</v>
      </c>
    </row>
    <row r="54" spans="2:6">
      <c r="E54" s="503">
        <f>2+'Personal File'!$C$12</f>
        <v>3</v>
      </c>
      <c r="F54" s="504" t="s">
        <v>147</v>
      </c>
    </row>
    <row r="55" spans="2:6">
      <c r="E55" s="503">
        <f>2+'Personal File'!$C$12</f>
        <v>3</v>
      </c>
      <c r="F55" s="504" t="s">
        <v>148</v>
      </c>
    </row>
    <row r="56" spans="2:6">
      <c r="E56" s="503">
        <f>2+'Personal File'!$C$12</f>
        <v>3</v>
      </c>
      <c r="F56" s="504" t="s">
        <v>170</v>
      </c>
    </row>
    <row r="57" spans="2:6">
      <c r="E57" s="503">
        <f>2+'Personal File'!$C$12</f>
        <v>3</v>
      </c>
      <c r="F57" s="504" t="s">
        <v>179</v>
      </c>
    </row>
    <row r="58" spans="2:6">
      <c r="E58" s="503">
        <f>2+'Personal File'!$C$12</f>
        <v>3</v>
      </c>
      <c r="F58" s="504" t="s">
        <v>189</v>
      </c>
    </row>
    <row r="59" spans="2:6">
      <c r="E59" s="503">
        <f>2+'Personal File'!$C$12</f>
        <v>3</v>
      </c>
      <c r="F59" s="504" t="s">
        <v>291</v>
      </c>
    </row>
    <row r="60" spans="2:6">
      <c r="E60" s="503">
        <f>2+'Personal File'!$C$12</f>
        <v>3</v>
      </c>
      <c r="F60" s="504" t="s">
        <v>307</v>
      </c>
    </row>
    <row r="61" spans="2:6">
      <c r="E61" s="503">
        <f>2+'Personal File'!$C$12</f>
        <v>3</v>
      </c>
      <c r="F61" s="504" t="s">
        <v>308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showGridLines="0" zoomScaleNormal="100" workbookViewId="0">
      <pane ySplit="2" topLeftCell="A3" activePane="bottomLeft" state="frozen"/>
      <selection pane="bottomLeft" activeCell="A3" sqref="A3"/>
    </sheetView>
  </sheetViews>
  <sheetFormatPr defaultColWidth="18.19921875" defaultRowHeight="15.6"/>
  <cols>
    <col min="1" max="1" width="23.69921875" style="124" bestFit="1" customWidth="1"/>
    <col min="2" max="2" width="6.19921875" style="124" bestFit="1" customWidth="1"/>
    <col min="3" max="3" width="13.59765625" style="125" bestFit="1" customWidth="1"/>
    <col min="4" max="4" width="11.296875" style="125" bestFit="1" customWidth="1"/>
    <col min="5" max="5" width="7.3984375" style="126" bestFit="1" customWidth="1"/>
    <col min="6" max="6" width="13.19921875" style="125" bestFit="1" customWidth="1"/>
    <col min="7" max="7" width="9.796875" style="125" bestFit="1" customWidth="1"/>
    <col min="8" max="8" width="21.69921875" style="124" bestFit="1" customWidth="1"/>
    <col min="9" max="9" width="5.5" style="123" bestFit="1" customWidth="1"/>
    <col min="10" max="16384" width="18.19921875" style="123"/>
  </cols>
  <sheetData>
    <row r="1" spans="1:9" ht="23.4" thickBot="1">
      <c r="A1" s="277" t="s">
        <v>128</v>
      </c>
      <c r="B1" s="137"/>
      <c r="C1" s="137"/>
      <c r="D1" s="137"/>
      <c r="E1" s="138"/>
      <c r="F1" s="137"/>
      <c r="G1" s="137"/>
      <c r="H1" s="137"/>
    </row>
    <row r="2" spans="1:9" s="163" customFormat="1" ht="16.8">
      <c r="A2" s="271" t="s">
        <v>127</v>
      </c>
      <c r="B2" s="272" t="s">
        <v>85</v>
      </c>
      <c r="C2" s="272" t="s">
        <v>126</v>
      </c>
      <c r="D2" s="273" t="s">
        <v>125</v>
      </c>
      <c r="E2" s="274" t="s">
        <v>124</v>
      </c>
      <c r="F2" s="272" t="s">
        <v>123</v>
      </c>
      <c r="G2" s="272" t="s">
        <v>122</v>
      </c>
      <c r="H2" s="275" t="s">
        <v>131</v>
      </c>
      <c r="I2" s="276" t="s">
        <v>132</v>
      </c>
    </row>
    <row r="3" spans="1:9" s="136" customFormat="1" ht="16.8">
      <c r="A3" s="278" t="s">
        <v>156</v>
      </c>
      <c r="B3" s="135">
        <v>0</v>
      </c>
      <c r="C3" s="164" t="s">
        <v>121</v>
      </c>
      <c r="D3" s="129" t="s">
        <v>111</v>
      </c>
      <c r="E3" s="165" t="s">
        <v>110</v>
      </c>
      <c r="F3" s="139" t="s">
        <v>119</v>
      </c>
      <c r="G3" s="139" t="s">
        <v>109</v>
      </c>
      <c r="H3" s="139" t="s">
        <v>129</v>
      </c>
      <c r="I3" s="140">
        <v>196</v>
      </c>
    </row>
    <row r="4" spans="1:9" ht="16.8">
      <c r="A4" s="278" t="s">
        <v>133</v>
      </c>
      <c r="B4" s="135">
        <v>0</v>
      </c>
      <c r="C4" s="134" t="s">
        <v>134</v>
      </c>
      <c r="D4" s="129" t="s">
        <v>115</v>
      </c>
      <c r="E4" s="132" t="s">
        <v>110</v>
      </c>
      <c r="F4" s="132" t="s">
        <v>119</v>
      </c>
      <c r="G4" s="132" t="s">
        <v>113</v>
      </c>
      <c r="H4" s="139" t="s">
        <v>129</v>
      </c>
      <c r="I4" s="140">
        <v>217</v>
      </c>
    </row>
    <row r="5" spans="1:9" ht="16.8">
      <c r="A5" s="278" t="s">
        <v>120</v>
      </c>
      <c r="B5" s="135">
        <v>0</v>
      </c>
      <c r="C5" s="134" t="s">
        <v>142</v>
      </c>
      <c r="D5" s="133" t="s">
        <v>111</v>
      </c>
      <c r="E5" s="132" t="s">
        <v>110</v>
      </c>
      <c r="F5" s="132" t="s">
        <v>119</v>
      </c>
      <c r="G5" s="132" t="s">
        <v>109</v>
      </c>
      <c r="H5" s="139" t="s">
        <v>129</v>
      </c>
      <c r="I5" s="140">
        <v>223</v>
      </c>
    </row>
    <row r="6" spans="1:9" ht="16.8">
      <c r="A6" s="278" t="s">
        <v>171</v>
      </c>
      <c r="B6" s="135">
        <v>0</v>
      </c>
      <c r="C6" s="167" t="s">
        <v>160</v>
      </c>
      <c r="D6" s="129" t="s">
        <v>111</v>
      </c>
      <c r="E6" s="165" t="s">
        <v>110</v>
      </c>
      <c r="F6" s="139" t="s">
        <v>158</v>
      </c>
      <c r="G6" s="139" t="s">
        <v>109</v>
      </c>
      <c r="H6" s="139" t="s">
        <v>129</v>
      </c>
      <c r="I6" s="140">
        <v>246</v>
      </c>
    </row>
    <row r="7" spans="1:9" ht="16.8">
      <c r="A7" s="279" t="s">
        <v>157</v>
      </c>
      <c r="B7" s="127">
        <v>0</v>
      </c>
      <c r="C7" s="223" t="s">
        <v>142</v>
      </c>
      <c r="D7" s="224" t="s">
        <v>115</v>
      </c>
      <c r="E7" s="226" t="s">
        <v>110</v>
      </c>
      <c r="F7" s="226" t="s">
        <v>117</v>
      </c>
      <c r="G7" s="226" t="s">
        <v>116</v>
      </c>
      <c r="H7" s="141" t="s">
        <v>129</v>
      </c>
      <c r="I7" s="142">
        <v>294</v>
      </c>
    </row>
    <row r="8" spans="1:9" ht="16.8">
      <c r="A8" s="278" t="s">
        <v>172</v>
      </c>
      <c r="B8" s="135">
        <v>1</v>
      </c>
      <c r="C8" s="167" t="s">
        <v>142</v>
      </c>
      <c r="D8" s="129" t="s">
        <v>111</v>
      </c>
      <c r="E8" s="165" t="s">
        <v>110</v>
      </c>
      <c r="F8" s="139" t="s">
        <v>117</v>
      </c>
      <c r="G8" s="139" t="s">
        <v>109</v>
      </c>
      <c r="H8" s="139" t="s">
        <v>129</v>
      </c>
      <c r="I8" s="195">
        <v>209</v>
      </c>
    </row>
    <row r="9" spans="1:9" ht="16.8">
      <c r="A9" s="278" t="s">
        <v>173</v>
      </c>
      <c r="B9" s="135">
        <v>1</v>
      </c>
      <c r="C9" s="167" t="s">
        <v>135</v>
      </c>
      <c r="D9" s="129" t="s">
        <v>137</v>
      </c>
      <c r="E9" s="165" t="s">
        <v>174</v>
      </c>
      <c r="F9" s="139" t="s">
        <v>119</v>
      </c>
      <c r="G9" s="139" t="s">
        <v>116</v>
      </c>
      <c r="H9" s="139" t="s">
        <v>129</v>
      </c>
      <c r="I9" s="195">
        <v>229</v>
      </c>
    </row>
    <row r="10" spans="1:9" ht="16.8">
      <c r="A10" s="278" t="s">
        <v>191</v>
      </c>
      <c r="B10" s="135">
        <v>1</v>
      </c>
      <c r="C10" s="167" t="s">
        <v>160</v>
      </c>
      <c r="D10" s="129" t="s">
        <v>137</v>
      </c>
      <c r="E10" s="165" t="s">
        <v>110</v>
      </c>
      <c r="F10" s="139" t="s">
        <v>158</v>
      </c>
      <c r="G10" s="139" t="s">
        <v>113</v>
      </c>
      <c r="H10" s="139" t="s">
        <v>159</v>
      </c>
      <c r="I10" s="140">
        <v>145</v>
      </c>
    </row>
    <row r="11" spans="1:9" ht="16.8">
      <c r="A11" s="278" t="s">
        <v>118</v>
      </c>
      <c r="B11" s="135">
        <v>1</v>
      </c>
      <c r="C11" s="354" t="s">
        <v>112</v>
      </c>
      <c r="D11" s="129" t="s">
        <v>111</v>
      </c>
      <c r="E11" s="165" t="s">
        <v>110</v>
      </c>
      <c r="F11" s="166" t="s">
        <v>117</v>
      </c>
      <c r="G11" s="166" t="s">
        <v>109</v>
      </c>
      <c r="H11" s="139" t="s">
        <v>129</v>
      </c>
      <c r="I11" s="140">
        <v>279</v>
      </c>
    </row>
    <row r="12" spans="1:9" ht="16.8">
      <c r="A12" s="278" t="s">
        <v>155</v>
      </c>
      <c r="B12" s="135">
        <v>1</v>
      </c>
      <c r="C12" s="167" t="s">
        <v>135</v>
      </c>
      <c r="D12" s="129" t="s">
        <v>137</v>
      </c>
      <c r="E12" s="165" t="s">
        <v>114</v>
      </c>
      <c r="F12" s="139" t="s">
        <v>158</v>
      </c>
      <c r="G12" s="139" t="s">
        <v>113</v>
      </c>
      <c r="H12" s="139" t="s">
        <v>159</v>
      </c>
      <c r="I12" s="140">
        <v>149</v>
      </c>
    </row>
    <row r="13" spans="1:9" ht="16.8">
      <c r="A13" s="279" t="s">
        <v>247</v>
      </c>
      <c r="B13" s="127">
        <v>1</v>
      </c>
      <c r="C13" s="223" t="s">
        <v>135</v>
      </c>
      <c r="D13" s="224" t="s">
        <v>111</v>
      </c>
      <c r="E13" s="226" t="s">
        <v>110</v>
      </c>
      <c r="F13" s="226" t="s">
        <v>158</v>
      </c>
      <c r="G13" s="226" t="s">
        <v>192</v>
      </c>
      <c r="H13" s="141" t="s">
        <v>193</v>
      </c>
      <c r="I13" s="142">
        <v>72</v>
      </c>
    </row>
    <row r="14" spans="1:9" ht="16.8">
      <c r="A14" s="278" t="s">
        <v>175</v>
      </c>
      <c r="B14" s="135">
        <v>2</v>
      </c>
      <c r="C14" s="167" t="s">
        <v>135</v>
      </c>
      <c r="D14" s="129" t="s">
        <v>178</v>
      </c>
      <c r="E14" s="165" t="s">
        <v>110</v>
      </c>
      <c r="F14" s="139" t="s">
        <v>117</v>
      </c>
      <c r="G14" s="139" t="s">
        <v>161</v>
      </c>
      <c r="H14" s="139" t="s">
        <v>129</v>
      </c>
      <c r="I14" s="140">
        <v>203</v>
      </c>
    </row>
    <row r="15" spans="1:9" ht="16.8">
      <c r="A15" s="278" t="s">
        <v>267</v>
      </c>
      <c r="B15" s="135">
        <v>2</v>
      </c>
      <c r="C15" s="167" t="s">
        <v>135</v>
      </c>
      <c r="D15" s="129" t="s">
        <v>264</v>
      </c>
      <c r="E15" s="165" t="s">
        <v>110</v>
      </c>
      <c r="F15" s="139" t="s">
        <v>117</v>
      </c>
      <c r="G15" s="139" t="s">
        <v>268</v>
      </c>
      <c r="H15" s="139" t="s">
        <v>129</v>
      </c>
      <c r="I15" s="140">
        <v>207</v>
      </c>
    </row>
    <row r="16" spans="1:9" ht="16.8">
      <c r="A16" s="278" t="s">
        <v>136</v>
      </c>
      <c r="B16" s="135">
        <v>2</v>
      </c>
      <c r="C16" s="167" t="s">
        <v>121</v>
      </c>
      <c r="D16" s="129" t="s">
        <v>137</v>
      </c>
      <c r="E16" s="165" t="s">
        <v>110</v>
      </c>
      <c r="F16" s="139" t="s">
        <v>117</v>
      </c>
      <c r="G16" s="139" t="s">
        <v>109</v>
      </c>
      <c r="H16" s="139" t="s">
        <v>130</v>
      </c>
      <c r="I16" s="140">
        <v>110</v>
      </c>
    </row>
    <row r="17" spans="1:9" ht="16.8">
      <c r="A17" s="278" t="s">
        <v>176</v>
      </c>
      <c r="B17" s="135">
        <v>2</v>
      </c>
      <c r="C17" s="167" t="s">
        <v>177</v>
      </c>
      <c r="D17" s="129" t="s">
        <v>178</v>
      </c>
      <c r="E17" s="165" t="s">
        <v>110</v>
      </c>
      <c r="F17" s="139" t="s">
        <v>117</v>
      </c>
      <c r="G17" s="139" t="s">
        <v>161</v>
      </c>
      <c r="H17" s="139" t="s">
        <v>129</v>
      </c>
      <c r="I17" s="140">
        <v>272</v>
      </c>
    </row>
    <row r="18" spans="1:9" ht="16.8">
      <c r="A18" s="278" t="s">
        <v>269</v>
      </c>
      <c r="B18" s="131">
        <v>2</v>
      </c>
      <c r="C18" s="130" t="s">
        <v>142</v>
      </c>
      <c r="D18" s="129" t="s">
        <v>111</v>
      </c>
      <c r="E18" s="150" t="s">
        <v>110</v>
      </c>
      <c r="F18" s="128" t="s">
        <v>117</v>
      </c>
      <c r="G18" s="128" t="s">
        <v>109</v>
      </c>
      <c r="H18" s="139" t="s">
        <v>159</v>
      </c>
      <c r="I18" s="140">
        <v>158</v>
      </c>
    </row>
    <row r="19" spans="1:9" ht="16.8">
      <c r="A19" s="279" t="s">
        <v>194</v>
      </c>
      <c r="B19" s="127">
        <v>2</v>
      </c>
      <c r="C19" s="196" t="s">
        <v>135</v>
      </c>
      <c r="D19" s="225" t="s">
        <v>137</v>
      </c>
      <c r="E19" s="197" t="s">
        <v>114</v>
      </c>
      <c r="F19" s="227" t="s">
        <v>158</v>
      </c>
      <c r="G19" s="141" t="s">
        <v>113</v>
      </c>
      <c r="H19" s="141" t="s">
        <v>159</v>
      </c>
      <c r="I19" s="228">
        <v>149</v>
      </c>
    </row>
    <row r="20" spans="1:9" ht="16.8">
      <c r="A20" s="278" t="s">
        <v>260</v>
      </c>
      <c r="B20" s="131">
        <v>3</v>
      </c>
      <c r="C20" s="130" t="s">
        <v>135</v>
      </c>
      <c r="D20" s="129" t="s">
        <v>115</v>
      </c>
      <c r="E20" s="150" t="s">
        <v>110</v>
      </c>
      <c r="F20" s="128" t="s">
        <v>119</v>
      </c>
      <c r="G20" s="128" t="s">
        <v>116</v>
      </c>
      <c r="H20" s="139" t="s">
        <v>129</v>
      </c>
      <c r="I20" s="140">
        <v>239</v>
      </c>
    </row>
    <row r="21" spans="1:9" ht="16.8">
      <c r="A21" s="278" t="s">
        <v>270</v>
      </c>
      <c r="B21" s="135">
        <v>3</v>
      </c>
      <c r="C21" s="167" t="s">
        <v>135</v>
      </c>
      <c r="D21" s="129" t="s">
        <v>111</v>
      </c>
      <c r="E21" s="165" t="s">
        <v>110</v>
      </c>
      <c r="F21" s="139" t="s">
        <v>119</v>
      </c>
      <c r="G21" s="139" t="s">
        <v>161</v>
      </c>
      <c r="H21" s="139" t="s">
        <v>129</v>
      </c>
      <c r="I21" s="140">
        <v>246</v>
      </c>
    </row>
    <row r="22" spans="1:9" ht="16.8">
      <c r="A22" s="279" t="s">
        <v>271</v>
      </c>
      <c r="B22" s="127">
        <v>3</v>
      </c>
      <c r="C22" s="223" t="s">
        <v>142</v>
      </c>
      <c r="D22" s="224" t="s">
        <v>111</v>
      </c>
      <c r="E22" s="226" t="s">
        <v>110</v>
      </c>
      <c r="F22" s="226" t="s">
        <v>117</v>
      </c>
      <c r="G22" s="226" t="s">
        <v>272</v>
      </c>
      <c r="H22" s="141" t="s">
        <v>129</v>
      </c>
      <c r="I22" s="142">
        <v>298</v>
      </c>
    </row>
    <row r="23" spans="1:9" ht="16.8">
      <c r="A23" s="278" t="s">
        <v>261</v>
      </c>
      <c r="B23" s="131">
        <v>4</v>
      </c>
      <c r="C23" s="130" t="s">
        <v>177</v>
      </c>
      <c r="D23" s="537" t="s">
        <v>111</v>
      </c>
      <c r="E23" s="128" t="s">
        <v>110</v>
      </c>
      <c r="F23" s="128" t="s">
        <v>262</v>
      </c>
      <c r="G23" s="128" t="s">
        <v>109</v>
      </c>
      <c r="H23" s="139" t="s">
        <v>129</v>
      </c>
      <c r="I23" s="140">
        <v>223</v>
      </c>
    </row>
    <row r="24" spans="1:9" ht="17.399999999999999" thickBot="1">
      <c r="A24" s="538" t="s">
        <v>263</v>
      </c>
      <c r="B24" s="539">
        <v>4</v>
      </c>
      <c r="C24" s="540" t="s">
        <v>112</v>
      </c>
      <c r="D24" s="541" t="s">
        <v>264</v>
      </c>
      <c r="E24" s="541" t="s">
        <v>110</v>
      </c>
      <c r="F24" s="541" t="s">
        <v>158</v>
      </c>
      <c r="G24" s="541" t="s">
        <v>116</v>
      </c>
      <c r="H24" s="541" t="s">
        <v>129</v>
      </c>
      <c r="I24" s="542">
        <v>230</v>
      </c>
    </row>
    <row r="25" spans="1:9"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9"/>
  <sheetViews>
    <sheetView showGridLines="0" workbookViewId="0"/>
  </sheetViews>
  <sheetFormatPr defaultColWidth="9.59765625" defaultRowHeight="16.8"/>
  <cols>
    <col min="1" max="1" width="28.796875" style="52" bestFit="1" customWidth="1"/>
    <col min="2" max="2" width="2.19921875" style="50" customWidth="1"/>
    <col min="3" max="3" width="29.09765625" style="50" bestFit="1" customWidth="1"/>
    <col min="4" max="4" width="2.3984375" style="50" customWidth="1"/>
    <col min="5" max="5" width="16.3984375" style="50" bestFit="1" customWidth="1"/>
    <col min="6" max="11" width="3.796875" style="50" customWidth="1"/>
    <col min="12" max="12" width="18.5" style="12" customWidth="1"/>
    <col min="13" max="16384" width="9.59765625" style="50"/>
  </cols>
  <sheetData>
    <row r="1" spans="1:11" ht="22.2" thickTop="1" thickBot="1">
      <c r="A1" s="168" t="s">
        <v>70</v>
      </c>
      <c r="B1" s="12"/>
      <c r="C1" s="169" t="s">
        <v>100</v>
      </c>
      <c r="E1" s="255"/>
      <c r="F1" s="374" t="s">
        <v>201</v>
      </c>
      <c r="G1" s="375"/>
      <c r="H1" s="376"/>
      <c r="I1" s="376"/>
      <c r="J1" s="376"/>
      <c r="K1" s="377"/>
    </row>
    <row r="2" spans="1:11" ht="17.399999999999999" thickBot="1">
      <c r="A2" s="353" t="s">
        <v>169</v>
      </c>
      <c r="B2" s="12"/>
      <c r="C2" s="324" t="s">
        <v>248</v>
      </c>
      <c r="E2" s="255"/>
      <c r="F2" s="378" t="s">
        <v>195</v>
      </c>
      <c r="G2" s="379" t="s">
        <v>150</v>
      </c>
      <c r="H2" s="379" t="s">
        <v>151</v>
      </c>
      <c r="I2" s="379" t="s">
        <v>152</v>
      </c>
      <c r="J2" s="379" t="s">
        <v>153</v>
      </c>
      <c r="K2" s="380" t="s">
        <v>154</v>
      </c>
    </row>
    <row r="3" spans="1:11" ht="17.399999999999999" thickTop="1">
      <c r="A3" s="51" t="s">
        <v>246</v>
      </c>
      <c r="B3" s="12"/>
      <c r="C3" s="337" t="s">
        <v>249</v>
      </c>
      <c r="E3" s="256" t="s">
        <v>206</v>
      </c>
      <c r="F3" s="257">
        <v>6</v>
      </c>
      <c r="G3" s="258">
        <v>9</v>
      </c>
      <c r="H3" s="258">
        <v>8</v>
      </c>
      <c r="I3" s="258">
        <v>7</v>
      </c>
      <c r="J3" s="258">
        <v>3</v>
      </c>
      <c r="K3" s="259">
        <v>0</v>
      </c>
    </row>
    <row r="4" spans="1:11" ht="17.399999999999999" thickBot="1">
      <c r="A4" s="51" t="s">
        <v>162</v>
      </c>
      <c r="B4" s="12"/>
      <c r="C4" s="355" t="s">
        <v>250</v>
      </c>
      <c r="E4" s="260" t="s">
        <v>200</v>
      </c>
      <c r="F4" s="261">
        <v>0</v>
      </c>
      <c r="G4" s="261">
        <v>1</v>
      </c>
      <c r="H4" s="261">
        <v>1</v>
      </c>
      <c r="I4" s="261">
        <v>0</v>
      </c>
      <c r="J4" s="261">
        <v>0</v>
      </c>
      <c r="K4" s="262">
        <v>0</v>
      </c>
    </row>
    <row r="5" spans="1:11" ht="18" thickTop="1" thickBot="1">
      <c r="A5" s="208" t="s">
        <v>167</v>
      </c>
      <c r="B5" s="12"/>
      <c r="E5" s="263" t="s">
        <v>196</v>
      </c>
      <c r="F5" s="387">
        <f t="shared" ref="F5:J5" si="0">SUM(F3:F4)</f>
        <v>6</v>
      </c>
      <c r="G5" s="387">
        <f t="shared" si="0"/>
        <v>10</v>
      </c>
      <c r="H5" s="387">
        <f t="shared" si="0"/>
        <v>9</v>
      </c>
      <c r="I5" s="387">
        <f t="shared" si="0"/>
        <v>7</v>
      </c>
      <c r="J5" s="387">
        <f t="shared" si="0"/>
        <v>3</v>
      </c>
      <c r="K5" s="264">
        <v>0</v>
      </c>
    </row>
    <row r="6" spans="1:11" ht="22.2" thickTop="1" thickBot="1">
      <c r="B6" s="12"/>
      <c r="C6" s="171" t="s">
        <v>58</v>
      </c>
      <c r="E6" s="265" t="s">
        <v>106</v>
      </c>
      <c r="F6" s="266">
        <f>10+LEFT(F2,1)+'Personal File'!$C$12</f>
        <v>11</v>
      </c>
      <c r="G6" s="266">
        <f>10+LEFT(G2,1)+'Personal File'!$C$12</f>
        <v>12</v>
      </c>
      <c r="H6" s="266">
        <f>10+LEFT(H2,1)+'Personal File'!$C$12</f>
        <v>13</v>
      </c>
      <c r="I6" s="266">
        <f>10+LEFT(I2,1)+'Personal File'!$C$12</f>
        <v>14</v>
      </c>
      <c r="J6" s="266">
        <f>10+LEFT(J2,1)+'Personal File'!$C$12</f>
        <v>15</v>
      </c>
      <c r="K6" s="267">
        <f>10+LEFT(K2,1)+'Personal File'!$C$12</f>
        <v>16</v>
      </c>
    </row>
    <row r="7" spans="1:11" ht="22.2" thickTop="1" thickBot="1">
      <c r="A7" s="382" t="s">
        <v>84</v>
      </c>
      <c r="B7" s="12"/>
      <c r="C7" s="53" t="s">
        <v>99</v>
      </c>
      <c r="E7" s="268" t="s">
        <v>107</v>
      </c>
      <c r="F7" s="386">
        <v>0</v>
      </c>
      <c r="G7" s="386">
        <v>4</v>
      </c>
      <c r="H7" s="386">
        <v>8</v>
      </c>
      <c r="I7" s="386">
        <v>1</v>
      </c>
      <c r="J7" s="386">
        <v>3</v>
      </c>
      <c r="K7" s="269" t="s">
        <v>86</v>
      </c>
    </row>
    <row r="8" spans="1:11" ht="17.399999999999999" thickBot="1">
      <c r="A8" s="325" t="s">
        <v>101</v>
      </c>
      <c r="B8" s="12"/>
      <c r="E8" s="270"/>
      <c r="F8" s="270"/>
      <c r="G8" s="270"/>
      <c r="H8" s="270"/>
      <c r="I8" s="270"/>
      <c r="J8" s="270"/>
      <c r="K8" s="270"/>
    </row>
    <row r="9" spans="1:11" ht="22.2" thickTop="1" thickBot="1">
      <c r="A9" s="352" t="s">
        <v>214</v>
      </c>
      <c r="C9" s="170" t="s">
        <v>103</v>
      </c>
      <c r="E9" s="370" t="s">
        <v>197</v>
      </c>
      <c r="F9" s="371" t="s">
        <v>198</v>
      </c>
      <c r="G9" s="371"/>
      <c r="H9" s="372" t="s">
        <v>199</v>
      </c>
      <c r="I9" s="372"/>
      <c r="J9" s="373"/>
      <c r="K9" s="270"/>
    </row>
    <row r="10" spans="1:11" ht="17.399999999999999" thickBot="1">
      <c r="A10" s="331" t="s">
        <v>102</v>
      </c>
      <c r="C10" s="332" t="s">
        <v>104</v>
      </c>
      <c r="E10" s="326" t="s">
        <v>87</v>
      </c>
      <c r="F10" s="327">
        <f>'Personal File'!E3</f>
        <v>14</v>
      </c>
      <c r="G10" s="327"/>
      <c r="H10" s="328">
        <f>'Personal File'!E3</f>
        <v>14</v>
      </c>
      <c r="I10" s="329"/>
      <c r="J10" s="330"/>
      <c r="K10" s="270"/>
    </row>
    <row r="11" spans="1:11" ht="17.399999999999999" thickTop="1">
      <c r="A11" s="331" t="s">
        <v>144</v>
      </c>
      <c r="C11" s="337" t="s">
        <v>105</v>
      </c>
    </row>
    <row r="12" spans="1:11" ht="23.4" thickBot="1">
      <c r="A12" s="331" t="s">
        <v>216</v>
      </c>
      <c r="C12" s="53" t="s">
        <v>71</v>
      </c>
      <c r="E12" s="381" t="s">
        <v>266</v>
      </c>
      <c r="F12" s="162"/>
      <c r="G12" s="162"/>
      <c r="H12" s="162"/>
      <c r="I12" s="162"/>
      <c r="J12" s="162"/>
      <c r="K12" s="162"/>
    </row>
    <row r="13" spans="1:11" ht="18" thickTop="1" thickBot="1">
      <c r="A13" s="331" t="s">
        <v>168</v>
      </c>
      <c r="E13" s="333" t="s">
        <v>85</v>
      </c>
      <c r="F13" s="334">
        <v>0</v>
      </c>
      <c r="G13" s="335" t="s">
        <v>150</v>
      </c>
      <c r="H13" s="335" t="s">
        <v>151</v>
      </c>
      <c r="I13" s="335" t="s">
        <v>152</v>
      </c>
      <c r="J13" s="335" t="s">
        <v>153</v>
      </c>
      <c r="K13" s="336" t="s">
        <v>154</v>
      </c>
    </row>
    <row r="14" spans="1:11">
      <c r="A14" s="331" t="s">
        <v>292</v>
      </c>
      <c r="E14" s="338">
        <v>1</v>
      </c>
      <c r="F14" s="339">
        <f>2+'Personal File'!C12</f>
        <v>3</v>
      </c>
      <c r="G14" s="340">
        <v>2</v>
      </c>
      <c r="H14" s="341"/>
      <c r="I14" s="341"/>
      <c r="J14" s="341"/>
      <c r="K14" s="342"/>
    </row>
    <row r="15" spans="1:11" ht="17.399999999999999" thickBot="1">
      <c r="A15" s="347" t="s">
        <v>302</v>
      </c>
      <c r="E15" s="343">
        <v>2</v>
      </c>
      <c r="F15" s="344">
        <f t="shared" ref="F15" si="1">F14</f>
        <v>3</v>
      </c>
      <c r="G15" s="340">
        <f>G14+1</f>
        <v>3</v>
      </c>
      <c r="H15" s="345"/>
      <c r="I15" s="345"/>
      <c r="J15" s="345"/>
      <c r="K15" s="346"/>
    </row>
    <row r="16" spans="1:11" ht="17.399999999999999" thickTop="1">
      <c r="A16" s="12"/>
      <c r="E16" s="343">
        <v>3</v>
      </c>
      <c r="F16" s="344">
        <f t="shared" ref="F16" si="2">F15</f>
        <v>3</v>
      </c>
      <c r="G16" s="340">
        <f>G15+1</f>
        <v>4</v>
      </c>
      <c r="H16" s="345"/>
      <c r="I16" s="345"/>
      <c r="J16" s="345"/>
      <c r="K16" s="346"/>
    </row>
    <row r="17" spans="5:11">
      <c r="E17" s="343">
        <v>4</v>
      </c>
      <c r="F17" s="344">
        <f t="shared" ref="F17" si="3">F16</f>
        <v>3</v>
      </c>
      <c r="G17" s="340">
        <f>G16+1</f>
        <v>5</v>
      </c>
      <c r="H17" s="345"/>
      <c r="I17" s="345"/>
      <c r="J17" s="345"/>
      <c r="K17" s="346"/>
    </row>
    <row r="18" spans="5:11">
      <c r="E18" s="343">
        <v>5</v>
      </c>
      <c r="F18" s="344">
        <f t="shared" ref="F18:F28" si="4">F17</f>
        <v>3</v>
      </c>
      <c r="G18" s="340">
        <f t="shared" ref="G18" si="5">G17</f>
        <v>5</v>
      </c>
      <c r="H18" s="340">
        <v>1</v>
      </c>
      <c r="I18" s="345"/>
      <c r="J18" s="345"/>
      <c r="K18" s="346"/>
    </row>
    <row r="19" spans="5:11">
      <c r="E19" s="343">
        <v>6</v>
      </c>
      <c r="F19" s="344">
        <f t="shared" si="4"/>
        <v>3</v>
      </c>
      <c r="G19" s="344">
        <f t="shared" ref="G19" si="6">G18</f>
        <v>5</v>
      </c>
      <c r="H19" s="344">
        <f>H18+1</f>
        <v>2</v>
      </c>
      <c r="I19" s="345"/>
      <c r="J19" s="345"/>
      <c r="K19" s="346"/>
    </row>
    <row r="20" spans="5:11">
      <c r="E20" s="343">
        <v>7</v>
      </c>
      <c r="F20" s="344">
        <f t="shared" si="4"/>
        <v>3</v>
      </c>
      <c r="G20" s="340">
        <f t="shared" ref="G20" si="7">G19</f>
        <v>5</v>
      </c>
      <c r="H20" s="340">
        <f t="shared" ref="H20:H21" si="8">H19+1</f>
        <v>3</v>
      </c>
      <c r="I20" s="345"/>
      <c r="J20" s="345"/>
      <c r="K20" s="346"/>
    </row>
    <row r="21" spans="5:11">
      <c r="E21" s="343">
        <v>8</v>
      </c>
      <c r="F21" s="344">
        <f t="shared" si="4"/>
        <v>3</v>
      </c>
      <c r="G21" s="340">
        <f t="shared" ref="G21" si="9">G20</f>
        <v>5</v>
      </c>
      <c r="H21" s="340">
        <f t="shared" si="8"/>
        <v>4</v>
      </c>
      <c r="I21" s="345"/>
      <c r="J21" s="345"/>
      <c r="K21" s="346"/>
    </row>
    <row r="22" spans="5:11">
      <c r="E22" s="343">
        <v>9</v>
      </c>
      <c r="F22" s="344">
        <f t="shared" si="4"/>
        <v>3</v>
      </c>
      <c r="G22" s="340">
        <f t="shared" ref="G22" si="10">G21</f>
        <v>5</v>
      </c>
      <c r="H22" s="340">
        <f t="shared" ref="H22" si="11">H21</f>
        <v>4</v>
      </c>
      <c r="I22" s="340">
        <v>1</v>
      </c>
      <c r="J22" s="345"/>
      <c r="K22" s="346"/>
    </row>
    <row r="23" spans="5:11">
      <c r="E23" s="343">
        <v>10</v>
      </c>
      <c r="F23" s="344">
        <f t="shared" si="4"/>
        <v>3</v>
      </c>
      <c r="G23" s="340">
        <f t="shared" ref="G23" si="12">G22</f>
        <v>5</v>
      </c>
      <c r="H23" s="340">
        <f t="shared" ref="H23" si="13">H22</f>
        <v>4</v>
      </c>
      <c r="I23" s="340">
        <f t="shared" ref="I23:I25" si="14">I22+1</f>
        <v>2</v>
      </c>
      <c r="J23" s="345"/>
      <c r="K23" s="346"/>
    </row>
    <row r="24" spans="5:11">
      <c r="E24" s="343">
        <v>11</v>
      </c>
      <c r="F24" s="344">
        <f t="shared" si="4"/>
        <v>3</v>
      </c>
      <c r="G24" s="340">
        <f t="shared" ref="G24" si="15">G23</f>
        <v>5</v>
      </c>
      <c r="H24" s="340">
        <f t="shared" ref="H24" si="16">H23</f>
        <v>4</v>
      </c>
      <c r="I24" s="340">
        <f t="shared" si="14"/>
        <v>3</v>
      </c>
      <c r="J24" s="345"/>
      <c r="K24" s="346"/>
    </row>
    <row r="25" spans="5:11">
      <c r="E25" s="343">
        <v>12</v>
      </c>
      <c r="F25" s="344">
        <f t="shared" si="4"/>
        <v>3</v>
      </c>
      <c r="G25" s="340">
        <f t="shared" ref="G25" si="17">G24</f>
        <v>5</v>
      </c>
      <c r="H25" s="340">
        <f t="shared" ref="H25" si="18">H24</f>
        <v>4</v>
      </c>
      <c r="I25" s="340">
        <f t="shared" si="14"/>
        <v>4</v>
      </c>
      <c r="J25" s="345"/>
      <c r="K25" s="346"/>
    </row>
    <row r="26" spans="5:11">
      <c r="E26" s="343">
        <v>13</v>
      </c>
      <c r="F26" s="344">
        <f t="shared" si="4"/>
        <v>3</v>
      </c>
      <c r="G26" s="340">
        <f t="shared" ref="G26" si="19">G25</f>
        <v>5</v>
      </c>
      <c r="H26" s="340">
        <f t="shared" ref="H26:I26" si="20">H25</f>
        <v>4</v>
      </c>
      <c r="I26" s="340">
        <f t="shared" si="20"/>
        <v>4</v>
      </c>
      <c r="J26" s="340">
        <v>1</v>
      </c>
      <c r="K26" s="346"/>
    </row>
    <row r="27" spans="5:11">
      <c r="E27" s="383">
        <v>14</v>
      </c>
      <c r="F27" s="384">
        <f t="shared" si="4"/>
        <v>3</v>
      </c>
      <c r="G27" s="385">
        <f t="shared" ref="G27" si="21">G26</f>
        <v>5</v>
      </c>
      <c r="H27" s="385">
        <f t="shared" ref="H27:I27" si="22">H26</f>
        <v>4</v>
      </c>
      <c r="I27" s="385">
        <f t="shared" si="22"/>
        <v>4</v>
      </c>
      <c r="J27" s="385">
        <f t="shared" ref="J27:J28" si="23">J26+1</f>
        <v>2</v>
      </c>
      <c r="K27" s="346"/>
    </row>
    <row r="28" spans="5:11" ht="17.399999999999999" thickBot="1">
      <c r="E28" s="348">
        <v>15</v>
      </c>
      <c r="F28" s="349">
        <f t="shared" si="4"/>
        <v>3</v>
      </c>
      <c r="G28" s="350">
        <f t="shared" ref="G28" si="24">G27</f>
        <v>5</v>
      </c>
      <c r="H28" s="350">
        <f t="shared" ref="H28:I28" si="25">H27</f>
        <v>4</v>
      </c>
      <c r="I28" s="350">
        <f t="shared" si="25"/>
        <v>4</v>
      </c>
      <c r="J28" s="350">
        <f t="shared" si="23"/>
        <v>3</v>
      </c>
      <c r="K28" s="351"/>
    </row>
    <row r="29" spans="5:11" ht="17.399999999999999" thickTop="1"/>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7"/>
  <sheetViews>
    <sheetView showGridLines="0" workbookViewId="0"/>
  </sheetViews>
  <sheetFormatPr defaultColWidth="13" defaultRowHeight="15.6"/>
  <cols>
    <col min="1" max="1" width="26.296875" style="49" bestFit="1" customWidth="1"/>
    <col min="2" max="2" width="9.69921875" style="49" bestFit="1" customWidth="1"/>
    <col min="3" max="3" width="5.59765625" style="49" bestFit="1" customWidth="1"/>
    <col min="4" max="4" width="6.5" style="49" bestFit="1" customWidth="1"/>
    <col min="5" max="5" width="14.59765625" style="49" bestFit="1" customWidth="1"/>
    <col min="6" max="6" width="9.3984375" style="49" bestFit="1" customWidth="1"/>
    <col min="7" max="7" width="4.3984375" style="49" bestFit="1" customWidth="1"/>
    <col min="8" max="8" width="4.69921875" style="49" bestFit="1" customWidth="1"/>
    <col min="9" max="9" width="5.69921875" style="49" bestFit="1" customWidth="1"/>
    <col min="10" max="10" width="6.296875" style="49" bestFit="1" customWidth="1"/>
    <col min="11" max="11" width="12.59765625" style="49" bestFit="1" customWidth="1"/>
    <col min="12" max="12" width="2.8984375" style="10" customWidth="1"/>
    <col min="13" max="13" width="5.796875" style="10" bestFit="1" customWidth="1"/>
    <col min="14" max="16384" width="13" style="10"/>
  </cols>
  <sheetData>
    <row r="1" spans="1:13" ht="23.4" thickBot="1">
      <c r="A1" s="54" t="s">
        <v>15</v>
      </c>
      <c r="B1" s="54"/>
      <c r="C1" s="54"/>
      <c r="D1" s="54"/>
      <c r="E1" s="54"/>
      <c r="F1" s="54"/>
      <c r="G1" s="54"/>
      <c r="H1" s="54"/>
      <c r="I1" s="54"/>
      <c r="J1" s="54"/>
      <c r="K1" s="54"/>
    </row>
    <row r="2" spans="1:13" ht="16.8" thickTop="1" thickBot="1">
      <c r="A2" s="55" t="s">
        <v>1</v>
      </c>
      <c r="B2" s="56" t="s">
        <v>2</v>
      </c>
      <c r="C2" s="56" t="s">
        <v>18</v>
      </c>
      <c r="D2" s="56" t="s">
        <v>19</v>
      </c>
      <c r="E2" s="57" t="s">
        <v>52</v>
      </c>
      <c r="F2" s="56" t="s">
        <v>16</v>
      </c>
      <c r="G2" s="56" t="s">
        <v>20</v>
      </c>
      <c r="H2" s="58" t="s">
        <v>69</v>
      </c>
      <c r="I2" s="59" t="s">
        <v>76</v>
      </c>
      <c r="J2" s="58" t="s">
        <v>64</v>
      </c>
      <c r="K2" s="60" t="s">
        <v>0</v>
      </c>
      <c r="M2" s="61" t="s">
        <v>83</v>
      </c>
    </row>
    <row r="3" spans="1:13">
      <c r="A3" s="144" t="s">
        <v>278</v>
      </c>
      <c r="B3" s="3" t="s">
        <v>251</v>
      </c>
      <c r="C3" s="4" t="str">
        <f>CONCATENATE('Personal File'!$C$9," +2")</f>
        <v>+4 +2</v>
      </c>
      <c r="D3" s="5" t="s">
        <v>72</v>
      </c>
      <c r="E3" s="5" t="s">
        <v>252</v>
      </c>
      <c r="F3" s="6" t="s">
        <v>74</v>
      </c>
      <c r="G3" s="7">
        <v>8</v>
      </c>
      <c r="H3" s="9" t="str">
        <f>CONCATENATE("+",'Personal File'!$B$7+'Personal File'!$C$9+D3)</f>
        <v>+20</v>
      </c>
      <c r="I3" s="8">
        <f t="shared" ref="I3:I16" ca="1" si="0">RANDBETWEEN(1,20)</f>
        <v>18</v>
      </c>
      <c r="J3" s="2">
        <f t="shared" ref="J3:J17" ca="1" si="1">I3+H3</f>
        <v>38</v>
      </c>
      <c r="K3" s="241"/>
      <c r="M3" s="157">
        <v>18000</v>
      </c>
    </row>
    <row r="4" spans="1:13">
      <c r="A4" s="151" t="s">
        <v>273</v>
      </c>
      <c r="B4" s="152" t="s">
        <v>251</v>
      </c>
      <c r="C4" s="153" t="str">
        <f>CONCATENATE('Personal File'!$C$9," +2")</f>
        <v>+4 +2</v>
      </c>
      <c r="D4" s="154" t="s">
        <v>72</v>
      </c>
      <c r="E4" s="154" t="s">
        <v>252</v>
      </c>
      <c r="F4" s="6" t="s">
        <v>74</v>
      </c>
      <c r="G4" s="155" t="s">
        <v>86</v>
      </c>
      <c r="H4" s="9" t="str">
        <f>CONCATENATE("+",'Personal File'!$B$7+'Personal File'!$C$9+D4-5)</f>
        <v>+15</v>
      </c>
      <c r="I4" s="8">
        <f t="shared" ca="1" si="0"/>
        <v>12</v>
      </c>
      <c r="J4" s="2">
        <f t="shared" ref="J4" ca="1" si="2">I4+H4</f>
        <v>27</v>
      </c>
      <c r="K4" s="242"/>
      <c r="M4" s="159" t="s">
        <v>86</v>
      </c>
    </row>
    <row r="5" spans="1:13">
      <c r="A5" s="151" t="s">
        <v>274</v>
      </c>
      <c r="B5" s="152" t="s">
        <v>251</v>
      </c>
      <c r="C5" s="153" t="str">
        <f>CONCATENATE('Personal File'!$C$9," +2")</f>
        <v>+4 +2</v>
      </c>
      <c r="D5" s="154" t="s">
        <v>72</v>
      </c>
      <c r="E5" s="154" t="s">
        <v>252</v>
      </c>
      <c r="F5" s="6" t="s">
        <v>74</v>
      </c>
      <c r="G5" s="155" t="s">
        <v>86</v>
      </c>
      <c r="H5" s="9" t="str">
        <f>CONCATENATE("+",'Personal File'!$B$7+'Personal File'!$C$9+D5-10)</f>
        <v>+10</v>
      </c>
      <c r="I5" s="8">
        <f t="shared" ca="1" si="0"/>
        <v>10</v>
      </c>
      <c r="J5" s="2">
        <f t="shared" ref="J5:J6" ca="1" si="3">I5+H5</f>
        <v>20</v>
      </c>
      <c r="K5" s="242"/>
      <c r="M5" s="159" t="s">
        <v>86</v>
      </c>
    </row>
    <row r="6" spans="1:13">
      <c r="A6" s="151" t="s">
        <v>306</v>
      </c>
      <c r="B6" s="3" t="s">
        <v>251</v>
      </c>
      <c r="C6" s="4" t="str">
        <f>CONCATENATE('Personal File'!$C$9," +2")</f>
        <v>+4 +2</v>
      </c>
      <c r="D6" s="5" t="s">
        <v>72</v>
      </c>
      <c r="E6" s="5" t="s">
        <v>252</v>
      </c>
      <c r="F6" s="6" t="s">
        <v>74</v>
      </c>
      <c r="G6" s="155" t="s">
        <v>86</v>
      </c>
      <c r="H6" s="9" t="str">
        <f>CONCATENATE("+",'Personal File'!$B$7+'Personal File'!$C$9+D6)</f>
        <v>+20</v>
      </c>
      <c r="I6" s="8">
        <f t="shared" ca="1" si="0"/>
        <v>20</v>
      </c>
      <c r="J6" s="2">
        <f t="shared" ca="1" si="3"/>
        <v>40</v>
      </c>
      <c r="K6" s="242"/>
      <c r="M6" s="240" t="s">
        <v>86</v>
      </c>
    </row>
    <row r="7" spans="1:13" ht="31.2">
      <c r="A7" s="209" t="s">
        <v>279</v>
      </c>
      <c r="B7" s="211" t="s">
        <v>265</v>
      </c>
      <c r="C7" s="211">
        <v>1</v>
      </c>
      <c r="D7" s="211" t="s">
        <v>280</v>
      </c>
      <c r="E7" s="213" t="s">
        <v>86</v>
      </c>
      <c r="F7" s="213" t="s">
        <v>86</v>
      </c>
      <c r="G7" s="214" t="s">
        <v>86</v>
      </c>
      <c r="H7" s="214" t="s">
        <v>86</v>
      </c>
      <c r="I7" s="214" t="s">
        <v>86</v>
      </c>
      <c r="J7" s="214" t="s">
        <v>86</v>
      </c>
      <c r="K7" s="518" t="s">
        <v>281</v>
      </c>
      <c r="L7" s="161"/>
      <c r="M7" s="238">
        <v>6000</v>
      </c>
    </row>
    <row r="8" spans="1:13">
      <c r="A8" s="233" t="s">
        <v>207</v>
      </c>
      <c r="B8" s="234" t="s">
        <v>181</v>
      </c>
      <c r="C8" s="235" t="str">
        <f>'Personal File'!$C$9</f>
        <v>+4</v>
      </c>
      <c r="D8" s="236" t="s">
        <v>50</v>
      </c>
      <c r="E8" s="236" t="s">
        <v>210</v>
      </c>
      <c r="F8" s="314" t="s">
        <v>211</v>
      </c>
      <c r="G8" s="187">
        <v>0.5</v>
      </c>
      <c r="H8" s="230" t="str">
        <f>CONCATENATE("+",'Personal File'!$B$7+'Personal File'!$C$9+D8)</f>
        <v>+18</v>
      </c>
      <c r="I8" s="231">
        <f t="shared" ca="1" si="0"/>
        <v>9</v>
      </c>
      <c r="J8" s="232">
        <f t="shared" ref="J8:J10" ca="1" si="4">I8+H8</f>
        <v>27</v>
      </c>
      <c r="K8" s="244"/>
      <c r="M8" s="313">
        <v>0</v>
      </c>
    </row>
    <row r="9" spans="1:13">
      <c r="A9" s="144" t="s">
        <v>208</v>
      </c>
      <c r="B9" s="3" t="s">
        <v>181</v>
      </c>
      <c r="C9" s="4" t="str">
        <f>'Personal File'!$C$9</f>
        <v>+4</v>
      </c>
      <c r="D9" s="5" t="s">
        <v>50</v>
      </c>
      <c r="E9" s="5" t="s">
        <v>210</v>
      </c>
      <c r="F9" s="6" t="s">
        <v>211</v>
      </c>
      <c r="G9" s="237" t="s">
        <v>86</v>
      </c>
      <c r="H9" s="9" t="str">
        <f>CONCATENATE("+",'Personal File'!$B$7+'Personal File'!$C$9+D9-5)</f>
        <v>+13</v>
      </c>
      <c r="I9" s="8">
        <f t="shared" ca="1" si="0"/>
        <v>20</v>
      </c>
      <c r="J9" s="2">
        <f t="shared" ca="1" si="4"/>
        <v>33</v>
      </c>
      <c r="K9" s="245"/>
      <c r="M9" s="159" t="s">
        <v>86</v>
      </c>
    </row>
    <row r="10" spans="1:13">
      <c r="A10" s="144" t="s">
        <v>209</v>
      </c>
      <c r="B10" s="3" t="s">
        <v>181</v>
      </c>
      <c r="C10" s="4" t="str">
        <f>'Personal File'!$C$9</f>
        <v>+4</v>
      </c>
      <c r="D10" s="5" t="s">
        <v>50</v>
      </c>
      <c r="E10" s="5" t="s">
        <v>210</v>
      </c>
      <c r="F10" s="6" t="s">
        <v>211</v>
      </c>
      <c r="G10" s="237" t="s">
        <v>86</v>
      </c>
      <c r="H10" s="9" t="str">
        <f>CONCATENATE("+",'Personal File'!$B$7+'Personal File'!$C$9+D10-10)</f>
        <v>+8</v>
      </c>
      <c r="I10" s="8">
        <f t="shared" ca="1" si="0"/>
        <v>15</v>
      </c>
      <c r="J10" s="2">
        <f t="shared" ca="1" si="4"/>
        <v>23</v>
      </c>
      <c r="K10" s="245"/>
      <c r="M10" s="159" t="s">
        <v>86</v>
      </c>
    </row>
    <row r="11" spans="1:13">
      <c r="A11" s="151" t="s">
        <v>212</v>
      </c>
      <c r="B11" s="152" t="s">
        <v>181</v>
      </c>
      <c r="C11" s="153" t="str">
        <f>'Personal File'!$C$9</f>
        <v>+4</v>
      </c>
      <c r="D11" s="154" t="s">
        <v>50</v>
      </c>
      <c r="E11" s="154" t="s">
        <v>210</v>
      </c>
      <c r="F11" s="531" t="s">
        <v>211</v>
      </c>
      <c r="G11" s="155" t="s">
        <v>86</v>
      </c>
      <c r="H11" s="532" t="str">
        <f>CONCATENATE("+",'Personal File'!$B$7+'Personal File'!$C$9+D11)</f>
        <v>+18</v>
      </c>
      <c r="I11" s="533">
        <f t="shared" ca="1" si="0"/>
        <v>14</v>
      </c>
      <c r="J11" s="534">
        <f t="shared" ref="J11" ca="1" si="5">I11+H11</f>
        <v>32</v>
      </c>
      <c r="K11" s="535"/>
      <c r="M11" s="240" t="s">
        <v>86</v>
      </c>
    </row>
    <row r="12" spans="1:13">
      <c r="A12" s="209" t="s">
        <v>286</v>
      </c>
      <c r="B12" s="210" t="s">
        <v>287</v>
      </c>
      <c r="C12" s="211" t="s">
        <v>288</v>
      </c>
      <c r="D12" s="212" t="s">
        <v>289</v>
      </c>
      <c r="E12" s="213" t="s">
        <v>86</v>
      </c>
      <c r="F12" s="213" t="s">
        <v>86</v>
      </c>
      <c r="G12" s="214" t="s">
        <v>86</v>
      </c>
      <c r="H12" s="214" t="s">
        <v>86</v>
      </c>
      <c r="I12" s="214" t="s">
        <v>86</v>
      </c>
      <c r="J12" s="214" t="s">
        <v>86</v>
      </c>
      <c r="K12" s="243"/>
      <c r="L12" s="161"/>
      <c r="M12" s="238">
        <v>10000</v>
      </c>
    </row>
    <row r="13" spans="1:13">
      <c r="A13" s="233" t="s">
        <v>180</v>
      </c>
      <c r="B13" s="234" t="s">
        <v>181</v>
      </c>
      <c r="C13" s="235" t="str">
        <f>'Personal File'!$C$9</f>
        <v>+4</v>
      </c>
      <c r="D13" s="236" t="s">
        <v>50</v>
      </c>
      <c r="E13" s="236" t="s">
        <v>182</v>
      </c>
      <c r="F13" s="185" t="s">
        <v>183</v>
      </c>
      <c r="G13" s="229" t="s">
        <v>86</v>
      </c>
      <c r="H13" s="230" t="str">
        <f>CONCATENATE("+",'Personal File'!$B$7+'Personal File'!$C$9+D13)</f>
        <v>+18</v>
      </c>
      <c r="I13" s="231">
        <f t="shared" ca="1" si="0"/>
        <v>8</v>
      </c>
      <c r="J13" s="232">
        <f t="shared" ref="J13" ca="1" si="6">I13+H13</f>
        <v>26</v>
      </c>
      <c r="K13" s="244"/>
      <c r="M13" s="239" t="s">
        <v>86</v>
      </c>
    </row>
    <row r="14" spans="1:13">
      <c r="A14" s="144" t="s">
        <v>185</v>
      </c>
      <c r="B14" s="3" t="s">
        <v>181</v>
      </c>
      <c r="C14" s="4" t="s">
        <v>184</v>
      </c>
      <c r="D14" s="5" t="s">
        <v>50</v>
      </c>
      <c r="E14" s="5" t="s">
        <v>182</v>
      </c>
      <c r="F14" s="192" t="s">
        <v>183</v>
      </c>
      <c r="G14" s="237" t="s">
        <v>86</v>
      </c>
      <c r="H14" s="9" t="str">
        <f>CONCATENATE("+",'Personal File'!$B$7+'Personal File'!$C$9+D14-5)</f>
        <v>+13</v>
      </c>
      <c r="I14" s="8">
        <f t="shared" ca="1" si="0"/>
        <v>1</v>
      </c>
      <c r="J14" s="2">
        <f t="shared" ref="J14" ca="1" si="7">I14+H14</f>
        <v>14</v>
      </c>
      <c r="K14" s="245"/>
      <c r="M14" s="159" t="s">
        <v>86</v>
      </c>
    </row>
    <row r="15" spans="1:13">
      <c r="A15" s="144" t="s">
        <v>186</v>
      </c>
      <c r="B15" s="3" t="s">
        <v>181</v>
      </c>
      <c r="C15" s="4" t="str">
        <f>'Personal File'!$C$9</f>
        <v>+4</v>
      </c>
      <c r="D15" s="5" t="s">
        <v>50</v>
      </c>
      <c r="E15" s="5" t="s">
        <v>182</v>
      </c>
      <c r="F15" s="192" t="s">
        <v>183</v>
      </c>
      <c r="G15" s="237" t="s">
        <v>86</v>
      </c>
      <c r="H15" s="9" t="str">
        <f>CONCATENATE("+",'Personal File'!$B$7+'Personal File'!$C$9+D15-10)</f>
        <v>+8</v>
      </c>
      <c r="I15" s="8">
        <f t="shared" ca="1" si="0"/>
        <v>18</v>
      </c>
      <c r="J15" s="2">
        <f t="shared" ref="J15" ca="1" si="8">I15+H15</f>
        <v>26</v>
      </c>
      <c r="K15" s="245"/>
      <c r="M15" s="159" t="s">
        <v>86</v>
      </c>
    </row>
    <row r="16" spans="1:13">
      <c r="A16" s="209" t="s">
        <v>187</v>
      </c>
      <c r="B16" s="210" t="s">
        <v>181</v>
      </c>
      <c r="C16" s="211" t="str">
        <f>'Personal File'!$C$9</f>
        <v>+4</v>
      </c>
      <c r="D16" s="212" t="s">
        <v>50</v>
      </c>
      <c r="E16" s="212" t="s">
        <v>182</v>
      </c>
      <c r="F16" s="220" t="s">
        <v>183</v>
      </c>
      <c r="G16" s="214" t="s">
        <v>86</v>
      </c>
      <c r="H16" s="221" t="str">
        <f>CONCATENATE("+",'Personal File'!$B$7+'Personal File'!$C$9+D16)</f>
        <v>+18</v>
      </c>
      <c r="I16" s="311">
        <f t="shared" ca="1" si="0"/>
        <v>11</v>
      </c>
      <c r="J16" s="312">
        <f t="shared" ref="J16" ca="1" si="9">I16+H16</f>
        <v>29</v>
      </c>
      <c r="K16" s="243"/>
      <c r="M16" s="238" t="s">
        <v>86</v>
      </c>
    </row>
    <row r="17" spans="1:13" ht="16.2" thickBot="1">
      <c r="A17" s="145" t="s">
        <v>143</v>
      </c>
      <c r="B17" s="146" t="s">
        <v>143</v>
      </c>
      <c r="C17" s="215" t="str">
        <f>CONCATENATE('Personal File'!$C$9," +2")</f>
        <v>+4 +2</v>
      </c>
      <c r="D17" s="216" t="s">
        <v>50</v>
      </c>
      <c r="E17" s="216" t="s">
        <v>86</v>
      </c>
      <c r="F17" s="217" t="s">
        <v>86</v>
      </c>
      <c r="G17" s="147" t="s">
        <v>86</v>
      </c>
      <c r="H17" s="218" t="str">
        <f>CONCATENATE("+",'Personal File'!$B$7+'Personal File'!$C$9+D17)</f>
        <v>+18</v>
      </c>
      <c r="I17" s="148">
        <f ca="1">RANDBETWEEN(1,20)</f>
        <v>6</v>
      </c>
      <c r="J17" s="62">
        <f t="shared" ca="1" si="1"/>
        <v>24</v>
      </c>
      <c r="K17" s="219"/>
      <c r="M17" s="156" t="s">
        <v>86</v>
      </c>
    </row>
    <row r="18" spans="1:13" ht="6" customHeight="1" thickTop="1" thickBot="1">
      <c r="I18" s="48"/>
      <c r="J18" s="48"/>
    </row>
    <row r="19" spans="1:13" ht="16.8" thickTop="1" thickBot="1">
      <c r="A19" s="55" t="s">
        <v>4</v>
      </c>
      <c r="B19" s="56" t="s">
        <v>5</v>
      </c>
      <c r="C19" s="56" t="s">
        <v>18</v>
      </c>
      <c r="D19" s="56" t="s">
        <v>19</v>
      </c>
      <c r="E19" s="57" t="s">
        <v>52</v>
      </c>
      <c r="F19" s="56" t="s">
        <v>6</v>
      </c>
      <c r="G19" s="56" t="s">
        <v>20</v>
      </c>
      <c r="H19" s="58" t="s">
        <v>69</v>
      </c>
      <c r="I19" s="59" t="s">
        <v>76</v>
      </c>
      <c r="J19" s="58" t="s">
        <v>64</v>
      </c>
      <c r="K19" s="60" t="s">
        <v>0</v>
      </c>
      <c r="M19" s="61" t="s">
        <v>83</v>
      </c>
    </row>
    <row r="20" spans="1:13">
      <c r="A20" s="287" t="s">
        <v>139</v>
      </c>
      <c r="B20" s="288" t="s">
        <v>140</v>
      </c>
      <c r="C20" s="289" t="s">
        <v>86</v>
      </c>
      <c r="D20" s="289" t="s">
        <v>50</v>
      </c>
      <c r="E20" s="289" t="s">
        <v>86</v>
      </c>
      <c r="F20" s="290" t="s">
        <v>86</v>
      </c>
      <c r="G20" s="291" t="s">
        <v>86</v>
      </c>
      <c r="H20" s="292" t="str">
        <f>CONCATENATE("+",'Personal File'!$B$7+'Personal File'!$C$10+D20)</f>
        <v>+14</v>
      </c>
      <c r="I20" s="149">
        <f t="shared" ref="I20:I23" ca="1" si="10">RANDBETWEEN(1,20)</f>
        <v>12</v>
      </c>
      <c r="J20" s="285">
        <f t="shared" ref="J20:J21" ca="1" si="11">I20+H20</f>
        <v>26</v>
      </c>
      <c r="K20" s="286"/>
      <c r="M20" s="283" t="s">
        <v>86</v>
      </c>
    </row>
    <row r="21" spans="1:13">
      <c r="A21" s="287" t="s">
        <v>188</v>
      </c>
      <c r="B21" s="288" t="s">
        <v>86</v>
      </c>
      <c r="C21" s="289" t="s">
        <v>86</v>
      </c>
      <c r="D21" s="289" t="s">
        <v>72</v>
      </c>
      <c r="E21" s="289" t="s">
        <v>203</v>
      </c>
      <c r="F21" s="290" t="s">
        <v>86</v>
      </c>
      <c r="G21" s="291" t="s">
        <v>86</v>
      </c>
      <c r="H21" s="292" t="str">
        <f>CONCATENATE("+",'Personal File'!$E$3+D21)</f>
        <v>+16</v>
      </c>
      <c r="I21" s="8">
        <f t="shared" ca="1" si="10"/>
        <v>9</v>
      </c>
      <c r="J21" s="285">
        <f t="shared" ca="1" si="11"/>
        <v>25</v>
      </c>
      <c r="K21" s="286"/>
      <c r="M21" s="284" t="s">
        <v>86</v>
      </c>
    </row>
    <row r="22" spans="1:13">
      <c r="A22" s="287" t="s">
        <v>202</v>
      </c>
      <c r="B22" s="288" t="s">
        <v>86</v>
      </c>
      <c r="C22" s="289" t="s">
        <v>86</v>
      </c>
      <c r="D22" s="293">
        <f>2+2</f>
        <v>4</v>
      </c>
      <c r="E22" s="289" t="s">
        <v>86</v>
      </c>
      <c r="F22" s="290" t="s">
        <v>86</v>
      </c>
      <c r="G22" s="291" t="s">
        <v>86</v>
      </c>
      <c r="H22" s="292" t="str">
        <f>CONCATENATE("+",'Personal File'!$E$3+D22)</f>
        <v>+18</v>
      </c>
      <c r="I22" s="8">
        <f t="shared" ca="1" si="10"/>
        <v>20</v>
      </c>
      <c r="J22" s="285">
        <f t="shared" ref="J22" ca="1" si="12">I22+H22</f>
        <v>38</v>
      </c>
      <c r="K22" s="286"/>
      <c r="M22" s="284" t="s">
        <v>86</v>
      </c>
    </row>
    <row r="23" spans="1:13" ht="16.2" thickBot="1">
      <c r="A23" s="247"/>
      <c r="B23" s="248"/>
      <c r="C23" s="249"/>
      <c r="D23" s="249"/>
      <c r="E23" s="248"/>
      <c r="F23" s="249"/>
      <c r="G23" s="147"/>
      <c r="H23" s="250" t="str">
        <f>CONCATENATE("+",'Personal File'!$B$7+'Personal File'!$C$10+D23)</f>
        <v>+14</v>
      </c>
      <c r="I23" s="251">
        <f t="shared" ca="1" si="10"/>
        <v>16</v>
      </c>
      <c r="J23" s="252">
        <f t="shared" ref="J23" ca="1" si="13">I23+H23</f>
        <v>30</v>
      </c>
      <c r="K23" s="246"/>
      <c r="M23" s="156" t="s">
        <v>86</v>
      </c>
    </row>
    <row r="24" spans="1:13" ht="6" customHeight="1" thickTop="1" thickBot="1">
      <c r="D24" s="63"/>
      <c r="E24" s="63"/>
      <c r="G24" s="64"/>
      <c r="H24" s="64"/>
      <c r="I24" s="64"/>
      <c r="J24" s="64"/>
    </row>
    <row r="25" spans="1:13" ht="16.8" thickTop="1" thickBot="1">
      <c r="A25" s="55" t="s">
        <v>56</v>
      </c>
      <c r="B25" s="56" t="s">
        <v>9</v>
      </c>
      <c r="C25" s="56" t="s">
        <v>23</v>
      </c>
      <c r="D25" s="56" t="s">
        <v>64</v>
      </c>
      <c r="E25" s="56" t="s">
        <v>65</v>
      </c>
      <c r="F25" s="56" t="s">
        <v>66</v>
      </c>
      <c r="G25" s="56" t="s">
        <v>20</v>
      </c>
      <c r="H25" s="65" t="s">
        <v>0</v>
      </c>
      <c r="I25" s="66"/>
      <c r="J25" s="66"/>
      <c r="K25" s="67"/>
      <c r="M25" s="61" t="s">
        <v>83</v>
      </c>
    </row>
    <row r="26" spans="1:13">
      <c r="A26" s="183" t="s">
        <v>275</v>
      </c>
      <c r="B26" s="184">
        <f>4+3</f>
        <v>7</v>
      </c>
      <c r="C26" s="185">
        <v>4</v>
      </c>
      <c r="D26" s="184">
        <v>-2</v>
      </c>
      <c r="E26" s="193">
        <v>0.1</v>
      </c>
      <c r="F26" s="186" t="s">
        <v>82</v>
      </c>
      <c r="G26" s="187">
        <v>12.5</v>
      </c>
      <c r="H26" s="188" t="s">
        <v>166</v>
      </c>
      <c r="I26" s="189"/>
      <c r="J26" s="189"/>
      <c r="K26" s="190"/>
      <c r="M26" s="519">
        <v>9000</v>
      </c>
    </row>
    <row r="27" spans="1:13">
      <c r="A27" s="509" t="s">
        <v>276</v>
      </c>
      <c r="B27" s="510">
        <v>2</v>
      </c>
      <c r="C27" s="511" t="s">
        <v>86</v>
      </c>
      <c r="D27" s="510" t="s">
        <v>86</v>
      </c>
      <c r="E27" s="512" t="s">
        <v>86</v>
      </c>
      <c r="F27" s="513" t="s">
        <v>86</v>
      </c>
      <c r="G27" s="514">
        <v>0</v>
      </c>
      <c r="H27" s="515"/>
      <c r="I27" s="516"/>
      <c r="J27" s="516"/>
      <c r="K27" s="517"/>
      <c r="M27" s="520">
        <v>8000</v>
      </c>
    </row>
    <row r="28" spans="1:13">
      <c r="A28" s="521" t="s">
        <v>282</v>
      </c>
      <c r="B28" s="522">
        <v>5</v>
      </c>
      <c r="C28" s="522" t="s">
        <v>86</v>
      </c>
      <c r="D28" s="523" t="s">
        <v>86</v>
      </c>
      <c r="E28" s="524" t="s">
        <v>86</v>
      </c>
      <c r="F28" s="523" t="s">
        <v>86</v>
      </c>
      <c r="G28" s="525">
        <v>0</v>
      </c>
      <c r="H28" s="526"/>
      <c r="I28" s="393"/>
      <c r="J28" s="393"/>
      <c r="K28" s="527"/>
      <c r="L28" s="161"/>
      <c r="M28" s="240">
        <v>25000</v>
      </c>
    </row>
    <row r="29" spans="1:13">
      <c r="A29" s="191" t="s">
        <v>253</v>
      </c>
      <c r="B29" s="3" t="s">
        <v>86</v>
      </c>
      <c r="C29" s="358" t="s">
        <v>86</v>
      </c>
      <c r="D29" s="359" t="s">
        <v>86</v>
      </c>
      <c r="E29" s="360" t="s">
        <v>86</v>
      </c>
      <c r="F29" s="358" t="s">
        <v>86</v>
      </c>
      <c r="G29" s="361">
        <v>0</v>
      </c>
      <c r="H29" s="362"/>
      <c r="I29" s="363"/>
      <c r="J29" s="363"/>
      <c r="K29" s="364"/>
      <c r="L29" s="194"/>
      <c r="M29" s="159">
        <v>500</v>
      </c>
    </row>
    <row r="30" spans="1:13">
      <c r="A30" s="391" t="s">
        <v>254</v>
      </c>
      <c r="B30" s="3" t="s">
        <v>86</v>
      </c>
      <c r="C30" s="358" t="s">
        <v>86</v>
      </c>
      <c r="D30" s="359" t="s">
        <v>86</v>
      </c>
      <c r="E30" s="360" t="s">
        <v>86</v>
      </c>
      <c r="F30" s="358" t="s">
        <v>86</v>
      </c>
      <c r="G30" s="361">
        <v>0</v>
      </c>
      <c r="H30" s="392"/>
      <c r="I30" s="393"/>
      <c r="J30" s="393"/>
      <c r="K30" s="394"/>
      <c r="L30" s="194"/>
      <c r="M30" s="240">
        <v>1400</v>
      </c>
    </row>
    <row r="31" spans="1:13" ht="16.2" thickBot="1">
      <c r="A31" s="200" t="s">
        <v>175</v>
      </c>
      <c r="B31" s="201">
        <v>4</v>
      </c>
      <c r="C31" s="202" t="s">
        <v>86</v>
      </c>
      <c r="D31" s="201" t="s">
        <v>86</v>
      </c>
      <c r="E31" s="203" t="s">
        <v>86</v>
      </c>
      <c r="F31" s="202" t="s">
        <v>86</v>
      </c>
      <c r="G31" s="204" t="s">
        <v>86</v>
      </c>
      <c r="H31" s="205"/>
      <c r="I31" s="206"/>
      <c r="J31" s="206"/>
      <c r="K31" s="207"/>
      <c r="L31" s="194"/>
      <c r="M31" s="199" t="s">
        <v>86</v>
      </c>
    </row>
    <row r="32" spans="1:13" ht="6.75" customHeight="1" thickTop="1" thickBot="1"/>
    <row r="33" spans="1:13" ht="16.8" thickTop="1" thickBot="1">
      <c r="A33" s="48"/>
      <c r="B33" s="48"/>
      <c r="D33" s="113" t="s">
        <v>57</v>
      </c>
      <c r="E33" s="114"/>
      <c r="F33" s="114" t="s">
        <v>3</v>
      </c>
      <c r="G33" s="115" t="s">
        <v>20</v>
      </c>
      <c r="H33" s="115" t="s">
        <v>69</v>
      </c>
      <c r="I33" s="118" t="s">
        <v>0</v>
      </c>
      <c r="J33" s="119"/>
      <c r="K33" s="120"/>
      <c r="M33" s="61" t="s">
        <v>83</v>
      </c>
    </row>
    <row r="34" spans="1:13" ht="16.2" thickBot="1">
      <c r="A34" s="48"/>
      <c r="B34" s="48"/>
      <c r="D34" s="356"/>
      <c r="E34" s="357"/>
      <c r="F34" s="116"/>
      <c r="G34" s="68"/>
      <c r="H34" s="117"/>
      <c r="I34" s="121"/>
      <c r="J34" s="122"/>
      <c r="K34" s="112"/>
      <c r="M34" s="158"/>
    </row>
    <row r="35" spans="1:13" ht="16.8" thickTop="1" thickBot="1">
      <c r="A35" s="48"/>
      <c r="B35" s="48"/>
      <c r="M35" s="108"/>
    </row>
    <row r="36" spans="1:13" ht="16.8" thickTop="1" thickBot="1">
      <c r="A36" s="48"/>
      <c r="B36" s="48"/>
      <c r="D36" s="294" t="s">
        <v>204</v>
      </c>
      <c r="E36" s="66"/>
      <c r="F36" s="66"/>
      <c r="G36" s="66"/>
      <c r="H36" s="295" t="s">
        <v>3</v>
      </c>
      <c r="I36" s="295" t="s">
        <v>85</v>
      </c>
      <c r="J36" s="295" t="s">
        <v>205</v>
      </c>
      <c r="K36" s="67" t="s">
        <v>62</v>
      </c>
      <c r="L36" s="161"/>
      <c r="M36" s="296" t="s">
        <v>83</v>
      </c>
    </row>
    <row r="37" spans="1:13">
      <c r="A37" s="48"/>
      <c r="B37" s="48"/>
      <c r="D37" s="297"/>
      <c r="E37" s="298"/>
      <c r="F37" s="298"/>
      <c r="G37" s="299"/>
      <c r="H37" s="300"/>
      <c r="I37" s="301"/>
      <c r="J37" s="301"/>
      <c r="K37" s="302"/>
      <c r="L37" s="161"/>
      <c r="M37" s="303"/>
    </row>
    <row r="38" spans="1:13" ht="16.2" thickBot="1">
      <c r="A38" s="48"/>
      <c r="B38" s="48"/>
      <c r="D38" s="304"/>
      <c r="E38" s="305"/>
      <c r="F38" s="305"/>
      <c r="G38" s="306"/>
      <c r="H38" s="307"/>
      <c r="I38" s="308"/>
      <c r="J38" s="308"/>
      <c r="K38" s="309"/>
      <c r="L38" s="161"/>
      <c r="M38" s="310"/>
    </row>
    <row r="39" spans="1:13" ht="16.2" thickTop="1">
      <c r="A39" s="48"/>
      <c r="B39" s="48"/>
      <c r="M39" s="108"/>
    </row>
    <row r="40" spans="1:13">
      <c r="M40" s="108"/>
    </row>
    <row r="41" spans="1:13">
      <c r="M41" s="108"/>
    </row>
    <row r="42" spans="1:13">
      <c r="M42" s="108"/>
    </row>
    <row r="43" spans="1:13">
      <c r="M43" s="108"/>
    </row>
    <row r="44" spans="1:13">
      <c r="M44" s="108"/>
    </row>
    <row r="45" spans="1:13">
      <c r="M45" s="108"/>
    </row>
    <row r="46" spans="1:13">
      <c r="M46" s="108"/>
    </row>
    <row r="47" spans="1:13">
      <c r="M47" s="108"/>
    </row>
  </sheetData>
  <sortState xmlns:xlrd2="http://schemas.microsoft.com/office/spreadsheetml/2017/richdata2" ref="A10:H11">
    <sortCondition ref="A10:A11"/>
  </sortState>
  <phoneticPr fontId="0" type="noConversion"/>
  <conditionalFormatting sqref="I17">
    <cfRule type="cellIs" dxfId="30" priority="58" operator="equal">
      <formula>20</formula>
    </cfRule>
    <cfRule type="cellIs" dxfId="29" priority="59" operator="equal">
      <formula>1</formula>
    </cfRule>
  </conditionalFormatting>
  <conditionalFormatting sqref="I20">
    <cfRule type="cellIs" dxfId="28" priority="48" operator="equal">
      <formula>20</formula>
    </cfRule>
    <cfRule type="cellIs" dxfId="27" priority="49" operator="equal">
      <formula>1</formula>
    </cfRule>
  </conditionalFormatting>
  <conditionalFormatting sqref="I13:I14">
    <cfRule type="cellIs" dxfId="26" priority="43" operator="equal">
      <formula>20</formula>
    </cfRule>
    <cfRule type="cellIs" dxfId="25" priority="44" operator="equal">
      <formula>1</formula>
    </cfRule>
  </conditionalFormatting>
  <conditionalFormatting sqref="I15">
    <cfRule type="cellIs" dxfId="24" priority="41" operator="equal">
      <formula>20</formula>
    </cfRule>
    <cfRule type="cellIs" dxfId="23" priority="42" operator="equal">
      <formula>1</formula>
    </cfRule>
  </conditionalFormatting>
  <conditionalFormatting sqref="B31">
    <cfRule type="cellIs" dxfId="22" priority="40" operator="greaterThan">
      <formula>0</formula>
    </cfRule>
  </conditionalFormatting>
  <conditionalFormatting sqref="I15">
    <cfRule type="cellIs" dxfId="21" priority="36" operator="equal">
      <formula>20</formula>
    </cfRule>
    <cfRule type="cellIs" dxfId="20" priority="37" operator="equal">
      <formula>1</formula>
    </cfRule>
  </conditionalFormatting>
  <conditionalFormatting sqref="I16">
    <cfRule type="cellIs" dxfId="19" priority="32" operator="equal">
      <formula>20</formula>
    </cfRule>
    <cfRule type="cellIs" dxfId="18" priority="33" operator="equal">
      <formula>1</formula>
    </cfRule>
  </conditionalFormatting>
  <conditionalFormatting sqref="I16">
    <cfRule type="cellIs" dxfId="17" priority="30" operator="equal">
      <formula>20</formula>
    </cfRule>
    <cfRule type="cellIs" dxfId="16" priority="31" operator="equal">
      <formula>1</formula>
    </cfRule>
  </conditionalFormatting>
  <conditionalFormatting sqref="I23">
    <cfRule type="cellIs" dxfId="15" priority="28" operator="equal">
      <formula>20</formula>
    </cfRule>
    <cfRule type="cellIs" dxfId="14" priority="29" operator="equal">
      <formula>1</formula>
    </cfRule>
  </conditionalFormatting>
  <conditionalFormatting sqref="I21">
    <cfRule type="cellIs" dxfId="13" priority="18" operator="equal">
      <formula>20</formula>
    </cfRule>
    <cfRule type="cellIs" dxfId="12" priority="19" operator="equal">
      <formula>1</formula>
    </cfRule>
  </conditionalFormatting>
  <conditionalFormatting sqref="I21">
    <cfRule type="cellIs" dxfId="11" priority="16" operator="equal">
      <formula>20</formula>
    </cfRule>
    <cfRule type="cellIs" dxfId="10" priority="17" operator="equal">
      <formula>1</formula>
    </cfRule>
  </conditionalFormatting>
  <conditionalFormatting sqref="I3:I6">
    <cfRule type="cellIs" dxfId="9" priority="14" operator="greaterThan">
      <formula>17</formula>
    </cfRule>
    <cfRule type="cellIs" dxfId="8" priority="15" operator="equal">
      <formula>1</formula>
    </cfRule>
  </conditionalFormatting>
  <conditionalFormatting sqref="I22">
    <cfRule type="cellIs" dxfId="7" priority="12" operator="equal">
      <formula>20</formula>
    </cfRule>
    <cfRule type="cellIs" dxfId="6" priority="13" operator="equal">
      <formula>1</formula>
    </cfRule>
  </conditionalFormatting>
  <conditionalFormatting sqref="I22">
    <cfRule type="cellIs" dxfId="5" priority="10" operator="equal">
      <formula>20</formula>
    </cfRule>
    <cfRule type="cellIs" dxfId="4" priority="11" operator="equal">
      <formula>1</formula>
    </cfRule>
  </conditionalFormatting>
  <conditionalFormatting sqref="A3:A6">
    <cfRule type="cellIs" dxfId="3" priority="9" operator="notEqual">
      <formula>0</formula>
    </cfRule>
  </conditionalFormatting>
  <conditionalFormatting sqref="I8:I11">
    <cfRule type="cellIs" dxfId="2" priority="7" operator="greaterThan">
      <formula>17</formula>
    </cfRule>
    <cfRule type="cellIs" dxfId="1" priority="8"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4"/>
  <sheetViews>
    <sheetView showGridLines="0" workbookViewId="0"/>
  </sheetViews>
  <sheetFormatPr defaultColWidth="13" defaultRowHeight="15.6"/>
  <cols>
    <col min="1" max="1" width="38.19921875" style="49" bestFit="1" customWidth="1"/>
    <col min="2" max="2" width="4.69921875" style="49" bestFit="1" customWidth="1"/>
    <col min="3" max="3" width="4.69921875" style="64" bestFit="1" customWidth="1"/>
    <col min="4" max="5" width="26.59765625" style="10" customWidth="1"/>
    <col min="6" max="6" width="2.09765625" style="49" customWidth="1"/>
    <col min="7" max="7" width="9" style="10" bestFit="1" customWidth="1"/>
    <col min="8" max="16384" width="13" style="10"/>
  </cols>
  <sheetData>
    <row r="1" spans="1:7" ht="23.4" thickBot="1">
      <c r="A1" s="54" t="s">
        <v>59</v>
      </c>
      <c r="B1" s="54"/>
      <c r="C1" s="69"/>
      <c r="D1" s="54"/>
      <c r="E1" s="54"/>
    </row>
    <row r="2" spans="1:7" s="49" customFormat="1" ht="16.8" thickTop="1" thickBot="1">
      <c r="A2" s="70" t="s">
        <v>60</v>
      </c>
      <c r="B2" s="70" t="s">
        <v>3</v>
      </c>
      <c r="C2" s="71" t="s">
        <v>20</v>
      </c>
      <c r="D2" s="72" t="s">
        <v>61</v>
      </c>
      <c r="E2" s="73" t="s">
        <v>62</v>
      </c>
      <c r="G2" s="74" t="s">
        <v>83</v>
      </c>
    </row>
    <row r="3" spans="1:7">
      <c r="A3" s="75" t="s">
        <v>75</v>
      </c>
      <c r="B3" s="76">
        <v>2</v>
      </c>
      <c r="C3" s="77">
        <v>2</v>
      </c>
      <c r="D3" s="78"/>
      <c r="E3" s="79"/>
      <c r="F3" s="48"/>
      <c r="G3" s="172">
        <v>0</v>
      </c>
    </row>
    <row r="4" spans="1:7">
      <c r="A4" s="75" t="s">
        <v>80</v>
      </c>
      <c r="B4" s="80">
        <v>1</v>
      </c>
      <c r="C4" s="81">
        <v>0.5</v>
      </c>
      <c r="D4" s="78"/>
      <c r="E4" s="79"/>
      <c r="G4" s="173">
        <v>0</v>
      </c>
    </row>
    <row r="5" spans="1:7">
      <c r="A5" s="179" t="s">
        <v>165</v>
      </c>
      <c r="B5" s="180">
        <v>1</v>
      </c>
      <c r="C5" s="77">
        <v>1</v>
      </c>
      <c r="D5" s="181"/>
      <c r="E5" s="182"/>
      <c r="F5" s="48"/>
      <c r="G5" s="174">
        <v>750</v>
      </c>
    </row>
    <row r="6" spans="1:7">
      <c r="A6" s="549" t="s">
        <v>310</v>
      </c>
      <c r="B6" s="550">
        <v>1</v>
      </c>
      <c r="C6" s="551">
        <v>0</v>
      </c>
      <c r="D6" s="552"/>
      <c r="E6" s="547"/>
      <c r="F6" s="548"/>
      <c r="G6" s="536">
        <v>2100</v>
      </c>
    </row>
    <row r="7" spans="1:7">
      <c r="A7" s="543" t="s">
        <v>309</v>
      </c>
      <c r="B7" s="544">
        <v>1</v>
      </c>
      <c r="C7" s="545">
        <v>0</v>
      </c>
      <c r="D7" s="546"/>
      <c r="E7" s="547"/>
      <c r="F7" s="548"/>
      <c r="G7" s="174">
        <v>3400</v>
      </c>
    </row>
    <row r="8" spans="1:7">
      <c r="A8" s="75" t="s">
        <v>277</v>
      </c>
      <c r="B8" s="180">
        <v>1</v>
      </c>
      <c r="C8" s="77">
        <v>0</v>
      </c>
      <c r="D8" s="181"/>
      <c r="E8" s="182"/>
      <c r="F8" s="48"/>
      <c r="G8" s="174">
        <v>3200</v>
      </c>
    </row>
    <row r="9" spans="1:7">
      <c r="A9" s="89" t="s">
        <v>284</v>
      </c>
      <c r="B9" s="529">
        <v>1</v>
      </c>
      <c r="C9" s="91">
        <v>1</v>
      </c>
      <c r="D9" s="530"/>
      <c r="E9" s="254"/>
      <c r="F9" s="48"/>
      <c r="G9" s="173">
        <v>600</v>
      </c>
    </row>
    <row r="10" spans="1:7">
      <c r="A10" s="528" t="s">
        <v>283</v>
      </c>
      <c r="B10" s="529">
        <v>1</v>
      </c>
      <c r="C10" s="91">
        <v>0</v>
      </c>
      <c r="D10" s="253"/>
      <c r="E10" s="254"/>
      <c r="F10" s="48"/>
      <c r="G10" s="173">
        <v>2200</v>
      </c>
    </row>
    <row r="11" spans="1:7">
      <c r="A11" s="75" t="s">
        <v>79</v>
      </c>
      <c r="B11" s="76">
        <v>1</v>
      </c>
      <c r="C11" s="77" t="s">
        <v>81</v>
      </c>
      <c r="D11" s="78"/>
      <c r="E11" s="79"/>
      <c r="G11" s="174">
        <v>0</v>
      </c>
    </row>
    <row r="12" spans="1:7">
      <c r="A12" s="89" t="s">
        <v>290</v>
      </c>
      <c r="B12" s="90">
        <v>1</v>
      </c>
      <c r="C12" s="91">
        <v>1</v>
      </c>
      <c r="D12" s="92"/>
      <c r="E12" s="94"/>
      <c r="G12" s="536">
        <v>24000</v>
      </c>
    </row>
    <row r="13" spans="1:7" ht="16.2" thickBot="1">
      <c r="A13" s="82" t="s">
        <v>285</v>
      </c>
      <c r="B13" s="83">
        <v>1</v>
      </c>
      <c r="C13" s="84">
        <v>1</v>
      </c>
      <c r="D13" s="85"/>
      <c r="E13" s="86"/>
      <c r="G13" s="175">
        <v>1000</v>
      </c>
    </row>
    <row r="14" spans="1:7" ht="24" thickTop="1" thickBot="1">
      <c r="A14" s="54" t="s">
        <v>63</v>
      </c>
      <c r="B14" s="87"/>
      <c r="C14" s="87"/>
      <c r="D14" s="54"/>
      <c r="E14" s="88"/>
    </row>
    <row r="15" spans="1:7" ht="16.8" thickTop="1" thickBot="1">
      <c r="A15" s="70" t="s">
        <v>60</v>
      </c>
      <c r="B15" s="70" t="s">
        <v>3</v>
      </c>
      <c r="C15" s="71" t="s">
        <v>20</v>
      </c>
      <c r="D15" s="72" t="s">
        <v>61</v>
      </c>
      <c r="E15" s="73" t="s">
        <v>62</v>
      </c>
      <c r="G15" s="74" t="s">
        <v>83</v>
      </c>
    </row>
    <row r="16" spans="1:7">
      <c r="A16" s="89"/>
      <c r="B16" s="90"/>
      <c r="C16" s="91"/>
      <c r="D16" s="253"/>
      <c r="E16" s="254"/>
      <c r="F16" s="48"/>
      <c r="G16" s="173"/>
    </row>
    <row r="17" spans="1:7">
      <c r="A17" s="89"/>
      <c r="B17" s="90"/>
      <c r="C17" s="91"/>
      <c r="D17" s="93"/>
      <c r="E17" s="94"/>
      <c r="F17" s="48"/>
      <c r="G17" s="174"/>
    </row>
    <row r="18" spans="1:7">
      <c r="A18" s="89"/>
      <c r="B18" s="90"/>
      <c r="C18" s="91"/>
      <c r="D18" s="93"/>
      <c r="E18" s="94"/>
      <c r="F18" s="48"/>
      <c r="G18" s="174"/>
    </row>
    <row r="19" spans="1:7">
      <c r="A19" s="89"/>
      <c r="B19" s="90"/>
      <c r="C19" s="91"/>
      <c r="D19" s="93"/>
      <c r="E19" s="94"/>
      <c r="F19" s="48"/>
      <c r="G19" s="174"/>
    </row>
    <row r="20" spans="1:7" ht="16.2" thickBot="1">
      <c r="A20" s="82"/>
      <c r="B20" s="83"/>
      <c r="C20" s="84"/>
      <c r="D20" s="95"/>
      <c r="E20" s="86"/>
      <c r="F20" s="48"/>
      <c r="G20" s="175"/>
    </row>
    <row r="21" spans="1:7" ht="22.8" thickTop="1" thickBot="1">
      <c r="A21" s="176"/>
      <c r="B21" s="176"/>
      <c r="C21" s="176"/>
      <c r="D21" s="177" t="s">
        <v>164</v>
      </c>
      <c r="E21" s="178"/>
      <c r="F21" s="48"/>
      <c r="G21" s="48">
        <v>2000</v>
      </c>
    </row>
    <row r="22" spans="1:7" ht="16.8" thickTop="1" thickBot="1">
      <c r="A22" s="70" t="s">
        <v>60</v>
      </c>
      <c r="B22" s="70" t="s">
        <v>3</v>
      </c>
      <c r="C22" s="71" t="s">
        <v>20</v>
      </c>
      <c r="D22" s="72" t="s">
        <v>61</v>
      </c>
      <c r="E22" s="73" t="s">
        <v>62</v>
      </c>
      <c r="F22" s="48"/>
      <c r="G22" s="74" t="s">
        <v>83</v>
      </c>
    </row>
    <row r="23" spans="1:7">
      <c r="A23" s="198" t="s">
        <v>293</v>
      </c>
      <c r="B23" s="101">
        <v>1</v>
      </c>
      <c r="C23" s="102">
        <v>5</v>
      </c>
      <c r="D23" s="103"/>
      <c r="E23" s="104"/>
      <c r="G23" s="173">
        <v>0</v>
      </c>
    </row>
    <row r="24" spans="1:7">
      <c r="A24" s="89" t="s">
        <v>294</v>
      </c>
      <c r="B24" s="90">
        <v>1</v>
      </c>
      <c r="C24" s="91">
        <v>0</v>
      </c>
      <c r="D24" s="92"/>
      <c r="E24" s="79"/>
      <c r="F24" s="48"/>
      <c r="G24" s="173">
        <v>0</v>
      </c>
    </row>
    <row r="25" spans="1:7">
      <c r="A25" s="89" t="s">
        <v>303</v>
      </c>
      <c r="B25" s="90">
        <v>10</v>
      </c>
      <c r="C25" s="91">
        <f>B25</f>
        <v>10</v>
      </c>
      <c r="D25" s="93"/>
      <c r="E25" s="94"/>
      <c r="F25" s="48"/>
      <c r="G25" s="174">
        <v>0</v>
      </c>
    </row>
    <row r="26" spans="1:7">
      <c r="A26" s="89" t="s">
        <v>299</v>
      </c>
      <c r="B26" s="90">
        <v>1</v>
      </c>
      <c r="C26" s="91">
        <v>5</v>
      </c>
      <c r="D26" s="93"/>
      <c r="E26" s="94"/>
      <c r="F26" s="48"/>
      <c r="G26" s="174">
        <v>0</v>
      </c>
    </row>
    <row r="27" spans="1:7">
      <c r="A27" s="89" t="s">
        <v>304</v>
      </c>
      <c r="B27" s="90">
        <v>10</v>
      </c>
      <c r="C27" s="91">
        <f>B27/2</f>
        <v>5</v>
      </c>
      <c r="D27" s="93"/>
      <c r="E27" s="94"/>
      <c r="F27" s="48"/>
      <c r="G27" s="174">
        <v>0</v>
      </c>
    </row>
    <row r="28" spans="1:7">
      <c r="A28" s="89" t="s">
        <v>305</v>
      </c>
      <c r="B28" s="90">
        <v>1</v>
      </c>
      <c r="C28" s="91">
        <v>5</v>
      </c>
      <c r="D28" s="93"/>
      <c r="E28" s="94"/>
      <c r="F28" s="48"/>
      <c r="G28" s="174">
        <v>0</v>
      </c>
    </row>
    <row r="29" spans="1:7">
      <c r="A29" s="89" t="s">
        <v>295</v>
      </c>
      <c r="B29" s="90">
        <v>1</v>
      </c>
      <c r="C29" s="91">
        <v>5</v>
      </c>
      <c r="D29" s="93"/>
      <c r="E29" s="94"/>
      <c r="F29" s="48"/>
      <c r="G29" s="174">
        <v>0</v>
      </c>
    </row>
    <row r="30" spans="1:7">
      <c r="A30" s="89" t="s">
        <v>300</v>
      </c>
      <c r="B30" s="90">
        <v>1</v>
      </c>
      <c r="C30" s="91">
        <v>8</v>
      </c>
      <c r="D30" s="93"/>
      <c r="E30" s="94"/>
      <c r="F30" s="48"/>
      <c r="G30" s="174">
        <v>0</v>
      </c>
    </row>
    <row r="31" spans="1:7">
      <c r="A31" s="89" t="s">
        <v>297</v>
      </c>
      <c r="B31" s="90">
        <v>1</v>
      </c>
      <c r="C31" s="91">
        <v>4</v>
      </c>
      <c r="D31" s="93" t="s">
        <v>298</v>
      </c>
      <c r="E31" s="94"/>
      <c r="F31" s="48"/>
      <c r="G31" s="536">
        <v>0</v>
      </c>
    </row>
    <row r="32" spans="1:7">
      <c r="A32" s="89" t="s">
        <v>296</v>
      </c>
      <c r="B32" s="90">
        <v>1</v>
      </c>
      <c r="C32" s="91">
        <v>0.5</v>
      </c>
      <c r="D32" s="93"/>
      <c r="E32" s="94"/>
      <c r="F32" s="48"/>
      <c r="G32" s="536">
        <v>0</v>
      </c>
    </row>
    <row r="33" spans="1:7" ht="16.2" thickBot="1">
      <c r="A33" s="82"/>
      <c r="B33" s="83"/>
      <c r="C33" s="84"/>
      <c r="D33" s="95"/>
      <c r="E33" s="86"/>
      <c r="F33" s="48"/>
      <c r="G33" s="175"/>
    </row>
    <row r="34" spans="1:7" ht="24" thickTop="1" thickBot="1">
      <c r="A34" s="46"/>
      <c r="B34" s="106"/>
      <c r="D34" s="96" t="s">
        <v>190</v>
      </c>
      <c r="E34" s="88"/>
    </row>
    <row r="35" spans="1:7" s="49" customFormat="1" ht="16.8" thickTop="1" thickBot="1">
      <c r="A35" s="70" t="s">
        <v>60</v>
      </c>
      <c r="B35" s="97" t="s">
        <v>3</v>
      </c>
      <c r="C35" s="71" t="s">
        <v>20</v>
      </c>
      <c r="D35" s="70" t="s">
        <v>61</v>
      </c>
      <c r="E35" s="73" t="s">
        <v>62</v>
      </c>
      <c r="G35" s="74" t="s">
        <v>83</v>
      </c>
    </row>
    <row r="36" spans="1:7">
      <c r="A36" s="98"/>
      <c r="B36" s="99"/>
      <c r="C36" s="100"/>
      <c r="D36" s="388"/>
      <c r="E36" s="182"/>
      <c r="G36" s="172"/>
    </row>
    <row r="37" spans="1:7">
      <c r="A37" s="98"/>
      <c r="B37" s="101"/>
      <c r="C37" s="102"/>
      <c r="D37" s="388"/>
      <c r="E37" s="182"/>
      <c r="G37" s="173"/>
    </row>
    <row r="38" spans="1:7">
      <c r="A38" s="107"/>
      <c r="B38" s="80"/>
      <c r="C38" s="81"/>
      <c r="D38" s="388"/>
      <c r="E38" s="182"/>
      <c r="G38" s="173"/>
    </row>
    <row r="39" spans="1:7">
      <c r="A39" s="98"/>
      <c r="B39" s="101"/>
      <c r="C39" s="102"/>
      <c r="D39" s="389"/>
      <c r="E39" s="104"/>
      <c r="G39" s="174"/>
    </row>
    <row r="40" spans="1:7">
      <c r="A40" s="98"/>
      <c r="B40" s="101"/>
      <c r="C40" s="102"/>
      <c r="D40" s="389"/>
      <c r="E40" s="104"/>
      <c r="G40" s="173"/>
    </row>
    <row r="41" spans="1:7">
      <c r="A41" s="98"/>
      <c r="B41" s="101"/>
      <c r="C41" s="102"/>
      <c r="D41" s="389"/>
      <c r="E41" s="104"/>
      <c r="G41" s="173"/>
    </row>
    <row r="42" spans="1:7">
      <c r="A42" s="98"/>
      <c r="B42" s="101"/>
      <c r="C42" s="102"/>
      <c r="D42" s="389"/>
      <c r="E42" s="104"/>
      <c r="G42" s="173"/>
    </row>
    <row r="43" spans="1:7">
      <c r="A43" s="98"/>
      <c r="B43" s="101"/>
      <c r="C43" s="102"/>
      <c r="D43" s="389"/>
      <c r="E43" s="104"/>
      <c r="G43" s="173"/>
    </row>
    <row r="44" spans="1:7">
      <c r="A44" s="98"/>
      <c r="B44" s="101"/>
      <c r="C44" s="102"/>
      <c r="D44" s="389"/>
      <c r="E44" s="104"/>
      <c r="G44" s="174"/>
    </row>
    <row r="45" spans="1:7" ht="16.2" thickBot="1">
      <c r="A45" s="105"/>
      <c r="B45" s="83"/>
      <c r="C45" s="84"/>
      <c r="D45" s="390"/>
      <c r="E45" s="86"/>
      <c r="G45" s="175"/>
    </row>
    <row r="46" spans="1:7" ht="16.2" thickTop="1">
      <c r="B46" s="106"/>
    </row>
    <row r="47" spans="1:7">
      <c r="B47" s="106"/>
      <c r="E47" s="46" t="s">
        <v>149</v>
      </c>
      <c r="F47" s="48"/>
      <c r="G47" s="160">
        <f>SUM(Martial!M3:M38,Equipment!G3:G45)</f>
        <v>117150</v>
      </c>
    </row>
    <row r="48" spans="1:7">
      <c r="B48" s="106"/>
    </row>
    <row r="49" spans="2:2">
      <c r="B49" s="106"/>
    </row>
    <row r="50" spans="2:2">
      <c r="B50" s="106"/>
    </row>
    <row r="51" spans="2:2">
      <c r="B51" s="106"/>
    </row>
    <row r="52" spans="2:2">
      <c r="B52" s="106"/>
    </row>
    <row r="53" spans="2:2">
      <c r="B53" s="106"/>
    </row>
    <row r="54" spans="2:2">
      <c r="B54" s="106"/>
    </row>
  </sheetData>
  <sortState xmlns:xlrd2="http://schemas.microsoft.com/office/spreadsheetml/2017/richdata2" ref="A3:D8">
    <sortCondition ref="A3:A8"/>
  </sortState>
  <phoneticPr fontId="0" type="noConversion"/>
  <conditionalFormatting sqref="G47">
    <cfRule type="cellIs" dxfId="0" priority="2"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2020-12-07T14:27:49Z</dcterms:modified>
</cp:coreProperties>
</file>