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A\Jue\Armario\DoW\PCs\"/>
    </mc:Choice>
  </mc:AlternateContent>
  <xr:revisionPtr revIDLastSave="0" documentId="13_ncr:1_{8CCD454D-DDAA-4142-9DA1-6AC8D4D0BBA6}"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25" r:id="rId3"/>
    <sheet name="Feats" sheetId="20" r:id="rId4"/>
    <sheet name="Martial" sheetId="6" r:id="rId5"/>
    <sheet name="Equipment" sheetId="19" r:id="rId6"/>
    <sheet name="XP Awards" sheetId="26" r:id="rId7"/>
  </sheets>
  <definedNames>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File'!$A$1:$H$33</definedName>
    <definedName name="_xlnm.Print_Area" localSheetId="1">Skills!$A$1:$K$32</definedName>
    <definedName name="_xlnm.Print_Area" localSheetId="2">Spells!$A$1:$I$8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6" l="1"/>
  <c r="J6" i="6"/>
  <c r="C6" i="6"/>
  <c r="F8" i="20"/>
  <c r="G8" i="20"/>
  <c r="H8" i="20"/>
  <c r="I8" i="20"/>
  <c r="J8" i="20"/>
  <c r="K8" i="20"/>
  <c r="K6" i="6" l="1"/>
  <c r="F21" i="15"/>
  <c r="F16" i="15"/>
  <c r="F9" i="15"/>
  <c r="F7" i="15"/>
  <c r="F23" i="15"/>
  <c r="F31" i="15"/>
  <c r="F38" i="15"/>
  <c r="F44" i="15"/>
  <c r="F29" i="20" l="1"/>
  <c r="F30" i="20" s="1"/>
  <c r="G30" i="20" s="1"/>
  <c r="H30" i="20" s="1"/>
  <c r="I30" i="20" s="1"/>
  <c r="J30" i="20" s="1"/>
  <c r="G29" i="20" l="1"/>
  <c r="H29" i="20" s="1"/>
  <c r="I29" i="20" s="1"/>
  <c r="J29" i="20" s="1"/>
  <c r="B11" i="4"/>
  <c r="B10" i="4"/>
  <c r="B7" i="4" l="1"/>
  <c r="C44" i="19" l="1"/>
  <c r="I29" i="6" l="1"/>
  <c r="J29" i="6"/>
  <c r="K29" i="6" l="1"/>
  <c r="J4" i="6" l="1"/>
  <c r="J5" i="6"/>
  <c r="J7" i="6"/>
  <c r="J10" i="6"/>
  <c r="J11" i="6"/>
  <c r="J12" i="6"/>
  <c r="J13" i="6"/>
  <c r="J15" i="6"/>
  <c r="J16" i="6"/>
  <c r="J17" i="6"/>
  <c r="J18" i="6"/>
  <c r="J19" i="6"/>
  <c r="J20" i="6"/>
  <c r="J21" i="6"/>
  <c r="J22" i="6"/>
  <c r="J23" i="6"/>
  <c r="B12" i="4" l="1"/>
  <c r="N48" i="6" l="1"/>
  <c r="N49" i="6"/>
  <c r="N50" i="6" l="1"/>
  <c r="N51" i="6" l="1"/>
  <c r="G5" i="20" l="1"/>
  <c r="C25" i="19" l="1"/>
  <c r="C49" i="19" l="1"/>
  <c r="C28" i="19" l="1"/>
  <c r="J5" i="20" l="1"/>
  <c r="K5" i="20"/>
  <c r="H22" i="15"/>
  <c r="E63" i="15"/>
  <c r="C3" i="20" l="1"/>
  <c r="J3" i="6" l="1"/>
  <c r="C52" i="19" l="1"/>
  <c r="B52" i="19" s="1"/>
  <c r="H45" i="15" l="1"/>
  <c r="H23" i="15"/>
  <c r="B5" i="15" l="1"/>
  <c r="B3" i="15"/>
  <c r="H7" i="15" l="1"/>
  <c r="H42" i="15"/>
  <c r="H41" i="15"/>
  <c r="C7" i="26" l="1"/>
  <c r="B11" i="26" s="1"/>
  <c r="B13" i="26" s="1"/>
  <c r="B15" i="26" s="1"/>
  <c r="B1" i="26" l="1"/>
  <c r="B40" i="6" l="1"/>
  <c r="C27" i="19" l="1"/>
  <c r="C30" i="19" s="1"/>
  <c r="B30" i="19" s="1"/>
  <c r="B47" i="15" l="1"/>
  <c r="H13" i="15"/>
  <c r="B4" i="15" l="1"/>
  <c r="H18" i="15" l="1"/>
  <c r="B14" i="4" l="1"/>
  <c r="B15" i="4" l="1"/>
  <c r="B13" i="4"/>
  <c r="H3" i="15" l="1"/>
  <c r="H4" i="15"/>
  <c r="H5" i="15"/>
  <c r="G70" i="19" l="1"/>
  <c r="D28" i="6" l="1"/>
  <c r="J28" i="6"/>
  <c r="I28" i="6"/>
  <c r="K28" i="6" l="1"/>
  <c r="H10" i="20"/>
  <c r="F10" i="20"/>
  <c r="I5" i="20"/>
  <c r="H5" i="20"/>
  <c r="F5" i="20"/>
  <c r="J27" i="6" l="1"/>
  <c r="I27" i="6"/>
  <c r="K27" i="6" l="1"/>
  <c r="J33" i="6" l="1"/>
  <c r="J32" i="6"/>
  <c r="J31" i="6"/>
  <c r="J26" i="6" l="1"/>
  <c r="J30" i="6"/>
  <c r="H34" i="15" l="1"/>
  <c r="H45" i="6" l="1"/>
  <c r="H46" i="15" l="1"/>
  <c r="H44" i="15"/>
  <c r="H43" i="15"/>
  <c r="H40" i="15"/>
  <c r="H39" i="15"/>
  <c r="H38" i="15"/>
  <c r="H37" i="15"/>
  <c r="H36" i="15"/>
  <c r="H35" i="15"/>
  <c r="H33" i="15"/>
  <c r="H32" i="15"/>
  <c r="H31" i="15"/>
  <c r="H30" i="15"/>
  <c r="H29" i="15"/>
  <c r="H28" i="15"/>
  <c r="H27" i="15"/>
  <c r="H26" i="15"/>
  <c r="H25" i="15"/>
  <c r="H24" i="15"/>
  <c r="H21" i="15"/>
  <c r="H20" i="15"/>
  <c r="H19" i="15"/>
  <c r="H17" i="15"/>
  <c r="H16" i="15"/>
  <c r="H15" i="15"/>
  <c r="H14" i="15"/>
  <c r="H12" i="15"/>
  <c r="H11" i="15"/>
  <c r="H10" i="15"/>
  <c r="H9" i="15"/>
  <c r="H8" i="15"/>
  <c r="H6" i="15" l="1"/>
  <c r="E11" i="4" l="1"/>
  <c r="C10" i="4" l="1"/>
  <c r="C7" i="6" l="1"/>
  <c r="C4" i="6"/>
  <c r="C3" i="6"/>
  <c r="C5" i="6"/>
  <c r="I3" i="6"/>
  <c r="K3" i="6" s="1"/>
  <c r="I4" i="6"/>
  <c r="K4" i="6" s="1"/>
  <c r="I7" i="6"/>
  <c r="K7" i="6" s="1"/>
  <c r="I5" i="6"/>
  <c r="K5" i="6" s="1"/>
  <c r="D9" i="15"/>
  <c r="E9" i="15" s="1"/>
  <c r="D23" i="15"/>
  <c r="E23" i="15" s="1"/>
  <c r="D43" i="15"/>
  <c r="E43" i="15" s="1"/>
  <c r="C16" i="6"/>
  <c r="I17" i="6"/>
  <c r="K17" i="6" s="1"/>
  <c r="C17" i="6"/>
  <c r="I16" i="6"/>
  <c r="K16" i="6" s="1"/>
  <c r="C18" i="6"/>
  <c r="I15" i="6"/>
  <c r="K15" i="6" s="1"/>
  <c r="C15" i="6"/>
  <c r="I18" i="6"/>
  <c r="K18" i="6" s="1"/>
  <c r="C11" i="6"/>
  <c r="I12" i="6"/>
  <c r="K12" i="6" s="1"/>
  <c r="C12" i="6"/>
  <c r="I11" i="6"/>
  <c r="K11" i="6" s="1"/>
  <c r="C13" i="6"/>
  <c r="I10" i="6"/>
  <c r="K10" i="6" s="1"/>
  <c r="C10" i="6"/>
  <c r="I13" i="6"/>
  <c r="K13" i="6" s="1"/>
  <c r="I22" i="6"/>
  <c r="K22" i="6" s="1"/>
  <c r="C22" i="6"/>
  <c r="I21" i="6"/>
  <c r="K21" i="6" s="1"/>
  <c r="I20" i="6"/>
  <c r="K20" i="6" s="1"/>
  <c r="C21" i="6"/>
  <c r="I19" i="6"/>
  <c r="K19" i="6" s="1"/>
  <c r="C19" i="6"/>
  <c r="I23" i="6"/>
  <c r="C23" i="6"/>
  <c r="K23" i="6" l="1"/>
  <c r="G23" i="15"/>
  <c r="I23" i="15" s="1"/>
  <c r="G9" i="15"/>
  <c r="I9" i="15" s="1"/>
  <c r="C15" i="4"/>
  <c r="C14" i="4"/>
  <c r="C13" i="4"/>
  <c r="E64" i="15" s="1"/>
  <c r="C12" i="4"/>
  <c r="C11" i="4"/>
  <c r="E13" i="4" s="1"/>
  <c r="E62" i="15" l="1"/>
  <c r="E61" i="15"/>
  <c r="D8" i="15"/>
  <c r="E8" i="15" s="1"/>
  <c r="D19" i="15"/>
  <c r="E19" i="15" s="1"/>
  <c r="D45" i="15"/>
  <c r="E45" i="15" s="1"/>
  <c r="D13" i="15"/>
  <c r="E13" i="15" s="1"/>
  <c r="D22" i="15"/>
  <c r="E22" i="15" s="1"/>
  <c r="D15" i="15"/>
  <c r="E15" i="15" s="1"/>
  <c r="D33" i="15"/>
  <c r="E33" i="15" s="1"/>
  <c r="D18" i="15"/>
  <c r="E18" i="15" s="1"/>
  <c r="E9" i="4"/>
  <c r="D5" i="15"/>
  <c r="D42" i="15"/>
  <c r="E42" i="15" s="1"/>
  <c r="D30" i="15"/>
  <c r="E30" i="15" s="1"/>
  <c r="D20" i="15"/>
  <c r="E20" i="15" s="1"/>
  <c r="D34" i="15"/>
  <c r="E34" i="15" s="1"/>
  <c r="D37" i="15"/>
  <c r="E37" i="15" s="1"/>
  <c r="D41" i="15"/>
  <c r="E41" i="15" s="1"/>
  <c r="D12" i="15"/>
  <c r="E12" i="15" s="1"/>
  <c r="D17" i="15"/>
  <c r="E17" i="15" s="1"/>
  <c r="D27" i="15"/>
  <c r="E27" i="15" s="1"/>
  <c r="D39" i="15"/>
  <c r="E39" i="15" s="1"/>
  <c r="D6" i="15"/>
  <c r="E6" i="15" s="1"/>
  <c r="D24" i="15"/>
  <c r="E24" i="15" s="1"/>
  <c r="D28" i="15"/>
  <c r="E28" i="15" s="1"/>
  <c r="D40" i="15"/>
  <c r="E40" i="15" s="1"/>
  <c r="D11" i="15"/>
  <c r="E11" i="15" s="1"/>
  <c r="D26" i="15"/>
  <c r="E26" i="15" s="1"/>
  <c r="D14" i="15"/>
  <c r="E14" i="15" s="1"/>
  <c r="D25" i="15"/>
  <c r="E25" i="15" s="1"/>
  <c r="D29" i="15"/>
  <c r="E29" i="15" s="1"/>
  <c r="D36" i="15"/>
  <c r="E36" i="15" s="1"/>
  <c r="E60" i="15"/>
  <c r="I6" i="20"/>
  <c r="F6" i="20"/>
  <c r="J6" i="20"/>
  <c r="G6" i="20"/>
  <c r="K6" i="20"/>
  <c r="H6" i="20"/>
  <c r="E59" i="15"/>
  <c r="E58" i="15"/>
  <c r="E57" i="15"/>
  <c r="E56" i="15"/>
  <c r="F14" i="20"/>
  <c r="F15" i="20" s="1"/>
  <c r="F16" i="20" s="1"/>
  <c r="F18" i="20" s="1"/>
  <c r="E55" i="15"/>
  <c r="E54" i="15"/>
  <c r="E53" i="15"/>
  <c r="E52" i="15"/>
  <c r="E48" i="15"/>
  <c r="E51" i="15"/>
  <c r="E50" i="15"/>
  <c r="E49" i="15"/>
  <c r="D3" i="15"/>
  <c r="D10" i="15"/>
  <c r="E10" i="15" s="1"/>
  <c r="E15" i="4"/>
  <c r="E14" i="4" s="1"/>
  <c r="D7" i="15"/>
  <c r="E7" i="15" s="1"/>
  <c r="D16" i="15"/>
  <c r="E16" i="15" s="1"/>
  <c r="D46" i="15"/>
  <c r="E46" i="15" s="1"/>
  <c r="D32" i="15"/>
  <c r="E32" i="15" s="1"/>
  <c r="D4" i="15"/>
  <c r="D21" i="15"/>
  <c r="E21" i="15" s="1"/>
  <c r="D38" i="15"/>
  <c r="E38" i="15" s="1"/>
  <c r="D31" i="15"/>
  <c r="E31" i="15" s="1"/>
  <c r="D35" i="15"/>
  <c r="E35" i="15" s="1"/>
  <c r="D44" i="15"/>
  <c r="E44" i="15" s="1"/>
  <c r="I26" i="6"/>
  <c r="K26" i="6" s="1"/>
  <c r="I32" i="6"/>
  <c r="K32" i="6" s="1"/>
  <c r="I33" i="6"/>
  <c r="K33" i="6" s="1"/>
  <c r="I31" i="6"/>
  <c r="K31" i="6" s="1"/>
  <c r="I30" i="6"/>
  <c r="K30" i="6" s="1"/>
  <c r="B8" i="4"/>
  <c r="E12" i="4"/>
  <c r="G24" i="15" l="1"/>
  <c r="I24" i="15" s="1"/>
  <c r="E47" i="15"/>
  <c r="F19" i="20"/>
  <c r="G18" i="20"/>
  <c r="E5" i="15"/>
  <c r="G5" i="15"/>
  <c r="I5" i="15" s="1"/>
  <c r="E3" i="15"/>
  <c r="G3" i="15"/>
  <c r="I3" i="15" s="1"/>
  <c r="E4" i="15"/>
  <c r="G4" i="15"/>
  <c r="I4" i="15" s="1"/>
  <c r="G25" i="15"/>
  <c r="I25" i="15" s="1"/>
  <c r="G28" i="15"/>
  <c r="I28" i="15" s="1"/>
  <c r="G26" i="15"/>
  <c r="I26" i="15" s="1"/>
  <c r="G27" i="15"/>
  <c r="I27" i="15" s="1"/>
  <c r="G18" i="15"/>
  <c r="I18" i="15" s="1"/>
  <c r="G21" i="15"/>
  <c r="I21" i="15" s="1"/>
  <c r="G22" i="15"/>
  <c r="I22" i="15" s="1"/>
  <c r="G15" i="15"/>
  <c r="I15" i="15" s="1"/>
  <c r="G20" i="15"/>
  <c r="I20" i="15" s="1"/>
  <c r="G39" i="15"/>
  <c r="I39" i="15" s="1"/>
  <c r="G14" i="15"/>
  <c r="I14" i="15" s="1"/>
  <c r="G10" i="15"/>
  <c r="I10" i="15" s="1"/>
  <c r="G13" i="15"/>
  <c r="I13" i="15" s="1"/>
  <c r="G8" i="15"/>
  <c r="I8" i="15" s="1"/>
  <c r="G7" i="15"/>
  <c r="I7" i="15" s="1"/>
  <c r="G17" i="15"/>
  <c r="I17" i="15" s="1"/>
  <c r="G19" i="15"/>
  <c r="I19" i="15" s="1"/>
  <c r="G16" i="15"/>
  <c r="I16" i="15" s="1"/>
  <c r="G12" i="15"/>
  <c r="I12" i="15" s="1"/>
  <c r="G11" i="15"/>
  <c r="I11" i="15" s="1"/>
  <c r="G6" i="15"/>
  <c r="I6" i="15" s="1"/>
  <c r="F20" i="20" l="1"/>
  <c r="G19" i="20"/>
  <c r="G34" i="15"/>
  <c r="G40" i="15"/>
  <c r="I40" i="15" s="1"/>
  <c r="G45" i="15"/>
  <c r="I45" i="15" s="1"/>
  <c r="G29" i="15"/>
  <c r="I29" i="15" s="1"/>
  <c r="F21" i="20" l="1"/>
  <c r="G20" i="20"/>
  <c r="I34" i="15"/>
  <c r="G30" i="15"/>
  <c r="G33" i="15"/>
  <c r="G37" i="15"/>
  <c r="G32" i="15"/>
  <c r="G36" i="15"/>
  <c r="G41" i="15"/>
  <c r="G42" i="15"/>
  <c r="G31" i="15"/>
  <c r="G35" i="15"/>
  <c r="G46" i="15"/>
  <c r="G38" i="15"/>
  <c r="G43" i="15"/>
  <c r="G44" i="15"/>
  <c r="F22" i="20" l="1"/>
  <c r="G21" i="20"/>
  <c r="H21" i="20" s="1"/>
  <c r="I44" i="15"/>
  <c r="I43" i="15"/>
  <c r="I38" i="15"/>
  <c r="I46" i="15"/>
  <c r="I35" i="15"/>
  <c r="I31" i="15"/>
  <c r="I42" i="15"/>
  <c r="I41" i="15"/>
  <c r="I36" i="15"/>
  <c r="I32" i="15"/>
  <c r="I37" i="15"/>
  <c r="I33" i="15"/>
  <c r="I30" i="15"/>
  <c r="F23" i="20" l="1"/>
  <c r="G22" i="20"/>
  <c r="H22" i="20" s="1"/>
  <c r="F24" i="20" l="1"/>
  <c r="G23" i="20"/>
  <c r="H23" i="20" s="1"/>
  <c r="F25" i="20" l="1"/>
  <c r="G24" i="20"/>
  <c r="H24" i="20" s="1"/>
  <c r="F26" i="20" l="1"/>
  <c r="G25" i="20"/>
  <c r="H25" i="20" s="1"/>
  <c r="I25" i="20" s="1"/>
  <c r="F27" i="20" l="1"/>
  <c r="G26" i="20"/>
  <c r="H26" i="20" s="1"/>
  <c r="I26" i="20" s="1"/>
  <c r="G27" i="20" l="1"/>
  <c r="H27" i="20" s="1"/>
  <c r="I27" i="20" s="1"/>
  <c r="F28" i="20"/>
  <c r="F33" i="20"/>
  <c r="G33" i="20" s="1"/>
  <c r="H33" i="20" s="1"/>
  <c r="I33" i="20" s="1"/>
  <c r="J33" i="20" s="1"/>
  <c r="K33" i="20" s="1"/>
  <c r="G28" i="20" l="1"/>
  <c r="H28" i="20" s="1"/>
  <c r="I28" i="20" s="1"/>
  <c r="F31" i="20" l="1"/>
  <c r="F32" i="20" l="1"/>
  <c r="G32" i="20" s="1"/>
  <c r="H32" i="20" s="1"/>
  <c r="I32" i="20" s="1"/>
  <c r="J32" i="20" s="1"/>
  <c r="G31" i="20"/>
  <c r="H31" i="20" s="1"/>
  <c r="I31" i="20" s="1"/>
  <c r="J31"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i/>
            <sz val="12"/>
            <color indexed="81"/>
            <rFont val="Times New Roman"/>
            <family val="1"/>
          </rPr>
          <t>aid +1
bless +1     haste +1
inspire courage +2
greater heroism +4
negative levels -2
Shaken -2</t>
        </r>
      </text>
    </comment>
    <comment ref="C8" authorId="0" shapeId="0" xr:uid="{00000000-0006-0000-0000-000002000000}">
      <text>
        <r>
          <rPr>
            <i/>
            <sz val="12"/>
            <color indexed="81"/>
            <rFont val="Times New Roman"/>
            <family val="1"/>
          </rPr>
          <t>Improved Initiative +4</t>
        </r>
      </text>
    </comment>
    <comment ref="C9" authorId="0" shapeId="0" xr:uid="{338EC762-912B-445D-93CC-52E580E206AF}">
      <text>
        <r>
          <rPr>
            <sz val="12"/>
            <color indexed="81"/>
            <rFont val="Times New Roman"/>
            <family val="1"/>
          </rPr>
          <t>Next level at 153,000 XPs</t>
        </r>
      </text>
    </comment>
    <comment ref="E9" authorId="0" shapeId="0" xr:uid="{00000000-0006-0000-0000-000004000000}">
      <text>
        <r>
          <rPr>
            <sz val="12"/>
            <color indexed="81"/>
            <rFont val="Times New Roman"/>
            <family val="1"/>
          </rPr>
          <t>ECL + 2 (Cha) + 2 (Great Renown)
+1 (Fairness &amp; Generosity)</t>
        </r>
      </text>
    </comment>
    <comment ref="B10" authorId="0" shapeId="0" xr:uid="{00000000-0006-0000-0000-000005000000}">
      <text>
        <r>
          <rPr>
            <i/>
            <sz val="12"/>
            <color indexed="81"/>
            <rFont val="Times New Roman"/>
            <family val="1"/>
          </rPr>
          <t>bull’s strength +4
chasing perfection +4
bear’s heart +4
baleful bolt -3
ray of enfeeblement -5
Fatigued -2</t>
        </r>
      </text>
    </comment>
    <comment ref="E10" authorId="0" shapeId="0" xr:uid="{00000000-0006-0000-0000-000006000000}">
      <text>
        <r>
          <rPr>
            <sz val="12"/>
            <color indexed="81"/>
            <rFont val="Times New Roman"/>
            <family val="1"/>
          </rPr>
          <t>See PHB 162</t>
        </r>
      </text>
    </comment>
    <comment ref="B11" authorId="0" shapeId="0" xr:uid="{00000000-0006-0000-0000-000007000000}">
      <text>
        <r>
          <rPr>
            <i/>
            <sz val="12"/>
            <color indexed="81"/>
            <rFont val="Times New Roman"/>
            <family val="1"/>
          </rPr>
          <t>Chasing Perfection +4
Fatigued -2</t>
        </r>
      </text>
    </comment>
    <comment ref="B12" authorId="0" shapeId="0" xr:uid="{00000000-0006-0000-0000-000008000000}">
      <text>
        <r>
          <rPr>
            <i/>
            <sz val="12"/>
            <color indexed="81"/>
            <rFont val="Times New Roman"/>
            <family val="1"/>
          </rPr>
          <t>chasing perfection +4</t>
        </r>
      </text>
    </comment>
    <comment ref="E12" authorId="0" shapeId="0" xr:uid="{00000000-0006-0000-0000-000009000000}">
      <text>
        <r>
          <rPr>
            <sz val="12"/>
            <color indexed="81"/>
            <rFont val="Times New Roman"/>
            <family val="1"/>
          </rPr>
          <t>[(17 * 10 Duskblade) * 75%] + (17 * 2 Con)</t>
        </r>
      </text>
    </comment>
    <comment ref="B13" authorId="0" shapeId="0" xr:uid="{00000000-0006-0000-0000-00000A000000}">
      <text>
        <r>
          <rPr>
            <i/>
            <sz val="12"/>
            <color indexed="81"/>
            <rFont val="Times New Roman"/>
            <family val="1"/>
          </rPr>
          <t>chasing perfection +4</t>
        </r>
      </text>
    </comment>
    <comment ref="E13" authorId="0" shapeId="0" xr:uid="{00000000-0006-0000-0000-00000B000000}">
      <text>
        <r>
          <rPr>
            <i/>
            <sz val="12"/>
            <color indexed="81"/>
            <rFont val="Times New Roman"/>
            <family val="1"/>
          </rPr>
          <t xml:space="preserve">Shield of Faith </t>
        </r>
        <r>
          <rPr>
            <sz val="12"/>
            <color indexed="81"/>
            <rFont val="Times New Roman"/>
            <family val="1"/>
          </rPr>
          <t xml:space="preserve">[Deflection] +3
</t>
        </r>
        <r>
          <rPr>
            <i/>
            <sz val="12"/>
            <color indexed="81"/>
            <rFont val="Times New Roman"/>
            <family val="1"/>
          </rPr>
          <t>haste +1</t>
        </r>
      </text>
    </comment>
    <comment ref="B14" authorId="0" shapeId="0" xr:uid="{00000000-0006-0000-0000-00000C000000}">
      <text>
        <r>
          <rPr>
            <i/>
            <sz val="12"/>
            <color indexed="81"/>
            <rFont val="Times New Roman"/>
            <family val="1"/>
          </rPr>
          <t>gloves of dexterity +2
chasing perfection +4</t>
        </r>
      </text>
    </comment>
    <comment ref="B15" authorId="0" shapeId="0" xr:uid="{00000000-0006-0000-0000-00000D000000}">
      <text>
        <r>
          <rPr>
            <i/>
            <sz val="12"/>
            <color indexed="81"/>
            <rFont val="Times New Roman"/>
            <family val="1"/>
          </rPr>
          <t>chasing perfection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5AC6A58E-65A2-4E3F-8592-F6228FD3F415}">
      <text>
        <r>
          <rPr>
            <sz val="12"/>
            <color indexed="81"/>
            <rFont val="Times New Roman"/>
            <family val="1"/>
          </rPr>
          <t xml:space="preserve">Cloak of Resistance +3
</t>
        </r>
        <r>
          <rPr>
            <i/>
            <sz val="12"/>
            <color indexed="81"/>
            <rFont val="Times New Roman"/>
            <family val="1"/>
          </rPr>
          <t>mass conviction +3</t>
        </r>
      </text>
    </comment>
    <comment ref="F4" authorId="0" shapeId="0" xr:uid="{E5B70C20-7626-4CD3-AEE4-C6C13D0C6181}">
      <text>
        <r>
          <rPr>
            <sz val="12"/>
            <color indexed="81"/>
            <rFont val="Times New Roman"/>
            <family val="1"/>
          </rPr>
          <t xml:space="preserve">Cloak of Resistance +3
</t>
        </r>
        <r>
          <rPr>
            <i/>
            <sz val="12"/>
            <color indexed="81"/>
            <rFont val="Times New Roman"/>
            <family val="1"/>
          </rPr>
          <t>mass conviction +3</t>
        </r>
      </text>
    </comment>
    <comment ref="F5" authorId="0" shapeId="0" xr:uid="{00000000-0006-0000-0100-000003000000}">
      <text>
        <r>
          <rPr>
            <sz val="12"/>
            <color indexed="81"/>
            <rFont val="Times New Roman"/>
            <family val="1"/>
          </rPr>
          <t xml:space="preserve">Cloak of Resistance +3
</t>
        </r>
        <r>
          <rPr>
            <i/>
            <sz val="12"/>
            <color indexed="81"/>
            <rFont val="Times New Roman"/>
            <family val="1"/>
          </rPr>
          <t>mass conviction +3</t>
        </r>
      </text>
    </comment>
    <comment ref="F7" authorId="0" shapeId="0" xr:uid="{0C497FE0-E53E-49D1-A3FB-367E1066BEC6}">
      <text>
        <r>
          <rPr>
            <sz val="12"/>
            <color indexed="81"/>
            <rFont val="Times New Roman"/>
            <family val="1"/>
          </rPr>
          <t>-1 Chain Shirt +1</t>
        </r>
      </text>
    </comment>
    <comment ref="F9" authorId="0" shapeId="0" xr:uid="{8C27F3C7-2323-4222-960C-A8405B5C5642}">
      <text>
        <r>
          <rPr>
            <sz val="12"/>
            <color indexed="81"/>
            <rFont val="Times New Roman"/>
            <family val="1"/>
          </rPr>
          <t>-1 Chain Shirt +1</t>
        </r>
      </text>
    </comment>
    <comment ref="F13" authorId="0" shapeId="0" xr:uid="{00000000-0006-0000-0100-000006000000}">
      <text>
        <r>
          <rPr>
            <sz val="12"/>
            <color indexed="81"/>
            <rFont val="Times New Roman"/>
            <family val="1"/>
          </rPr>
          <t>+2 ½-drow</t>
        </r>
      </text>
    </comment>
    <comment ref="F16" authorId="0" shapeId="0" xr:uid="{C7FD670C-610B-41F1-9BA0-3AE0989379E4}">
      <text>
        <r>
          <rPr>
            <sz val="12"/>
            <color indexed="81"/>
            <rFont val="Times New Roman"/>
            <family val="1"/>
          </rPr>
          <t>-1 Chain Shirt +1</t>
        </r>
      </text>
    </comment>
    <comment ref="F18" authorId="0" shapeId="0" xr:uid="{00000000-0006-0000-0100-000008000000}">
      <text>
        <r>
          <rPr>
            <sz val="12"/>
            <color indexed="81"/>
            <rFont val="Times New Roman"/>
            <family val="1"/>
          </rPr>
          <t>+2 ½-drow</t>
        </r>
      </text>
    </comment>
    <comment ref="F21" authorId="0" shapeId="0" xr:uid="{72B02710-3D19-404D-8FD3-860D5B3B0111}">
      <text>
        <r>
          <rPr>
            <sz val="12"/>
            <color indexed="81"/>
            <rFont val="Times New Roman"/>
            <family val="1"/>
          </rPr>
          <t>-1 Chain Shirt +1</t>
        </r>
      </text>
    </comment>
    <comment ref="F23" authorId="0" shapeId="0" xr:uid="{51AFAD63-15BD-4D42-888B-7D8377439617}">
      <text>
        <r>
          <rPr>
            <sz val="12"/>
            <color indexed="81"/>
            <rFont val="Times New Roman"/>
            <family val="1"/>
          </rPr>
          <t>-1 Chain Shirt +1</t>
        </r>
      </text>
    </comment>
    <comment ref="F30" authorId="0" shapeId="0" xr:uid="{00000000-0006-0000-0100-00000B000000}">
      <text>
        <r>
          <rPr>
            <sz val="12"/>
            <color indexed="81"/>
            <rFont val="Times New Roman"/>
            <family val="1"/>
          </rPr>
          <t>+1 ½-drow</t>
        </r>
      </text>
    </comment>
    <comment ref="F31" authorId="0" shapeId="0" xr:uid="{C81C6ABB-4E81-45F8-BD66-A5A02FC9F6BA}">
      <text>
        <r>
          <rPr>
            <sz val="12"/>
            <color indexed="81"/>
            <rFont val="Times New Roman"/>
            <family val="1"/>
          </rPr>
          <t>-1 Chain Shirt +1</t>
        </r>
      </text>
    </comment>
    <comment ref="F36" authorId="0" shapeId="0" xr:uid="{00000000-0006-0000-0100-00000D000000}">
      <text>
        <r>
          <rPr>
            <sz val="12"/>
            <color indexed="81"/>
            <rFont val="Times New Roman"/>
            <family val="1"/>
          </rPr>
          <t>+1 ½-drow</t>
        </r>
      </text>
    </comment>
    <comment ref="F38" authorId="0" shapeId="0" xr:uid="{55C811BC-1646-4E39-BE6B-63F8DCBE1BE8}">
      <text>
        <r>
          <rPr>
            <sz val="12"/>
            <color indexed="81"/>
            <rFont val="Times New Roman"/>
            <family val="1"/>
          </rPr>
          <t>-1 Chain Shirt +1</t>
        </r>
      </text>
    </comment>
    <comment ref="F41" authorId="0" shapeId="0" xr:uid="{00000000-0006-0000-0100-00000F000000}">
      <text>
        <r>
          <rPr>
            <sz val="12"/>
            <color indexed="81"/>
            <rFont val="Times New Roman"/>
            <family val="1"/>
          </rPr>
          <t>+1 ½-drow</t>
        </r>
      </text>
    </comment>
    <comment ref="F44" authorId="0" shapeId="0" xr:uid="{00000000-0006-0000-0100-000010000000}">
      <text>
        <r>
          <rPr>
            <sz val="12"/>
            <color indexed="81"/>
            <rFont val="Times New Roman"/>
            <family val="1"/>
          </rPr>
          <t>-1 Chain Shirt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 authorId="0" shapeId="0" xr:uid="{00000000-0006-0000-0200-000001000000}">
      <text>
        <r>
          <rPr>
            <sz val="12"/>
            <color indexed="81"/>
            <rFont val="Times New Roman"/>
            <family val="1"/>
          </rPr>
          <t>Wool or fur</t>
        </r>
      </text>
    </comment>
    <comment ref="D7" authorId="0" shapeId="0" xr:uid="{00000000-0006-0000-0200-000002000000}">
      <text>
        <r>
          <rPr>
            <sz val="12"/>
            <color indexed="81"/>
            <rFont val="Times New Roman"/>
            <family val="1"/>
          </rPr>
          <t>Drop of sweat</t>
        </r>
      </text>
    </comment>
    <comment ref="D13" authorId="0" shapeId="0" xr:uid="{00000000-0006-0000-0200-000003000000}">
      <text>
        <r>
          <rPr>
            <sz val="12"/>
            <color indexed="81"/>
            <rFont val="Times New Roman"/>
            <family val="1"/>
          </rPr>
          <t>Sand, rose petals, or live cricket</t>
        </r>
      </text>
    </comment>
    <comment ref="D18" authorId="0" shapeId="0" xr:uid="{00000000-0006-0000-0200-000004000000}">
      <text>
        <r>
          <rPr>
            <sz val="12"/>
            <color indexed="81"/>
            <rFont val="Times New Roman"/>
            <family val="1"/>
          </rPr>
          <t>Bull-shit or bull-hair</t>
        </r>
      </text>
    </comment>
    <comment ref="D25" authorId="0" shapeId="0" xr:uid="{00000000-0006-0000-0200-000005000000}">
      <text>
        <r>
          <rPr>
            <sz val="12"/>
            <color indexed="81"/>
            <rFont val="Times New Roman"/>
            <family val="1"/>
          </rPr>
          <t>Roots</t>
        </r>
      </text>
    </comment>
    <comment ref="D30" authorId="0" shapeId="0" xr:uid="{00000000-0006-0000-0200-000006000000}">
      <text>
        <r>
          <rPr>
            <sz val="12"/>
            <color indexed="81"/>
            <rFont val="Times New Roman"/>
            <family val="1"/>
          </rPr>
          <t>dragon scale</t>
        </r>
      </text>
    </comment>
    <comment ref="D36" authorId="0" shapeId="0" xr:uid="{00000000-0006-0000-0200-000007000000}">
      <text>
        <r>
          <rPr>
            <sz val="12"/>
            <color indexed="81"/>
            <rFont val="Times New Roman"/>
            <family val="1"/>
          </rPr>
          <t>phosphorous (warm) or glowworm (chill)</t>
        </r>
      </text>
    </comment>
    <comment ref="D38" authorId="0" shapeId="0" xr:uid="{3D4E755B-3C7C-46F3-8A85-AA06CC824D84}">
      <text>
        <r>
          <rPr>
            <sz val="12"/>
            <color indexed="81"/>
            <rFont val="Times New Roman"/>
            <family val="1"/>
          </rPr>
          <t>Leather glove</t>
        </r>
      </text>
    </comment>
    <comment ref="D39" authorId="0" shapeId="0" xr:uid="{50A6A241-BBE0-4DD2-9614-093BFB9D55FF}">
      <text>
        <r>
          <rPr>
            <sz val="12"/>
            <color indexed="81"/>
            <rFont val="Times New Roman"/>
            <family val="1"/>
          </rPr>
          <t>metal bar or rod, which can be as small as a three-penny nail</t>
        </r>
      </text>
    </comment>
    <comment ref="D43" authorId="0" shapeId="0" xr:uid="{00000000-0006-0000-0200-000008000000}">
      <text>
        <r>
          <rPr>
            <sz val="12"/>
            <rFont val="Times New Roman"/>
            <family val="1"/>
          </rPr>
          <t>lodestone and dust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300-000001000000}">
      <text>
        <r>
          <rPr>
            <sz val="12"/>
            <color indexed="81"/>
            <rFont val="Times New Roman"/>
            <family val="1"/>
          </rPr>
          <t xml:space="preserve">You can use your knowledge to exploit your foes’ weaknesses and overcome their strengths.
</t>
        </r>
        <r>
          <rPr>
            <b/>
            <sz val="12"/>
            <color indexed="81"/>
            <rFont val="Times New Roman"/>
            <family val="1"/>
          </rPr>
          <t xml:space="preserve">Prerequisite:  </t>
        </r>
        <r>
          <rPr>
            <sz val="12"/>
            <color indexed="81"/>
            <rFont val="Times New Roman"/>
            <family val="1"/>
          </rPr>
          <t xml:space="preserve">Knowledge (any) 5 ranks.
</t>
        </r>
        <r>
          <rPr>
            <b/>
            <sz val="12"/>
            <color indexed="81"/>
            <rFont val="Times New Roman"/>
            <family val="1"/>
          </rPr>
          <t xml:space="preserve">Benefit:  </t>
        </r>
        <r>
          <rPr>
            <sz val="12"/>
            <color indexed="81"/>
            <rFont val="Times New Roman"/>
            <family val="1"/>
          </rPr>
          <t xml:space="preserve">Upon selecting this feat, you immediately add one Knowledge skill of your choice to your list of class skills.  Thereafter, you treat that skill as a class skill, regardless of which class you are advancing in.  Whenever you fight a creature, you can make a Knowledge check based on its type, as described on page 78 of the Player’s Handbook, provided that you have at least one rank in the appropriate Knowledge skill.
You then receive an insight bonus on attack rolls and damage rolls against that creature type for the remainder of the combat.  The amount of the bonus depends on your Knowledge check result, as given on the following table.
</t>
        </r>
        <r>
          <rPr>
            <b/>
            <sz val="12"/>
            <color indexed="81"/>
            <rFont val="Times New Roman"/>
            <family val="1"/>
          </rPr>
          <t>Die Roll        Bonus</t>
        </r>
        <r>
          <rPr>
            <sz val="12"/>
            <color indexed="81"/>
            <rFont val="Times New Roman"/>
            <family val="1"/>
          </rPr>
          <t xml:space="preserve">
15 or below    +1
16-25              +2
26-30              +3
31-35              +4
36 or higher    +5
You can make only one Knowledge check per creature type per combat.  If you fight creatures of multiple types during the same combat, you can make one Knowledge check per type, thereby possibly gaining different bonuses against different opponents.
</t>
        </r>
        <r>
          <rPr>
            <b/>
            <sz val="12"/>
            <color indexed="81"/>
            <rFont val="Times New Roman"/>
            <family val="1"/>
          </rPr>
          <t xml:space="preserve">Example:  </t>
        </r>
        <r>
          <rPr>
            <sz val="12"/>
            <color indexed="81"/>
            <rFont val="Times New Roman"/>
            <family val="1"/>
          </rPr>
          <t>Alhandra faces a black dragon, a vampire, and a beholder.  She has the Knowledge Devotion feat and ranks in both Knowledge (arcana) and Knowledge (religion).  At the beginning of the battle, she makes checks to gain bonuses against the dragon and the vampire, but since she possess no ranks in Knowledge (dungeoneering), she has no chance to gain a bonus against the beholder (an aberration).
Alhandra’s Knowledge (arcana) check grants her a +3 insight bonus on attack rolls and damage rolls against the black dragon.  Later, a half-dragon enters the fray.  Alhandra cannot make another check since she has already checked for the dragon type this combat, but she can apply the +3 insight bonus to her attack rolls and damage rolls against the half-dragon as well.  This benefit is an extraordinary ability.
Complete Champion 60</t>
        </r>
      </text>
    </comment>
    <comment ref="A3" authorId="0" shapeId="0" xr:uid="{00000000-0006-0000-0300-00000200000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A4" authorId="0" shapeId="0" xr:uid="{00000000-0006-0000-0300-000003000000}">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A5" authorId="0" shapeId="0" xr:uid="{00000000-0006-0000-0300-000004000000}">
      <text>
        <r>
          <rPr>
            <sz val="12"/>
            <rFont val="Times New Roman"/>
            <family val="1"/>
          </rPr>
          <t xml:space="preserve">You can cast spells to maximum effect.
</t>
        </r>
        <r>
          <rPr>
            <b/>
            <sz val="12"/>
            <color indexed="81"/>
            <rFont val="Times New Roman"/>
            <family val="1"/>
          </rPr>
          <t xml:space="preserve">Benefit:  </t>
        </r>
        <r>
          <rPr>
            <sz val="12"/>
            <rFont val="Times New Roman"/>
            <family val="1"/>
          </rPr>
          <t xml:space="preserve">All variable, numeric effects of a spell modified by this feat are maximized.  A maximized spell deals maximum damage, cures the maximum number of hit points, affects the maximum number of targets, etc., as appropriate.  For example, a maximized fireball deals 6 points of damage per caster level (up to a maximum of 60 points of damage at 10th caster level).  Saving throws and opposed rolls (such as the one you make when you cast </t>
        </r>
        <r>
          <rPr>
            <i/>
            <sz val="12"/>
            <color indexed="81"/>
            <rFont val="Times New Roman"/>
            <family val="1"/>
          </rPr>
          <t>dispel magic</t>
        </r>
        <r>
          <rPr>
            <sz val="12"/>
            <rFont val="Times New Roman"/>
            <family val="1"/>
          </rPr>
          <t>) are not affected, nor are spells without random variables.  A maximized spell uses up a spell slot three levels higher than the spell’s actual level.
An empowered, maximized spell gains the separate benefits of each feat: the maximum result plus one-half the normally rolled result.  An empowered, maximized fireball cast by a 15th-level wizard deals points of damage equal to 60 plus one half of 10d6.
PHB 97</t>
        </r>
      </text>
    </comment>
    <comment ref="G5" authorId="0" shapeId="0" xr:uid="{785B48DC-EA3F-4CC3-852D-4961F314D4E4}">
      <text>
        <r>
          <rPr>
            <i/>
            <sz val="12"/>
            <color indexed="81"/>
            <rFont val="Times New Roman"/>
            <family val="1"/>
          </rPr>
          <t>Ring of Wizardry I</t>
        </r>
      </text>
    </comment>
    <comment ref="A6" authorId="0" shapeId="0" xr:uid="{00000000-0006-0000-0300-000005000000}">
      <text>
        <r>
          <rPr>
            <sz val="12"/>
            <rFont val="Times New Roman"/>
            <family val="1"/>
          </rPr>
          <t xml:space="preserve">Your spells are especially potent, breaking through spell resistance more readily than normal.
</t>
        </r>
        <r>
          <rPr>
            <b/>
            <sz val="12"/>
            <color indexed="81"/>
            <rFont val="Times New Roman"/>
            <family val="1"/>
          </rPr>
          <t xml:space="preserve">Benefit:  </t>
        </r>
        <r>
          <rPr>
            <sz val="12"/>
            <rFont val="Times New Roman"/>
            <family val="1"/>
          </rPr>
          <t>You get a +2 bonus on caster level checks (1d20 + caster level) made to overcome a creature’s spell resistance.
PHB 97</t>
        </r>
      </text>
    </comment>
    <comment ref="A7" authorId="0" shapeId="0" xr:uid="{B69F3F80-8BE1-44C8-937B-59A9FD6A1612}">
      <text>
        <r>
          <rPr>
            <sz val="12"/>
            <rFont val="Times New Roman"/>
            <family val="1"/>
          </rPr>
          <t xml:space="preserve">You can chennel arcane energy into your melee attacks.
</t>
        </r>
        <r>
          <rPr>
            <b/>
            <sz val="12"/>
            <color indexed="81"/>
            <rFont val="Times New Roman"/>
            <family val="1"/>
          </rPr>
          <t xml:space="preserve">Prerequisitites:  </t>
        </r>
        <r>
          <rPr>
            <sz val="12"/>
            <rFont val="Times New Roman"/>
            <family val="1"/>
          </rPr>
          <t xml:space="preserve">Ability to cast 3rd-level arcane spells, base attack bonus +4.
</t>
        </r>
        <r>
          <rPr>
            <b/>
            <sz val="12"/>
            <color indexed="81"/>
            <rFont val="Times New Roman"/>
            <family val="1"/>
          </rPr>
          <t xml:space="preserve">Benefit:  </t>
        </r>
        <r>
          <rPr>
            <sz val="12"/>
            <rFont val="Times New Roman"/>
            <family val="1"/>
          </rPr>
          <t>When you activate this feat (a free action that does not provoke an attack of opportunity), you can channel arcane energy into a melee weapon, your unarmed strike, or natural weapons.  You must sacrifice one of your spells for the day (of 1st level or higher) to do this, but you gain a bonus on all your attack rolls for 1 round equal to the level of the spell sacrificed, as well as extra damage equal to 1d4 points x the level of the spell sacrificed.  The bonus you add to your attack rolls from this feat cannot be greater than your base attack bonus.
For example, Yarren the badesinger has a BAB of +11 and the ability to cast 4th-level spells for the day, marking it off as if he had cast it.  until his next turn, yarren gaines an extra +4 bonus on his attack rolls and an extra 4d4 points of damage with a single melee weapon of his choice (his rapier).
??? 96</t>
        </r>
      </text>
    </comment>
    <comment ref="A8" authorId="0" shapeId="0" xr:uid="{00000000-0006-0000-0300-000006000000}">
      <text>
        <r>
          <rPr>
            <sz val="12"/>
            <color indexed="81"/>
            <rFont val="Times New Roman"/>
            <family val="1"/>
          </rPr>
          <t>As Leadership (DMG 106), but no followers.</t>
        </r>
      </text>
    </comment>
    <comment ref="A9" authorId="0" shapeId="0" xr:uid="{00000000-0006-0000-0300-000007000000}">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15,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 ref="A12" authorId="0" shapeId="0" xr:uid="{00000000-0006-0000-0300-000008000000}">
      <text>
        <r>
          <rPr>
            <sz val="12"/>
            <color indexed="81"/>
            <rFont val="Times New Roman"/>
            <family val="1"/>
          </rPr>
          <t>Dancing Lights, Detect Magic, Flare, Ghost Sound, Read Magic a combined total of times per day equal to 3 + Int modifier.  These do not count against your total of spells known or spells per day.</t>
        </r>
      </text>
    </comment>
    <comment ref="A14" authorId="0" shapeId="0" xr:uid="{00000000-0006-0000-0300-000009000000}">
      <text>
        <r>
          <rPr>
            <sz val="12"/>
            <color indexed="81"/>
            <rFont val="Times New Roman"/>
            <family val="1"/>
          </rPr>
          <t>Avoid arcane spell failure so long as you stick to medium armor and light shields.</t>
        </r>
      </text>
    </comment>
    <comment ref="A15" authorId="0" shapeId="0" xr:uid="{00000000-0006-0000-0300-00000A000000}">
      <text>
        <r>
          <rPr>
            <sz val="12"/>
            <color indexed="81"/>
            <rFont val="Times New Roman"/>
            <family val="1"/>
          </rPr>
          <t>Avoid arcane spell failure so long as you stick to medium armor and light shields.</t>
        </r>
      </text>
    </comment>
    <comment ref="A16" authorId="0" shapeId="0" xr:uid="{00000000-0006-0000-0300-00000B000000}">
      <text>
        <r>
          <rPr>
            <sz val="12"/>
            <color indexed="81"/>
            <rFont val="Times New Roman"/>
            <family val="1"/>
          </rPr>
          <t>You can use a standard action to cast any touch spell you know and deliver the spell through your weapon with a melee attack.  Casting a spell in this manner does not provoke attacks of opportunity.  The spell must have a casting time of 1 standard action or less.  If the melee attack is successful, the attack deals damage normally; then the effect of the spell is resolved.</t>
        </r>
      </text>
    </comment>
    <comment ref="A17" authorId="0" shapeId="0" xr:uid="{00000000-0006-0000-0300-00000C000000}">
      <text>
        <r>
          <rPr>
            <sz val="12"/>
            <color indexed="81"/>
            <rFont val="Times New Roman"/>
            <family val="1"/>
          </rPr>
          <t xml:space="preserve">You are adept at casting spells in combat.
</t>
        </r>
        <r>
          <rPr>
            <b/>
            <sz val="12"/>
            <color indexed="81"/>
            <rFont val="Times New Roman"/>
            <family val="1"/>
          </rPr>
          <t xml:space="preserve">Benefit:  </t>
        </r>
        <r>
          <rPr>
            <sz val="12"/>
            <color indexed="81"/>
            <rFont val="Times New Roman"/>
            <family val="1"/>
          </rPr>
          <t>You get a +4 bonus on Concentration checks made to cast a spell or use a spell-like ability while on the defensive (see Casting on the Defensive, page 140) or while you are grappling or pinned.
PHB 92</t>
        </r>
      </text>
    </comment>
    <comment ref="A18" authorId="0" shapeId="0" xr:uid="{00000000-0006-0000-0300-00000D000000}">
      <text>
        <r>
          <rPr>
            <sz val="12"/>
            <color indexed="81"/>
            <rFont val="Times New Roman"/>
            <family val="1"/>
          </rPr>
          <t>Starting at 6th level, you can more easily overcome the spell resistance of any opponent you successfully injure
with a melee attack.
If you have injured an opponent with a melee attack, you gain a +2 bonus on your caster level check to overcome spell resistance for the remainder of the encounter.  This bonus increases to +3 at 11th level, to +4 at 16th level, and to +5 at 18th level.
PHB II 20</t>
        </r>
      </text>
    </comment>
    <comment ref="A19" authorId="0" shapeId="0" xr:uid="{00000000-0006-0000-0300-00000E000000}">
      <text>
        <r>
          <rPr>
            <sz val="12"/>
            <color indexed="81"/>
            <rFont val="Times New Roman"/>
            <family val="1"/>
          </rPr>
          <t>You can cast one spell as a swift action, so long as the casting time of the spell is 1 standard action or less.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7A4FC547-3FCD-4560-A2E1-5BB1FF8E549C}">
      <text>
        <r>
          <rPr>
            <b/>
            <sz val="12"/>
            <color indexed="81"/>
            <rFont val="Times New Roman"/>
            <family val="1"/>
          </rPr>
          <t xml:space="preserve">Price:  </t>
        </r>
        <r>
          <rPr>
            <sz val="12"/>
            <color indexed="81"/>
            <rFont val="Times New Roman"/>
            <family val="1"/>
          </rPr>
          <t xml:space="preserve">+1 bonus.
A shattermantle weapon damages an opponent’s spell resistance.  Each time the weapon strikes a foe with spell resistance, the value of that spell resistance is reduced by 2 for 1 round.  The penalties for multiple hits during the same round stack. For example, if the wielder succeeds on three attacks in the same round against the same foe with spell resistance, that foe’s spell resistance is reduced by 6 until the beginning of the wielder’s next turn.  This weapon property does not grant the bearer the ability to determine how much spell resistance (if any) a target might have.
Waterdeep 146
</t>
        </r>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Melee weapon
</t>
        </r>
        <r>
          <rPr>
            <b/>
            <sz val="12"/>
            <color indexed="81"/>
            <rFont val="Times New Roman"/>
            <family val="1"/>
          </rPr>
          <t xml:space="preserve">Caster Level: </t>
        </r>
        <r>
          <rPr>
            <sz val="12"/>
            <color indexed="81"/>
            <rFont val="Times New Roman"/>
            <family val="1"/>
          </rPr>
          <t xml:space="preserve">10th
</t>
        </r>
        <r>
          <rPr>
            <b/>
            <sz val="12"/>
            <color indexed="81"/>
            <rFont val="Times New Roman"/>
            <family val="1"/>
          </rPr>
          <t xml:space="preserve">Aura: </t>
        </r>
        <r>
          <rPr>
            <sz val="12"/>
            <color indexed="81"/>
            <rFont val="Times New Roman"/>
            <family val="1"/>
          </rPr>
          <t xml:space="preserve">Moderate; (DC 20) necromancy
</t>
        </r>
        <r>
          <rPr>
            <b/>
            <sz val="12"/>
            <color indexed="81"/>
            <rFont val="Times New Roman"/>
            <family val="1"/>
          </rPr>
          <t xml:space="preserve">Activation: </t>
        </r>
        <r>
          <rPr>
            <sz val="12"/>
            <color indexed="81"/>
            <rFont val="Times New Roman"/>
            <family val="1"/>
          </rPr>
          <t>Free (command)
The blade of this weapon bears red crystals carefully inlaid in intricate designs.
A bloodstone weapon can store and cast a vampiric touch spell against a creature it strikes, just as if it were a spell storing weapon (DMG 225).  Any such spell cast from a bloodstone weapon is automatically empowered (as if by the Empower Spell feat).  A bloodstone weapon can store no more than one such spell at any time, and it cannot store a spell other than vampiric touch.
MIC 29.</t>
        </r>
      </text>
    </comment>
    <comment ref="A8" authorId="0" shapeId="0" xr:uid="{7D55C8EB-13CE-4C0A-88FB-36B93171CA29}">
      <text>
        <r>
          <rPr>
            <b/>
            <sz val="12"/>
            <color indexed="81"/>
            <rFont val="Times New Roman"/>
            <family val="1"/>
          </rPr>
          <t xml:space="preserve">Price (Item Level):  </t>
        </r>
        <r>
          <rPr>
            <sz val="12"/>
            <color indexed="81"/>
            <rFont val="Times New Roman"/>
            <family val="1"/>
          </rPr>
          <t xml:space="preserve">1,000 gp (4th) (least); 5,000 gp (9th) (lesser); 10,000 gp (12th)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amethyst is carved in the shape of a humanoid skull.
Clerics craft truedeath crystals to aid themselves and others in sending undead to their final rest.
Least: A weapon with this crystal attached deals an extra 1d6 points of damage to undead.
Lesser: As the least crystal, and the weapon also functions as a ghost touch weapon (DMG 224).
Greater: As the lesser crystal, and the weapon can deliver sneak attacks and critical hits against undead as if they were living creatures.
MIC 66</t>
        </r>
      </text>
    </comment>
    <comment ref="A9" authorId="0" shapeId="0" xr:uid="{00000000-0006-0000-0400-000001000000}">
      <text>
        <r>
          <rPr>
            <b/>
            <sz val="12"/>
            <color indexed="81"/>
            <rFont val="Times New Roman"/>
            <family val="1"/>
          </rPr>
          <t xml:space="preserve">Price (Item Level):  </t>
        </r>
        <r>
          <rPr>
            <sz val="12"/>
            <color indexed="81"/>
            <rFont val="Times New Roman"/>
            <family val="1"/>
          </rPr>
          <t xml:space="preserve">6,000 gp
</t>
        </r>
        <r>
          <rPr>
            <b/>
            <sz val="12"/>
            <color indexed="81"/>
            <rFont val="Times New Roman"/>
            <family val="1"/>
          </rPr>
          <t xml:space="preserve">Body Slot:  </t>
        </r>
        <r>
          <rPr>
            <sz val="12"/>
            <color indexed="81"/>
            <rFont val="Times New Roman"/>
            <family val="1"/>
          </rPr>
          <t xml:space="preserve">— (weapon)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Moderate; (DC 17 ) Transmutation
A crystal of arcane steel is designed for those who can blend magical and martial arts into a single strike.  It functions only when attached to a melee weapon.
</t>
        </r>
        <r>
          <rPr>
            <b/>
            <sz val="12"/>
            <color indexed="81"/>
            <rFont val="Times New Roman"/>
            <family val="1"/>
          </rPr>
          <t xml:space="preserve">Least:  </t>
        </r>
        <r>
          <rPr>
            <sz val="12"/>
            <color indexed="81"/>
            <rFont val="Times New Roman"/>
            <family val="1"/>
          </rPr>
          <t xml:space="preserve">This crystal grants a +1 insight bonus on your weapon damage roll when delivering a spell or spell-like ability through a melee attack with the weapon.
</t>
        </r>
        <r>
          <rPr>
            <b/>
            <sz val="12"/>
            <color indexed="81"/>
            <rFont val="Times New Roman"/>
            <family val="1"/>
          </rPr>
          <t xml:space="preserve">Lesser:  </t>
        </r>
        <r>
          <rPr>
            <sz val="12"/>
            <color indexed="81"/>
            <rFont val="Times New Roman"/>
            <family val="1"/>
          </rPr>
          <t xml:space="preserve">As the least crystal, and it also grants you a +1 insight bonus on the attack roll.
</t>
        </r>
        <r>
          <rPr>
            <b/>
            <sz val="12"/>
            <color indexed="81"/>
            <rFont val="Times New Roman"/>
            <family val="1"/>
          </rPr>
          <t xml:space="preserve">Greater:  </t>
        </r>
        <r>
          <rPr>
            <sz val="12"/>
            <color indexed="81"/>
            <rFont val="Times New Roman"/>
            <family val="1"/>
          </rPr>
          <t>As the lesser crystal, and it also increases the save DC of the spell or spell-like ability by 1.
MIC 64</t>
        </r>
      </text>
    </comment>
    <comment ref="D27" authorId="0" shapeId="0" xr:uid="{00000000-0006-0000-0400-000002000000}">
      <text>
        <r>
          <rPr>
            <sz val="12"/>
            <rFont val="Times New Roman"/>
            <family val="1"/>
          </rPr>
          <t xml:space="preserve">Your spells are especially potent, breaking through spell resistance more readily than normal.
</t>
        </r>
        <r>
          <rPr>
            <b/>
            <sz val="12"/>
            <color indexed="81"/>
            <rFont val="Times New Roman"/>
            <family val="1"/>
          </rPr>
          <t xml:space="preserve">Benefit:  </t>
        </r>
        <r>
          <rPr>
            <sz val="12"/>
            <rFont val="Times New Roman"/>
            <family val="1"/>
          </rPr>
          <t>You get a +2 bonus on caster level checks (1d20 + caster level) made to overcome a creature’s spell resistance.
PHB 97</t>
        </r>
      </text>
    </comment>
    <comment ref="D28" authorId="0" shapeId="0" xr:uid="{00000000-0006-0000-0400-000003000000}">
      <text>
        <r>
          <rPr>
            <sz val="12"/>
            <color indexed="81"/>
            <rFont val="Times New Roman"/>
            <family val="1"/>
          </rPr>
          <t>Starting at 6th level, you can more easily overcome the spell resistance of any opponent you successfully injure
with a melee attack.
If you have injured an opponent with a melee attack, you gain a +2 bonus on your caster level check to overcome spell resistance for the remainder of the encounter.  This
bonus increases to +3 at 11th level, to +4 at 16th level, and to +5 at 18th level.
PHB II 20</t>
        </r>
      </text>
    </comment>
    <comment ref="D35" authorId="0" shapeId="0" xr:uid="{00000000-0006-0000-0400-000004000000}">
      <text>
        <r>
          <rPr>
            <sz val="12"/>
            <color indexed="81"/>
            <rFont val="Times New Roman"/>
            <family val="1"/>
          </rPr>
          <t>Balance, Climb, Escape Artist, Hide, Jump, Move Silently, Sleight of Hand, Tumble.</t>
        </r>
      </text>
    </comment>
    <comment ref="L36" authorId="0" shapeId="0" xr:uid="{00000000-0006-0000-0400-000005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 ref="A37" authorId="0" shapeId="0" xr:uid="{00000000-0006-0000-0400-000006000000}">
      <text>
        <r>
          <rPr>
            <sz val="12"/>
            <color indexed="81"/>
            <rFont val="Times New Roman"/>
            <family val="1"/>
          </rPr>
          <t>A restful crystal is a great boon to any warrior who must stay always at the ready.
Sleeping in armor that has this augment crystal attached does not make you fatigued.
MIC 25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6" authorId="0" shapeId="0" xr:uid="{30790EDF-00EB-4CC9-A51F-2F700EC55951}">
      <text>
        <r>
          <rPr>
            <sz val="12"/>
            <color indexed="81"/>
            <rFont val="Times New Roman"/>
            <family val="1"/>
          </rPr>
          <t>The wearer’s arcane spells per day are doubled for one specific spell level.  A ring of wizardry I doubles 1st-level spells, a ring of wizardry II doubles 2nd-level spells, a ring of wizardry III doubles 3rd-level spells, and a ring of wizardry IV doubles 4th-level spells.  Bonus spells from high ability scores or school specialization are not doubled.
DMG 233</t>
        </r>
      </text>
    </comment>
    <comment ref="A7" authorId="0" shapeId="0" xr:uid="{00000000-0006-0000-0500-000001000000}">
      <text>
        <r>
          <rPr>
            <b/>
            <sz val="12"/>
            <color indexed="81"/>
            <rFont val="Times New Roman"/>
            <family val="1"/>
          </rPr>
          <t xml:space="preserve">Price (Item Level):  </t>
        </r>
        <r>
          <rPr>
            <sz val="12"/>
            <color indexed="81"/>
            <rFont val="Times New Roman"/>
            <family val="1"/>
          </rPr>
          <t xml:space="preserve">2,000 gp (6th)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These sleek leather boots lean slightly forward, as if poised to leap.
While wearing dimension stride boots, you gain a +2 competence bonus on Jump checks.  This is a continuous effect and requires no activation.
In addition, the boots have 5 charges, which are renewed each day at dawn.
Spending 1 or more charges allows you to teleport a short distance (with no chance of error).  You must have line of sight and line of effect to your destination.  You can’t use the boots to move into a space occupied by another creature, nor can you teleport into a solid object; if you attempt to do so, the boots’ activation is wasted.  You can bring along objects weighing up to your maximum load, but you can’t bring other creatures.
</t>
        </r>
        <r>
          <rPr>
            <b/>
            <sz val="12"/>
            <color indexed="81"/>
            <rFont val="Times New Roman"/>
            <family val="1"/>
          </rPr>
          <t xml:space="preserve">1 charge: </t>
        </r>
        <r>
          <rPr>
            <sz val="12"/>
            <color indexed="81"/>
            <rFont val="Times New Roman"/>
            <family val="1"/>
          </rPr>
          <t xml:space="preserve">Teleport 20 feet.
</t>
        </r>
        <r>
          <rPr>
            <b/>
            <sz val="12"/>
            <color indexed="81"/>
            <rFont val="Times New Roman"/>
            <family val="1"/>
          </rPr>
          <t xml:space="preserve">3 charges: </t>
        </r>
        <r>
          <rPr>
            <sz val="12"/>
            <color indexed="81"/>
            <rFont val="Times New Roman"/>
            <family val="1"/>
          </rPr>
          <t xml:space="preserve">Teleport 40 feet.
</t>
        </r>
        <r>
          <rPr>
            <b/>
            <sz val="12"/>
            <color indexed="81"/>
            <rFont val="Times New Roman"/>
            <family val="1"/>
          </rPr>
          <t xml:space="preserve">5 charges: </t>
        </r>
        <r>
          <rPr>
            <sz val="12"/>
            <color indexed="81"/>
            <rFont val="Times New Roman"/>
            <family val="1"/>
          </rPr>
          <t>Teleport 60 feet.
Magic Item Compendium 94</t>
        </r>
      </text>
    </comment>
    <comment ref="A8" authorId="0" shapeId="0" xr:uid="{00000000-0006-0000-0500-000002000000}">
      <text>
        <r>
          <rPr>
            <sz val="12"/>
            <color indexed="81"/>
            <rFont val="Times New Roman"/>
            <family val="1"/>
          </rPr>
          <t xml:space="preserve">+2 competence bonus on Heal skill checks, 3 charges touch or self
</t>
        </r>
        <r>
          <rPr>
            <b/>
            <sz val="12"/>
            <color indexed="81"/>
            <rFont val="Times New Roman"/>
            <family val="1"/>
          </rPr>
          <t xml:space="preserve">1 charge:   </t>
        </r>
        <r>
          <rPr>
            <sz val="12"/>
            <color indexed="81"/>
            <rFont val="Times New Roman"/>
            <family val="1"/>
          </rPr>
          <t xml:space="preserve">heal 2d8 (positive energy)
</t>
        </r>
        <r>
          <rPr>
            <b/>
            <sz val="12"/>
            <color indexed="81"/>
            <rFont val="Times New Roman"/>
            <family val="1"/>
          </rPr>
          <t xml:space="preserve">2 charges:  </t>
        </r>
        <r>
          <rPr>
            <sz val="12"/>
            <color indexed="81"/>
            <rFont val="Times New Roman"/>
            <family val="1"/>
          </rPr>
          <t xml:space="preserve">heal 3d8
</t>
        </r>
        <r>
          <rPr>
            <b/>
            <sz val="12"/>
            <color indexed="81"/>
            <rFont val="Times New Roman"/>
            <family val="1"/>
          </rPr>
          <t xml:space="preserve">3 charges:  </t>
        </r>
        <r>
          <rPr>
            <sz val="12"/>
            <color indexed="81"/>
            <rFont val="Times New Roman"/>
            <family val="1"/>
          </rPr>
          <t>heal 4d8
Magic Item Compendium 110</t>
        </r>
      </text>
    </comment>
    <comment ref="A9" authorId="0" shapeId="0" xr:uid="{CCC4F12F-3CCC-4558-8B2F-DDDDF0620F3E}">
      <text>
        <r>
          <rPr>
            <sz val="12"/>
            <color indexed="81"/>
            <rFont val="Times New Roman"/>
            <family val="1"/>
          </rPr>
          <t xml:space="preserve">This device is about the size of a large die (perhaps 3/4 inch across) and can be made of ivory, bone, or any hard mineral.  It enables its possessor to put up a special wall of force 10 feet on a side around her person. This cubic screen moves with the character and is impervious to the attack forms mentioned on the table below.  The cube has 36 charges, which are renewed each day.  The possessor presses one face of the cube to activate a particular type of screen or to deactivate the device.  Each effect costs a certain number of charges to maintain for every minute (or portion of a minute) it is in operation.  Also, when an effect is active, the possessor’s speed is limited to the maximum value given on the table.
When the cube of force is active, attacks dealing more than 30 points of damage drain 1 charge for every 10 points of damage beyond 30 that they deal (40 points of damage drains 1 charge, 50 points drains 2 charges, and so forth).  Spells that affect the integrity of the screen, such as disintegrate and passwall, also drain extra charges.  These spells (given in the list below) cannot be cast into or out of the cube:
</t>
        </r>
        <r>
          <rPr>
            <b/>
            <sz val="12"/>
            <color indexed="81"/>
            <rFont val="Times New Roman"/>
            <family val="1"/>
          </rPr>
          <t xml:space="preserve">
Cube              Charge Cost           Maximum
Face                per Minute               Speed           Effect</t>
        </r>
        <r>
          <rPr>
            <sz val="12"/>
            <color indexed="81"/>
            <rFont val="Times New Roman"/>
            <family val="1"/>
          </rPr>
          <t xml:space="preserve">
1                             1                           30’             Keeps out gases, wind, etc.
2                             2                           20’             Keeps out nonliving matter
3                             3                           15’             Keeps out living matter
4                             4                           10’             Keeps out magic
5                             6                           10’             Keeps out all things
6                             0                     As normal        Deactivates
</t>
        </r>
        <r>
          <rPr>
            <b/>
            <sz val="12"/>
            <color indexed="81"/>
            <rFont val="Times New Roman"/>
            <family val="1"/>
          </rPr>
          <t>Attack Form                  Extra Charges</t>
        </r>
        <r>
          <rPr>
            <sz val="12"/>
            <color indexed="81"/>
            <rFont val="Times New Roman"/>
            <family val="1"/>
          </rPr>
          <t xml:space="preserve">
Horn of blasting                        6
Wall of fire                               2
Passwall                                   3
Disintegrate                              6
Phase door                                5
Prismatic spray                         7
DMG 253</t>
        </r>
      </text>
    </comment>
    <comment ref="A12" authorId="0" shapeId="0" xr:uid="{00000000-0006-0000-0500-000003000000}">
      <text>
        <r>
          <rPr>
            <sz val="12"/>
            <color indexed="81"/>
            <rFont val="Times New Roman"/>
            <family val="1"/>
          </rPr>
          <t>This item appears to be a normal cloak, but when worn by a character its magical properties distort and warp light waves.  This displacement works similar to the displacement spell except that it only grants a 20% miss chance on attacks against the wearer.  It functions continually.
DMG 253</t>
        </r>
      </text>
    </comment>
    <comment ref="A13" authorId="0" shapeId="0" xr:uid="{00000000-0006-0000-0500-000004000000}">
      <text>
        <r>
          <rPr>
            <b/>
            <sz val="12"/>
            <color indexed="81"/>
            <rFont val="Times New Roman"/>
            <family val="1"/>
          </rPr>
          <t xml:space="preserve">Price (Item Level):  </t>
        </r>
        <r>
          <rPr>
            <sz val="12"/>
            <color indexed="81"/>
            <rFont val="Times New Roman"/>
            <family val="1"/>
          </rPr>
          <t xml:space="preserve">2,300 gp (6th)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4th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Adorning a glossy silver chain, a spiral of pearl teardrops circles a colorless crystal sphere.
An amulet of tears has 3 charges, which are renewed each day at dawn.  Spending 1 or more charges when you activate the amulet grants you temporary hit points, as described below.  These hit points last for up to 10 minutes; they don’t stack with any other temporary hit points.
</t>
        </r>
        <r>
          <rPr>
            <b/>
            <sz val="12"/>
            <color indexed="81"/>
            <rFont val="Times New Roman"/>
            <family val="1"/>
          </rPr>
          <t xml:space="preserve">1 charge:  </t>
        </r>
        <r>
          <rPr>
            <sz val="12"/>
            <color indexed="81"/>
            <rFont val="Times New Roman"/>
            <family val="1"/>
          </rPr>
          <t xml:space="preserve">12 temporary hit points.
</t>
        </r>
        <r>
          <rPr>
            <b/>
            <sz val="12"/>
            <color indexed="81"/>
            <rFont val="Times New Roman"/>
            <family val="1"/>
          </rPr>
          <t xml:space="preserve">2 charges:  </t>
        </r>
        <r>
          <rPr>
            <sz val="12"/>
            <color indexed="81"/>
            <rFont val="Times New Roman"/>
            <family val="1"/>
          </rPr>
          <t xml:space="preserve">18 temporary hit points.
</t>
        </r>
        <r>
          <rPr>
            <b/>
            <sz val="12"/>
            <color indexed="81"/>
            <rFont val="Times New Roman"/>
            <family val="1"/>
          </rPr>
          <t xml:space="preserve">3 charges:  </t>
        </r>
        <r>
          <rPr>
            <sz val="12"/>
            <color indexed="81"/>
            <rFont val="Times New Roman"/>
            <family val="1"/>
          </rPr>
          <t>24 temporary hit points.
MIC 70</t>
        </r>
      </text>
    </comment>
    <comment ref="A14" authorId="0" shapeId="0" xr:uid="{00000000-0006-0000-0500-000005000000}">
      <text>
        <r>
          <rPr>
            <b/>
            <sz val="12"/>
            <color indexed="81"/>
            <rFont val="Times New Roman"/>
            <family val="1"/>
          </rPr>
          <t xml:space="preserve">Price (Item Level):  </t>
        </r>
        <r>
          <rPr>
            <sz val="12"/>
            <color indexed="81"/>
            <rFont val="Times New Roman"/>
            <family val="1"/>
          </rPr>
          <t xml:space="preserve">6,000 gp (10th)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This chain bears a large green crystal in its center.  Four smaller, removable charms of red crystal also hang from the pendant.
To use a farspeaking amulet, one character wears the central crystal, while up to four others carry the four removable, red crystals. Removable crystals don’t occupy a body slot, and can simply be carried.
Charms can be removed or replaced as a standard action.  The wearer can, with a standard (mental) action, return a single charm to the amulet from any distance, as long as it is on the same plane.
When you activate the amulet, you create a link between yourself and any or all of the characters carrying red charms, enabling all affected characters to converse as if standing together. This effect lasts for up to 10 minutes, and the amulet can be activated three times per day.  Only characters on the same plane as the amulet’s wearer can participate in the conversation.
If you also wear a magic item that grants you a competence bonus on Listen checks when you activate the amulet, you can choose to also listen to the environment of any or all of the characters in the conversation as if you were present.  The magic of the amulet allows you to differentiate between the various locations without undue confusion.
MIC 99</t>
        </r>
      </text>
    </comment>
    <comment ref="A18" authorId="0" shapeId="0" xr:uid="{00000000-0006-0000-0500-000006000000}">
      <text>
        <r>
          <rPr>
            <sz val="12"/>
            <color indexed="81"/>
            <rFont val="Times New Roman"/>
            <family val="1"/>
          </rPr>
          <t>All Gray Hand enforcers are given a small token, usually a clasp, ring, or brooch in the shape of a human hand, fingers together and palm out.  Civic officials of Waterdeep (including Lords, magistrates, and Watch and Guard officers) know the token by sight.  You gain a +5 bonus on any Charisma-based skill checks made against an officer or official of Waterdeep if you show the token.  A bearer of the token may not be arrested or hindered in Waterdeep unless the arresting official is a Lord, magistrate, or civilar of the Guard or Watch.
City of Splendors 78</t>
        </r>
      </text>
    </comment>
    <comment ref="A21" authorId="0" shapeId="0" xr:uid="{A57EDB2D-FBB6-481D-8898-1C2F6640B204}">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common-looking brown clay mug has persistent stains just under the rim.
Three times per day, when you recite the command word, this mug fills with 12 ounces of water, cheap ale, or watery wine (your choice).
</t>
        </r>
        <r>
          <rPr>
            <b/>
            <sz val="12"/>
            <color indexed="81"/>
            <rFont val="Times New Roman"/>
            <family val="1"/>
          </rPr>
          <t xml:space="preserve">Prerequisites:  </t>
        </r>
        <r>
          <rPr>
            <sz val="12"/>
            <color indexed="81"/>
            <rFont val="Times New Roman"/>
            <family val="1"/>
          </rPr>
          <t xml:space="preserve">Craft Wondrous Item, create water.
</t>
        </r>
        <r>
          <rPr>
            <b/>
            <sz val="12"/>
            <color indexed="81"/>
            <rFont val="Times New Roman"/>
            <family val="1"/>
          </rPr>
          <t xml:space="preserve">Cost to Create:  </t>
        </r>
        <r>
          <rPr>
            <sz val="12"/>
            <color indexed="81"/>
            <rFont val="Times New Roman"/>
            <family val="1"/>
          </rPr>
          <t>100 gp, 8 XP, 1 day.
MIC 160</t>
        </r>
      </text>
    </comment>
    <comment ref="A23" authorId="0" shapeId="0" xr:uid="{00000000-0006-0000-0500-000007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39" authorId="0" shapeId="0" xr:uid="{16485512-4723-4510-B103-7C0619DE2E83}">
      <text>
        <r>
          <rPr>
            <b/>
            <sz val="12"/>
            <color indexed="81"/>
            <rFont val="Times New Roman"/>
            <family val="1"/>
          </rPr>
          <t xml:space="preserve">Arcane Eye </t>
        </r>
        <r>
          <rPr>
            <sz val="12"/>
            <color indexed="81"/>
            <rFont val="Times New Roman"/>
            <family val="1"/>
          </rPr>
          <t>1/day, CL 10</t>
        </r>
      </text>
    </comment>
    <comment ref="A42" authorId="0" shapeId="0" xr:uid="{CB06A9AD-9E5F-4024-BAEF-2D373735C689}">
      <text>
        <r>
          <rPr>
            <b/>
            <sz val="12"/>
            <color indexed="81"/>
            <rFont val="Times New Roman"/>
            <family val="1"/>
          </rPr>
          <t xml:space="preserve">Price (Item Level):  </t>
        </r>
        <r>
          <rPr>
            <sz val="12"/>
            <color indexed="81"/>
            <rFont val="Times New Roman"/>
            <family val="1"/>
          </rPr>
          <t xml:space="preserve">800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conjuration
</t>
        </r>
        <r>
          <rPr>
            <b/>
            <sz val="12"/>
            <color indexed="81"/>
            <rFont val="Times New Roman"/>
            <family val="1"/>
          </rPr>
          <t xml:space="preserve">Activation:  </t>
        </r>
        <r>
          <rPr>
            <sz val="12"/>
            <color indexed="81"/>
            <rFont val="Times New Roman"/>
            <family val="1"/>
          </rPr>
          <t xml:space="preserve">Move
Five times per day, you can reach into this pouch and pull out a handful of caltrops (enough to cover a 5-foot square).  In addition to the activation cost, filling a 5-foot square with caltrops by hand requires a standard action.  The caltrops produced are not magical and follow all the rules for normal caltrops (PH 126).
</t>
        </r>
        <r>
          <rPr>
            <b/>
            <sz val="12"/>
            <color indexed="81"/>
            <rFont val="Times New Roman"/>
            <family val="1"/>
          </rPr>
          <t xml:space="preserve">Prerequisites: </t>
        </r>
        <r>
          <rPr>
            <sz val="12"/>
            <color indexed="81"/>
            <rFont val="Times New Roman"/>
            <family val="1"/>
          </rPr>
          <t xml:space="preserve"> Craft Wondrous Item,Leomund’s secret chest.
Cost to Create: 400 gp, 32 XP, 1 day.
MIC 151</t>
        </r>
      </text>
    </comment>
  </commentList>
</comments>
</file>

<file path=xl/sharedStrings.xml><?xml version="1.0" encoding="utf-8"?>
<sst xmlns="http://schemas.openxmlformats.org/spreadsheetml/2006/main" count="1016" uniqueCount="432">
  <si>
    <t>Properties</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</si>
  <si>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</si>
  <si>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</si>
  <si>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</si>
  <si>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</si>
  <si>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</si>
  <si>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</si>
  <si>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</si>
  <si>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</si>
  <si>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</si>
  <si>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</si>
  <si>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</si>
  <si>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</si>
  <si>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</si>
  <si>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</si>
  <si>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</si>
  <si>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</si>
  <si>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</si>
  <si>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</si>
  <si>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</si>
  <si>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</si>
  <si>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</si>
  <si>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</si>
  <si>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</si>
  <si>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</si>
  <si>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</si>
  <si>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</si>
  <si>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</si>
  <si>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</si>
  <si>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</si>
  <si>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</si>
  <si>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</si>
  <si>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</si>
  <si>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</si>
  <si>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</si>
  <si>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</si>
  <si>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</si>
  <si>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</si>
  <si>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</si>
  <si>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</si>
  <si>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</si>
  <si>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</si>
  <si>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</si>
  <si>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</si>
  <si>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</si>
  <si>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</si>
  <si>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</si>
  <si>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</si>
  <si>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</si>
  <si>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</si>
  <si>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</si>
  <si>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</si>
  <si>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Fortitude</t>
  </si>
  <si>
    <t>Reflex</t>
  </si>
  <si>
    <t>Will</t>
  </si>
  <si>
    <t>Armor &amp; Shield</t>
  </si>
  <si>
    <t>Missiles</t>
  </si>
  <si>
    <t>Languages</t>
  </si>
  <si>
    <t>Equipment Worn</t>
  </si>
  <si>
    <t>Item</t>
  </si>
  <si>
    <t>Effects/</t>
  </si>
  <si>
    <t>Notes</t>
  </si>
  <si>
    <t>Equipment Carried</t>
  </si>
  <si>
    <t>Check</t>
  </si>
  <si>
    <t>Arcane</t>
  </si>
  <si>
    <t>Speed</t>
  </si>
  <si>
    <t>Sleight of Hand</t>
  </si>
  <si>
    <t>Survival</t>
  </si>
  <si>
    <t>Atk</t>
  </si>
  <si>
    <t>Feats</t>
  </si>
  <si>
    <t>Simple &amp; Martial Weapons</t>
  </si>
  <si>
    <t>2</t>
  </si>
  <si>
    <t>1</t>
  </si>
  <si>
    <t>Slashing</t>
  </si>
  <si>
    <t>Backpack</t>
  </si>
  <si>
    <t>Bedroll</t>
  </si>
  <si>
    <t>Trail Rations</t>
  </si>
  <si>
    <t>Roll</t>
  </si>
  <si>
    <t>Perform:  [type]</t>
  </si>
  <si>
    <t>Knowledge:  Arcana</t>
  </si>
  <si>
    <t>Explorer’s Outfit</t>
  </si>
  <si>
    <t>Waterskin</t>
  </si>
  <si>
    <t>Belt Pouch</t>
  </si>
  <si>
    <t>Flint and Steel</t>
  </si>
  <si>
    <t>eight</t>
  </si>
  <si>
    <t>1d6</t>
  </si>
  <si>
    <t>30’</t>
  </si>
  <si>
    <t>Value</t>
  </si>
  <si>
    <t>Class Features</t>
  </si>
  <si>
    <t>Level</t>
  </si>
  <si>
    <t>-</t>
  </si>
  <si>
    <t>Duskblade</t>
  </si>
  <si>
    <t>Female</t>
  </si>
  <si>
    <t>5’ 3”</t>
  </si>
  <si>
    <t>120 lbs.</t>
  </si>
  <si>
    <t>Half-drow</t>
  </si>
  <si>
    <t>Knowledge:  Dungeoneering</t>
  </si>
  <si>
    <t>Knowledge:  History</t>
  </si>
  <si>
    <t>Knowledge:  Local</t>
  </si>
  <si>
    <t>Knowledge:  Nature</t>
  </si>
  <si>
    <t>Knowledge:  The Planes</t>
  </si>
  <si>
    <t>Speak Language</t>
  </si>
  <si>
    <t>Craft:  [type]</t>
  </si>
  <si>
    <t>Duskblade 1</t>
  </si>
  <si>
    <t>Duskblade 2</t>
  </si>
  <si>
    <t>Duskblade 3</t>
  </si>
  <si>
    <t>Duskblade 4</t>
  </si>
  <si>
    <t>Common, Elven, Undercommon</t>
  </si>
  <si>
    <t>Racial Abilities</t>
  </si>
  <si>
    <t>Immunity to Sleep magic</t>
  </si>
  <si>
    <t>+2 to Will saves vs. spells</t>
  </si>
  <si>
    <t>Light Blindness (-1 to checks)</t>
  </si>
  <si>
    <t>Darkvision 120’</t>
  </si>
  <si>
    <t>60’</t>
  </si>
  <si>
    <t>Arrows</t>
  </si>
  <si>
    <t>+0</t>
  </si>
  <si>
    <t>Arcane Attunement, 6/day</t>
  </si>
  <si>
    <t>Armored Mage (Medium)</t>
  </si>
  <si>
    <t>Proficiencies</t>
  </si>
  <si>
    <t>Shields (not tower)</t>
  </si>
  <si>
    <t>Armor (all)</t>
  </si>
  <si>
    <t>DC</t>
  </si>
  <si>
    <t>Cast?</t>
  </si>
  <si>
    <t>Instant</t>
  </si>
  <si>
    <t>100’ + 10’/lvl</t>
  </si>
  <si>
    <t>1 SA</t>
  </si>
  <si>
    <t>V S</t>
  </si>
  <si>
    <t>Evocation</t>
  </si>
  <si>
    <t>1 round</t>
  </si>
  <si>
    <t>Swift</t>
  </si>
  <si>
    <t>V S M</t>
  </si>
  <si>
    <t>1 rnd/lvl</t>
  </si>
  <si>
    <t>Touch</t>
  </si>
  <si>
    <t>Shocking Grasp</t>
  </si>
  <si>
    <t>25’ + 2½’/lvl</t>
  </si>
  <si>
    <t>Disrupt Undead</t>
  </si>
  <si>
    <t>Conjuration</t>
  </si>
  <si>
    <t>Duration</t>
  </si>
  <si>
    <t>Range</t>
  </si>
  <si>
    <t>Casting</t>
  </si>
  <si>
    <t>Components</t>
  </si>
  <si>
    <t>School</t>
  </si>
  <si>
    <t>Spell</t>
  </si>
  <si>
    <t>Spells</t>
  </si>
  <si>
    <t>Waterdeep</t>
  </si>
  <si>
    <t>PHB</t>
  </si>
  <si>
    <t>PHB II</t>
  </si>
  <si>
    <t>Reference</t>
  </si>
  <si>
    <t>Page</t>
  </si>
  <si>
    <t>Corellon Larethian</t>
  </si>
  <si>
    <t>Daze</t>
  </si>
  <si>
    <t>Enchantment</t>
  </si>
  <si>
    <t>Transmutation</t>
  </si>
  <si>
    <t>CROSS-CLASS SKILL</t>
  </si>
  <si>
    <t>Dimension Hop</t>
  </si>
  <si>
    <t>V</t>
  </si>
  <si>
    <t>+2 vs. Enchantments</t>
  </si>
  <si>
    <t>Ranged Touch Attack</t>
  </si>
  <si>
    <t>varies</t>
  </si>
  <si>
    <t>+2 vs. Enchantments; +2 vs. all spells</t>
  </si>
  <si>
    <t>Necromancy</t>
  </si>
  <si>
    <t>Amulet of Tears</t>
  </si>
  <si>
    <t>Lauren</t>
  </si>
  <si>
    <t>Grapple</t>
  </si>
  <si>
    <t>Armored Mage (Hvy. Shld.)</t>
  </si>
  <si>
    <t>Duskblade 5</t>
  </si>
  <si>
    <t>Duskblade 6</t>
  </si>
  <si>
    <t>Duskblade 7</t>
  </si>
  <si>
    <t>Duskblade 8</t>
  </si>
  <si>
    <t>Chaotic Neutral</t>
  </si>
  <si>
    <t>Total Equity:</t>
  </si>
  <si>
    <t>1st</t>
  </si>
  <si>
    <t>2nd</t>
  </si>
  <si>
    <t>3rd</t>
  </si>
  <si>
    <t>4th</t>
  </si>
  <si>
    <t>5th</t>
  </si>
  <si>
    <t>True Strike</t>
  </si>
  <si>
    <t>Swift Expeditious Retreat</t>
  </si>
  <si>
    <t>Acid Splash</t>
  </si>
  <si>
    <t>Touch of Fatigue</t>
  </si>
  <si>
    <t>Bull’s Strength</t>
  </si>
  <si>
    <t>1 min/lvl</t>
  </si>
  <si>
    <t>Personal</t>
  </si>
  <si>
    <t>Complete Adventurer</t>
  </si>
  <si>
    <t>Divination</t>
  </si>
  <si>
    <t>V F</t>
  </si>
  <si>
    <t>special</t>
  </si>
  <si>
    <t>V S M/DF</t>
  </si>
  <si>
    <t>10 min/lvl</t>
  </si>
  <si>
    <t>3rd:  Power Attack</t>
  </si>
  <si>
    <t>6th:  Improved Initiative</t>
  </si>
  <si>
    <t>2d4</t>
  </si>
  <si>
    <t>Healing Belt</t>
  </si>
  <si>
    <t>Treated as light armor</t>
  </si>
  <si>
    <t>Current XP Balance</t>
  </si>
  <si>
    <t>Previous XP Balance</t>
  </si>
  <si>
    <t>Extra XPs</t>
  </si>
  <si>
    <t xml:space="preserve"> Character award for this segment</t>
  </si>
  <si>
    <t>Maximum award for this segment</t>
  </si>
  <si>
    <t>Missed Posts</t>
  </si>
  <si>
    <t>Excellent</t>
  </si>
  <si>
    <t>%</t>
  </si>
  <si>
    <t>Vampiric Touch</t>
  </si>
  <si>
    <t>9th:  Maximize Spell</t>
  </si>
  <si>
    <t>2nd:  Combat Casting</t>
  </si>
  <si>
    <t>1st:  Knowledge Devotion</t>
  </si>
  <si>
    <t>Duskblade 9</t>
  </si>
  <si>
    <t>Know Direction</t>
  </si>
  <si>
    <t>Chill Touch</t>
  </si>
  <si>
    <t>Feather Fall</t>
  </si>
  <si>
    <t>Sleep</t>
  </si>
  <si>
    <t>Free</t>
  </si>
  <si>
    <t>Barkskin</t>
  </si>
  <si>
    <t>Resist Energy</t>
  </si>
  <si>
    <t>Touch of Idiocy</t>
  </si>
  <si>
    <t>Wracking Touch</t>
  </si>
  <si>
    <t>Inflict Serious Wounds</t>
  </si>
  <si>
    <t>instant</t>
  </si>
  <si>
    <t>Abjuration</t>
  </si>
  <si>
    <t>V S DF</t>
  </si>
  <si>
    <t>Personal Grooming Kit</t>
  </si>
  <si>
    <t>Casual Outfit</t>
  </si>
  <si>
    <t>Duskblade 10</t>
  </si>
  <si>
    <t>Wraithstrike</t>
  </si>
  <si>
    <t>Keen Edge</t>
  </si>
  <si>
    <t>Unarmed Punch/Kick</t>
  </si>
  <si>
    <t>1d4</t>
  </si>
  <si>
    <t>Bludgeon</t>
  </si>
  <si>
    <t>vs.</t>
  </si>
  <si>
    <t>undead</t>
  </si>
  <si>
    <t>Warcry</t>
  </si>
  <si>
    <t>400’ + 40’/lvl</t>
  </si>
  <si>
    <t>Spell Compendium</t>
  </si>
  <si>
    <t>Book of Exalted Deeds</t>
  </si>
  <si>
    <t>+5</t>
  </si>
  <si>
    <t>Unarmed, 2nd Attack</t>
  </si>
  <si>
    <t>Unarmed, 3rd Attack</t>
  </si>
  <si>
    <r>
      <t xml:space="preserve">Unarmed, </t>
    </r>
    <r>
      <rPr>
        <i/>
        <sz val="12"/>
        <rFont val="Times New Roman"/>
        <family val="1"/>
      </rPr>
      <t>haste</t>
    </r>
  </si>
  <si>
    <t>12th:  Spell Penetration</t>
  </si>
  <si>
    <t>Haste</t>
  </si>
  <si>
    <t>Ring of Feather Falling</t>
  </si>
  <si>
    <t>Dimension Stride Boots</t>
  </si>
  <si>
    <t>Duskblade 11</t>
  </si>
  <si>
    <t>Duskblade 12</t>
  </si>
  <si>
    <t>Stash:  Shipshape Way</t>
  </si>
  <si>
    <t>Gray Hand Token</t>
  </si>
  <si>
    <t>Critical Strike</t>
  </si>
  <si>
    <t>Soul of Anarchy*</t>
  </si>
  <si>
    <t>1 hour</t>
  </si>
  <si>
    <t>Dragon Magic</t>
  </si>
  <si>
    <t>Bladeweave*</t>
  </si>
  <si>
    <t>Illusion</t>
  </si>
  <si>
    <t>Fly, Swift</t>
  </si>
  <si>
    <t>Dragonskin</t>
  </si>
  <si>
    <t>S M</t>
  </si>
  <si>
    <t>Regroup</t>
  </si>
  <si>
    <t>Protection from Energy</t>
  </si>
  <si>
    <t>Channeled Pyroburst</t>
  </si>
  <si>
    <t>Dimension Door</t>
  </si>
  <si>
    <t>Dispel Magic</t>
  </si>
  <si>
    <t>Fire Shield</t>
  </si>
  <si>
    <t>Chain Lightning</t>
  </si>
  <si>
    <t>V S F</t>
  </si>
  <si>
    <t>Disintegrate</t>
  </si>
  <si>
    <t>Waves of Fatigue</t>
  </si>
  <si>
    <t>Special</t>
  </si>
  <si>
    <t>0th</t>
  </si>
  <si>
    <t>Total Daily Spells</t>
  </si>
  <si>
    <t>Caster Class</t>
  </si>
  <si>
    <t>CL</t>
  </si>
  <si>
    <t>Spell Effects</t>
  </si>
  <si>
    <t>Intelligence Bonus</t>
  </si>
  <si>
    <t>Daily Duskblade Spells</t>
  </si>
  <si>
    <t>Spell Penetration</t>
  </si>
  <si>
    <t>Campaign:  Cohort</t>
  </si>
  <si>
    <t>Scrolls and Potions</t>
  </si>
  <si>
    <t>CLev</t>
  </si>
  <si>
    <t>3</t>
  </si>
  <si>
    <t>Duskblade Spells</t>
  </si>
  <si>
    <t>Prcg/Slash</t>
  </si>
  <si>
    <t>Skill/Save</t>
  </si>
  <si>
    <t>Kukri +2</t>
  </si>
  <si>
    <t>1d4+2</t>
  </si>
  <si>
    <t>Blacklight, 1/day [in-house]</t>
  </si>
  <si>
    <t>Detect Magic &amp; Read Magic</t>
  </si>
  <si>
    <r>
      <t xml:space="preserve">+2 vs. Enchantments; +1 </t>
    </r>
    <r>
      <rPr>
        <i/>
        <sz val="13"/>
        <rFont val="Times New Roman"/>
        <family val="1"/>
      </rPr>
      <t>haste</t>
    </r>
  </si>
  <si>
    <t>Arcane Channeling (full attack)</t>
  </si>
  <si>
    <t>Duskblade 13</t>
  </si>
  <si>
    <t>Race</t>
  </si>
  <si>
    <t>Class</t>
  </si>
  <si>
    <t>Region</t>
  </si>
  <si>
    <t>Deity</t>
  </si>
  <si>
    <t>Alignment</t>
  </si>
  <si>
    <t>Attack Bonus</t>
  </si>
  <si>
    <t>Initiative</t>
  </si>
  <si>
    <t>XP</t>
  </si>
  <si>
    <t>Strength</t>
  </si>
  <si>
    <t>Dexterity</t>
  </si>
  <si>
    <t>Constitution</t>
  </si>
  <si>
    <t>Intelligence</t>
  </si>
  <si>
    <t>Wisdom</t>
  </si>
  <si>
    <t>Charisma</t>
  </si>
  <si>
    <t>Sex</t>
  </si>
  <si>
    <t>Age</t>
  </si>
  <si>
    <t>Height</t>
  </si>
  <si>
    <t>Weight</t>
  </si>
  <si>
    <t>Base Speed</t>
  </si>
  <si>
    <t>Actual Speed</t>
  </si>
  <si>
    <t>Leadership</t>
  </si>
  <si>
    <t>Lb. Capacity</t>
  </si>
  <si>
    <t>Lb. Carried</t>
  </si>
  <si>
    <t>Hit Points</t>
  </si>
  <si>
    <t>Touch AC</t>
  </si>
  <si>
    <t>FF AC</t>
  </si>
  <si>
    <t>Kukri, 2nd Attack</t>
  </si>
  <si>
    <t>Kukri, 3rd Attack</t>
  </si>
  <si>
    <t>AC</t>
  </si>
  <si>
    <t>Campaign:  Improved Cohort</t>
  </si>
  <si>
    <r>
      <t>86</t>
    </r>
    <r>
      <rPr>
        <sz val="13"/>
        <rFont val="Times New Roman"/>
        <family val="1"/>
      </rPr>
      <t>/</t>
    </r>
    <r>
      <rPr>
        <sz val="13"/>
        <color indexed="52"/>
        <rFont val="Times New Roman"/>
        <family val="1"/>
      </rPr>
      <t>173</t>
    </r>
    <r>
      <rPr>
        <sz val="13"/>
        <rFont val="Times New Roman"/>
        <family val="1"/>
      </rPr>
      <t>/</t>
    </r>
    <r>
      <rPr>
        <sz val="13"/>
        <color indexed="10"/>
        <rFont val="Times New Roman"/>
        <family val="1"/>
      </rPr>
      <t>260</t>
    </r>
  </si>
  <si>
    <t>Bypass Spell Resistance</t>
  </si>
  <si>
    <t>Bypass SR (Spell Power)</t>
  </si>
  <si>
    <t>ü</t>
  </si>
  <si>
    <t>Gloves of Dexterity +2</t>
  </si>
  <si>
    <t>Minor Cloak of Displacement</t>
  </si>
  <si>
    <t>Restful Crystal</t>
  </si>
  <si>
    <t>Bracers of Armor +5</t>
  </si>
  <si>
    <t>% Full:</t>
  </si>
  <si>
    <t>Exact Location</t>
  </si>
  <si>
    <t>Bedroom</t>
  </si>
  <si>
    <r>
      <t xml:space="preserve">Kukri, </t>
    </r>
    <r>
      <rPr>
        <i/>
        <sz val="12"/>
        <rFont val="Times New Roman"/>
        <family val="1"/>
      </rPr>
      <t>haste</t>
    </r>
  </si>
  <si>
    <t>+1</t>
  </si>
  <si>
    <t>+1 to touch spells</t>
  </si>
  <si>
    <t>Quick Cast 3/day</t>
  </si>
  <si>
    <t>Duskblade 14</t>
  </si>
  <si>
    <t>Duskblade 15</t>
  </si>
  <si>
    <t>Shattermantle Bloodstone Falchion +3</t>
  </si>
  <si>
    <t>SB Falchion +3, 2nd Attack</t>
  </si>
  <si>
    <t>SB Falchion +3, 3rd Attack</t>
  </si>
  <si>
    <r>
      <t xml:space="preserve">SB Falchion +3, </t>
    </r>
    <r>
      <rPr>
        <i/>
        <sz val="12"/>
        <rFont val="Times New Roman"/>
        <family val="1"/>
      </rPr>
      <t>haste</t>
    </r>
  </si>
  <si>
    <t>Arkenlyl, or Mageblade</t>
  </si>
  <si>
    <t>Greater Crystal of Arcane Steel</t>
  </si>
  <si>
    <t>+1 to spell DC</t>
  </si>
  <si>
    <t>Greater Truedeath Crystal</t>
  </si>
  <si>
    <t>Shortbow +2</t>
  </si>
  <si>
    <t>Shortbow +2 2nd Attack</t>
  </si>
  <si>
    <t>Shortbow +2, 3rd Attack</t>
  </si>
  <si>
    <t>Shortbow +2, haste</t>
  </si>
  <si>
    <t>Mithral Chain Shirt +4</t>
  </si>
  <si>
    <t>Ring of Protection +3</t>
  </si>
  <si>
    <t>Light Steel Shield +3</t>
  </si>
  <si>
    <t>Farspeaking Amulet</t>
  </si>
  <si>
    <t>Not normally worn</t>
  </si>
  <si>
    <t>50’ Rope</t>
  </si>
  <si>
    <t>Night Clothes</t>
  </si>
  <si>
    <t>Traveler’s Outfit</t>
  </si>
  <si>
    <t>Large Canteen</t>
  </si>
  <si>
    <t>1 gallon</t>
  </si>
  <si>
    <t>2-yd Bolt of Linen Cloth (for Rags or Towels)</t>
  </si>
  <si>
    <t>Camping Kit (Shared among All Three)</t>
  </si>
  <si>
    <t>Iron Pitons</t>
  </si>
  <si>
    <t>Climber’s Kit</t>
  </si>
  <si>
    <t>Stash:  The Westwood</t>
  </si>
  <si>
    <r>
      <rPr>
        <b/>
        <i/>
        <sz val="18"/>
        <color rgb="FF9966FF"/>
        <rFont val="Times New Roman"/>
        <family val="1"/>
      </rPr>
      <t xml:space="preserve">Minimum </t>
    </r>
    <r>
      <rPr>
        <i/>
        <sz val="18"/>
        <color rgb="FF9966FF"/>
        <rFont val="Times New Roman"/>
        <family val="1"/>
      </rPr>
      <t>Known Spells</t>
    </r>
  </si>
  <si>
    <t>five</t>
  </si>
  <si>
    <t>Thoroughness and clarity</t>
  </si>
  <si>
    <t>Level-appropriate use of skills, feats, limitations, and other features</t>
  </si>
  <si>
    <t>Convincing role-playing and character development</t>
  </si>
  <si>
    <t>Consistency with other characters’ actions and setting description</t>
  </si>
  <si>
    <t>Good</t>
  </si>
  <si>
    <t xml:space="preserve">Character: </t>
  </si>
  <si>
    <t>Duskblade 16</t>
  </si>
  <si>
    <t>Spell Power +4</t>
  </si>
  <si>
    <t>Profession:  City Watch</t>
  </si>
  <si>
    <t>Firewood</t>
  </si>
  <si>
    <t>Unidentified Items</t>
  </si>
  <si>
    <t>Helmet, gorget, epaulettes</t>
  </si>
  <si>
    <t>?</t>
  </si>
  <si>
    <t>Duskblade 17</t>
  </si>
  <si>
    <t>Bigby’s Clenched Fist</t>
  </si>
  <si>
    <t>Hold Monster</t>
  </si>
  <si>
    <t>Polar Ray</t>
  </si>
  <si>
    <t>Slashing Dispel</t>
  </si>
  <si>
    <t>Sonic Shield</t>
  </si>
  <si>
    <t>V S F/DF</t>
  </si>
  <si>
    <t>16th:  Arcane Strike</t>
  </si>
  <si>
    <t>Played by JR Roberts</t>
  </si>
  <si>
    <t>Vest of Resistance +3</t>
  </si>
  <si>
    <t>Larlum’s Greater Haverpack</t>
  </si>
  <si>
    <t>Humanoid and Dragon food</t>
  </si>
  <si>
    <t>*</t>
  </si>
  <si>
    <t>Larlum’s Equipment</t>
  </si>
  <si>
    <t>no armor or weapons</t>
  </si>
  <si>
    <t>Larlum’s Weapons</t>
  </si>
  <si>
    <t>Ring of Wizardry I</t>
  </si>
  <si>
    <t>Vorpal Falchion</t>
  </si>
  <si>
    <r>
      <t xml:space="preserve">Oil of </t>
    </r>
    <r>
      <rPr>
        <i/>
        <sz val="12"/>
        <rFont val="Times New Roman"/>
        <family val="1"/>
      </rPr>
      <t>Greater Magic Weapon</t>
    </r>
  </si>
  <si>
    <t>5</t>
  </si>
  <si>
    <t>8</t>
  </si>
  <si>
    <r>
      <t xml:space="preserve">Potion of </t>
    </r>
    <r>
      <rPr>
        <i/>
        <sz val="12"/>
        <rFont val="Times New Roman"/>
        <family val="1"/>
      </rPr>
      <t>Cure Moderate Wounds</t>
    </r>
  </si>
  <si>
    <r>
      <t xml:space="preserve">Scroll of </t>
    </r>
    <r>
      <rPr>
        <i/>
        <sz val="12"/>
        <rFont val="Times New Roman"/>
        <family val="1"/>
      </rPr>
      <t>True Seeing</t>
    </r>
  </si>
  <si>
    <r>
      <t xml:space="preserve">Wand of </t>
    </r>
    <r>
      <rPr>
        <i/>
        <sz val="12"/>
        <rFont val="Times New Roman"/>
        <family val="1"/>
      </rPr>
      <t>Raise Dead</t>
    </r>
  </si>
  <si>
    <t>Cube of Force</t>
  </si>
  <si>
    <t>36 charges / day</t>
  </si>
  <si>
    <t>Everfull Mug</t>
  </si>
  <si>
    <t>Attention to spelling &amp; punctuation; consistent use of past tense, third person</t>
  </si>
  <si>
    <t>Hastened Carpet of Flying, 10’ x 10’</t>
  </si>
  <si>
    <t>60’ fly (perfect); Reflex DC 14 to avoid FF while standing</t>
  </si>
  <si>
    <t>Maltholas</t>
  </si>
  <si>
    <t>x</t>
  </si>
  <si>
    <t>18</t>
  </si>
  <si>
    <t>19</t>
  </si>
  <si>
    <t>20</t>
  </si>
  <si>
    <t>MW Dagger</t>
  </si>
  <si>
    <t>MW Dagger, 2nd Attack</t>
  </si>
  <si>
    <t>MW Dagger, 3rd Attack</t>
  </si>
  <si>
    <r>
      <t xml:space="preserve">MW Dagger, </t>
    </r>
    <r>
      <rPr>
        <i/>
        <sz val="12"/>
        <rFont val="Times New Roman"/>
        <family val="1"/>
      </rPr>
      <t>haste</t>
    </r>
  </si>
  <si>
    <t>Crit</t>
  </si>
  <si>
    <t>üü</t>
  </si>
  <si>
    <t>Heward’s Handy Haversack</t>
  </si>
  <si>
    <t>Intelligent Brooch of Denial</t>
  </si>
  <si>
    <t>Does not impart neg.lvl, but changes alignment to CE</t>
  </si>
  <si>
    <t>+2 to Climb</t>
  </si>
  <si>
    <t>Silk Rope</t>
  </si>
  <si>
    <t>100’</t>
  </si>
  <si>
    <t>Bag of Endless Caltrops</t>
  </si>
  <si>
    <t>Thieves’ Tools, Masterwork</t>
  </si>
  <si>
    <t>+2 to Disable Device &amp; Open Locks</t>
  </si>
  <si>
    <t>Oil Flask</t>
  </si>
  <si>
    <t>Skull Shard</t>
  </si>
  <si>
    <t>INFO ON GWEN’S SHEET</t>
  </si>
  <si>
    <t>15 charges</t>
  </si>
  <si>
    <t>SB Falchion +3, 4th Attack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</si>
</sst>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 [$₲-474]"/>
  </numFmts>
  <fonts count="72">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1"/>
      <color indexed="12"/>
      <name val="Times New Roman"/>
      <family val="1"/>
    </font>
    <font>
      <i/>
      <sz val="12"/>
      <color indexed="81"/>
      <name val="Times New Roman"/>
      <family val="1"/>
    </font>
    <font>
      <i/>
      <sz val="18"/>
      <color rgb="FF0000FF"/>
      <name val="Times New Roman"/>
      <family val="1"/>
    </font>
    <font>
      <b/>
      <sz val="12"/>
      <color theme="1"/>
      <name val="Times New Roman"/>
      <family val="1"/>
    </font>
    <font>
      <i/>
      <sz val="16"/>
      <color indexed="53"/>
      <name val="Times New Roman"/>
      <family val="1"/>
    </font>
    <font>
      <i/>
      <sz val="16"/>
      <color indexed="17"/>
      <name val="Times New Roman"/>
      <family val="1"/>
    </font>
    <font>
      <i/>
      <sz val="16"/>
      <color indexed="10"/>
      <name val="Times New Roman"/>
      <family val="1"/>
    </font>
    <font>
      <i/>
      <sz val="16"/>
      <color indexed="57"/>
      <name val="Times New Roman"/>
      <family val="1"/>
    </font>
    <font>
      <i/>
      <sz val="11"/>
      <color rgb="FF0000FF"/>
      <name val="Times New Roman"/>
      <family val="1"/>
    </font>
    <font>
      <sz val="12"/>
      <name val="Times New Roman"/>
      <family val="1"/>
    </font>
    <font>
      <i/>
      <sz val="17"/>
      <name val="Times New Roman"/>
      <family val="1"/>
    </font>
    <font>
      <sz val="13"/>
      <color rgb="FF0000FF"/>
      <name val="Times New Roman"/>
      <family val="1"/>
    </font>
    <font>
      <b/>
      <sz val="12"/>
      <color rgb="FFFF0000"/>
      <name val="Times New Roman"/>
      <family val="1"/>
    </font>
    <font>
      <i/>
      <sz val="12"/>
      <name val="Times New Roman"/>
      <family val="1"/>
    </font>
    <font>
      <b/>
      <sz val="12"/>
      <color theme="0"/>
      <name val="Times New Roman"/>
      <family val="1"/>
    </font>
    <font>
      <i/>
      <sz val="18"/>
      <color rgb="FF7030A0"/>
      <name val="Times New Roman"/>
      <family val="1"/>
    </font>
    <font>
      <sz val="13"/>
      <color rgb="FF7030A0"/>
      <name val="Times New Roman"/>
      <family val="1"/>
    </font>
    <font>
      <i/>
      <sz val="22"/>
      <color rgb="FF9966FF"/>
      <name val="Times New Roman"/>
      <family val="1"/>
    </font>
    <font>
      <i/>
      <sz val="12"/>
      <color rgb="FF00FFFF"/>
      <name val="Times New Roman"/>
      <family val="1"/>
    </font>
    <font>
      <i/>
      <sz val="13"/>
      <name val="Times New Roman"/>
      <family val="1"/>
    </font>
    <font>
      <sz val="12"/>
      <name val="Wingdings"/>
      <charset val="2"/>
    </font>
    <font>
      <i/>
      <sz val="18"/>
      <color rgb="FF9966FF"/>
      <name val="Times New Roman"/>
      <family val="1"/>
    </font>
    <font>
      <b/>
      <i/>
      <sz val="18"/>
      <color rgb="FF9966FF"/>
      <name val="Times New Roman"/>
      <family val="1"/>
    </font>
    <font>
      <b/>
      <sz val="12"/>
      <color rgb="FF9966FF"/>
      <name val="Times New Roman"/>
      <family val="1"/>
    </font>
    <font>
      <sz val="12"/>
      <color rgb="FF9966FF"/>
      <name val="Times New Roman"/>
      <family val="1"/>
    </font>
    <font>
      <sz val="12"/>
      <color rgb="FFFF0000"/>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rgb="FF9966FF"/>
        <bgColor indexed="64"/>
      </patternFill>
    </fill>
    <fill>
      <patternFill patternType="solid">
        <fgColor theme="0"/>
        <bgColor indexed="64"/>
      </patternFill>
    </fill>
    <fill>
      <patternFill patternType="solid">
        <fgColor rgb="FFFFFF00"/>
        <bgColor indexed="64"/>
      </patternFill>
    </fill>
    <fill>
      <patternFill patternType="lightVertical">
        <fgColor rgb="FFFFFF00"/>
        <bgColor rgb="FF9966FF"/>
      </patternFill>
    </fill>
  </fills>
  <borders count="14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thin">
        <color auto="1"/>
      </right>
      <top/>
      <bottom style="thin">
        <color auto="1"/>
      </bottom>
      <diagonal/>
    </border>
    <border>
      <left/>
      <right style="medium">
        <color auto="1"/>
      </right>
      <top style="thin">
        <color auto="1"/>
      </top>
      <bottom style="thin">
        <color auto="1"/>
      </bottom>
      <diagonal/>
    </border>
    <border>
      <left style="double">
        <color indexed="64"/>
      </left>
      <right style="double">
        <color indexed="64"/>
      </right>
      <top style="medium">
        <color indexed="64"/>
      </top>
      <bottom/>
      <diagonal/>
    </border>
    <border>
      <left style="double">
        <color indexed="64"/>
      </left>
      <right style="double">
        <color indexed="64"/>
      </right>
      <top style="medium">
        <color indexed="64"/>
      </top>
      <bottom style="hair">
        <color indexed="64"/>
      </bottom>
      <diagonal/>
    </border>
    <border>
      <left style="double">
        <color indexed="64"/>
      </left>
      <right/>
      <top style="double">
        <color indexed="64"/>
      </top>
      <bottom style="thick">
        <color rgb="FF00B0F0"/>
      </bottom>
      <diagonal/>
    </border>
    <border>
      <left/>
      <right/>
      <top style="double">
        <color indexed="64"/>
      </top>
      <bottom style="thick">
        <color rgb="FF00B0F0"/>
      </bottom>
      <diagonal/>
    </border>
    <border>
      <left/>
      <right style="double">
        <color indexed="64"/>
      </right>
      <top style="double">
        <color indexed="64"/>
      </top>
      <bottom style="thick">
        <color rgb="FF00B0F0"/>
      </bottom>
      <diagonal/>
    </border>
    <border>
      <left/>
      <right style="double">
        <color indexed="64"/>
      </right>
      <top style="thin">
        <color indexed="64"/>
      </top>
      <bottom style="double">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indexed="64"/>
      </right>
      <top style="double">
        <color auto="1"/>
      </top>
      <bottom style="thin">
        <color auto="1"/>
      </bottom>
      <diagonal/>
    </border>
    <border>
      <left/>
      <right/>
      <top style="thin">
        <color auto="1"/>
      </top>
      <bottom style="double">
        <color indexed="64"/>
      </bottom>
      <diagonal/>
    </border>
    <border>
      <left style="double">
        <color indexed="64"/>
      </left>
      <right style="double">
        <color indexed="64"/>
      </right>
      <top/>
      <bottom/>
      <diagonal/>
    </border>
    <border>
      <left/>
      <right style="double">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right style="hair">
        <color indexed="64"/>
      </right>
      <top/>
      <bottom style="hair">
        <color indexed="64"/>
      </bottom>
      <diagonal/>
    </border>
    <border>
      <left style="double">
        <color auto="1"/>
      </left>
      <right style="medium">
        <color auto="1"/>
      </right>
      <top style="hair">
        <color indexed="64"/>
      </top>
      <bottom style="hair">
        <color indexed="64"/>
      </bottom>
      <diagonal/>
    </border>
    <border>
      <left/>
      <right style="hair">
        <color indexed="64"/>
      </right>
      <top style="hair">
        <color indexed="64"/>
      </top>
      <bottom style="hair">
        <color indexed="64"/>
      </bottom>
      <diagonal/>
    </border>
    <border>
      <left style="double">
        <color auto="1"/>
      </left>
      <right style="medium">
        <color auto="1"/>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style="medium">
        <color auto="1"/>
      </right>
      <top style="thin">
        <color auto="1"/>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hair">
        <color indexed="64"/>
      </top>
      <bottom style="thin">
        <color indexed="64"/>
      </bottom>
      <diagonal/>
    </border>
    <border>
      <left style="thin">
        <color indexed="64"/>
      </left>
      <right style="double">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hair">
        <color indexed="64"/>
      </top>
      <bottom/>
      <diagonal/>
    </border>
    <border>
      <left style="hair">
        <color indexed="64"/>
      </left>
      <right/>
      <top style="hair">
        <color indexed="64"/>
      </top>
      <bottom/>
      <diagonal/>
    </border>
    <border>
      <left style="double">
        <color indexed="64"/>
      </left>
      <right style="hair">
        <color indexed="64"/>
      </right>
      <top style="hair">
        <color indexed="64"/>
      </top>
      <bottom style="hair">
        <color indexed="64"/>
      </bottom>
      <diagonal/>
    </border>
    <border>
      <left/>
      <right style="hair">
        <color indexed="64"/>
      </right>
      <top style="hair">
        <color indexed="64"/>
      </top>
      <bottom/>
      <diagonal/>
    </border>
  </borders>
  <cellStyleXfs count="10">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4" fillId="0" borderId="0"/>
    <xf numFmtId="0" fontId="1" fillId="0" borderId="0"/>
    <xf numFmtId="0" fontId="35" fillId="0" borderId="0"/>
    <xf numFmtId="9" fontId="1" fillId="0" borderId="0" applyFont="0" applyFill="0" applyBorder="0" applyAlignment="0" applyProtection="0"/>
    <xf numFmtId="0" fontId="1" fillId="0" borderId="0"/>
    <xf numFmtId="43" fontId="55" fillId="0" borderId="0" applyFont="0" applyFill="0" applyBorder="0" applyAlignment="0" applyProtection="0"/>
  </cellStyleXfs>
  <cellXfs count="584">
    <xf numFmtId="0" fontId="0" fillId="0" borderId="0" xfId="0"/>
    <xf numFmtId="0" fontId="11" fillId="3" borderId="59" xfId="0" applyFont="1" applyFill="1" applyBorder="1" applyAlignment="1">
      <alignment horizontal="centerContinuous" vertical="center"/>
    </xf>
    <xf numFmtId="0" fontId="11" fillId="3" borderId="33" xfId="0" applyFont="1" applyFill="1" applyBorder="1" applyAlignment="1">
      <alignment horizontal="center" vertical="center"/>
    </xf>
    <xf numFmtId="0" fontId="11" fillId="3" borderId="33" xfId="0" applyFont="1" applyFill="1" applyBorder="1" applyAlignment="1">
      <alignment horizontal="center" vertical="center" wrapText="1"/>
    </xf>
    <xf numFmtId="0" fontId="11" fillId="3" borderId="33" xfId="0" applyNumberFormat="1" applyFont="1" applyFill="1" applyBorder="1" applyAlignment="1">
      <alignment horizontal="center" vertical="center"/>
    </xf>
    <xf numFmtId="0" fontId="11" fillId="3" borderId="60" xfId="0" applyFont="1" applyFill="1" applyBorder="1" applyAlignment="1">
      <alignment horizontal="center" vertical="center"/>
    </xf>
    <xf numFmtId="1" fontId="1" fillId="0" borderId="69" xfId="0" applyNumberFormat="1" applyFont="1" applyBorder="1" applyAlignment="1">
      <alignment horizontal="center" vertical="center"/>
    </xf>
    <xf numFmtId="0" fontId="1" fillId="0" borderId="69" xfId="0" applyFont="1" applyFill="1" applyBorder="1" applyAlignment="1">
      <alignment horizontal="center" vertical="center"/>
    </xf>
    <xf numFmtId="0" fontId="1" fillId="0" borderId="69" xfId="0" quotePrefix="1" applyFont="1" applyFill="1" applyBorder="1" applyAlignment="1">
      <alignment horizontal="center" vertical="center" wrapText="1"/>
    </xf>
    <xf numFmtId="49" fontId="1" fillId="0" borderId="69" xfId="2" applyNumberFormat="1" applyFont="1" applyFill="1" applyBorder="1" applyAlignment="1">
      <alignment horizontal="center" vertical="center"/>
    </xf>
    <xf numFmtId="0" fontId="1" fillId="0" borderId="69" xfId="0" applyFont="1" applyFill="1" applyBorder="1" applyAlignment="1">
      <alignment horizontal="center" vertical="center" shrinkToFit="1"/>
    </xf>
    <xf numFmtId="164" fontId="1" fillId="0" borderId="69" xfId="0" applyNumberFormat="1" applyFont="1" applyFill="1" applyBorder="1" applyAlignment="1">
      <alignment horizontal="center" vertical="center"/>
    </xf>
    <xf numFmtId="1" fontId="45" fillId="9" borderId="71" xfId="0" applyNumberFormat="1" applyFont="1" applyFill="1" applyBorder="1" applyAlignment="1">
      <alignment horizontal="center" vertical="center"/>
    </xf>
    <xf numFmtId="164" fontId="4" fillId="0" borderId="71" xfId="0" applyNumberFormat="1" applyFont="1" applyFill="1" applyBorder="1" applyAlignment="1">
      <alignment horizontal="center"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5" fillId="4" borderId="64" xfId="0" applyFont="1" applyFill="1" applyBorder="1" applyAlignment="1">
      <alignment horizontal="right" vertical="center"/>
    </xf>
    <xf numFmtId="0" fontId="5" fillId="4" borderId="78" xfId="0" applyFont="1" applyFill="1" applyBorder="1" applyAlignment="1">
      <alignment horizontal="right" vertical="center"/>
    </xf>
    <xf numFmtId="49" fontId="6" fillId="0" borderId="67"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4" xfId="0" applyFont="1" applyFill="1" applyBorder="1" applyAlignment="1">
      <alignment horizontal="right" vertical="center"/>
    </xf>
    <xf numFmtId="0" fontId="5" fillId="4" borderId="79" xfId="0" applyFont="1" applyFill="1" applyBorder="1" applyAlignment="1">
      <alignment horizontal="right" vertical="center"/>
    </xf>
    <xf numFmtId="49" fontId="6" fillId="0" borderId="29" xfId="0" applyNumberFormat="1" applyFont="1" applyFill="1" applyBorder="1" applyAlignment="1">
      <alignment horizontal="center" vertical="center"/>
    </xf>
    <xf numFmtId="0" fontId="3" fillId="4" borderId="11" xfId="0" applyFont="1" applyFill="1" applyBorder="1" applyAlignment="1">
      <alignment horizontal="right" vertical="center"/>
    </xf>
    <xf numFmtId="0" fontId="7" fillId="2" borderId="14" xfId="0" applyFont="1" applyFill="1" applyBorder="1" applyAlignment="1">
      <alignment horizontal="right" vertical="center"/>
    </xf>
    <xf numFmtId="0" fontId="7" fillId="4" borderId="56" xfId="0" applyFont="1" applyFill="1" applyBorder="1" applyAlignment="1">
      <alignment horizontal="right" vertical="center"/>
    </xf>
    <xf numFmtId="0" fontId="12" fillId="2" borderId="4" xfId="0" applyFont="1" applyFill="1" applyBorder="1" applyAlignment="1">
      <alignment horizontal="right" vertical="center"/>
    </xf>
    <xf numFmtId="0" fontId="7" fillId="4" borderId="54" xfId="0" applyFont="1" applyFill="1" applyBorder="1" applyAlignment="1">
      <alignment horizontal="right" vertical="center"/>
    </xf>
    <xf numFmtId="164" fontId="5" fillId="5" borderId="27"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5" fillId="0" borderId="26" xfId="0" applyFont="1" applyBorder="1" applyAlignment="1">
      <alignment horizontal="center" vertical="center"/>
    </xf>
    <xf numFmtId="0" fontId="36" fillId="2" borderId="4" xfId="0" applyFont="1" applyFill="1" applyBorder="1" applyAlignment="1">
      <alignment horizontal="right" vertical="center"/>
    </xf>
    <xf numFmtId="0" fontId="10" fillId="4" borderId="54"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6" xfId="0" applyFont="1" applyFill="1" applyBorder="1" applyAlignment="1">
      <alignment horizontal="right" vertical="center"/>
    </xf>
    <xf numFmtId="0" fontId="10" fillId="4" borderId="55"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24" fillId="0" borderId="21"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39" fillId="0" borderId="1" xfId="0" applyFont="1" applyFill="1" applyBorder="1" applyAlignment="1">
      <alignment vertical="center"/>
    </xf>
    <xf numFmtId="0" fontId="6" fillId="0" borderId="23" xfId="0" applyFont="1" applyFill="1" applyBorder="1" applyAlignment="1">
      <alignment horizontal="center" vertical="center"/>
    </xf>
    <xf numFmtId="0" fontId="41" fillId="9" borderId="24" xfId="0" applyNumberFormat="1" applyFont="1" applyFill="1" applyBorder="1" applyAlignment="1">
      <alignment horizontal="center" vertical="center"/>
    </xf>
    <xf numFmtId="0" fontId="42" fillId="0" borderId="1" xfId="0" applyFont="1" applyFill="1" applyBorder="1" applyAlignment="1">
      <alignment vertical="center"/>
    </xf>
    <xf numFmtId="0" fontId="12" fillId="0" borderId="24"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0" fillId="0" borderId="61" xfId="0" applyFont="1" applyFill="1" applyBorder="1" applyAlignment="1">
      <alignment vertical="center"/>
    </xf>
    <xf numFmtId="0" fontId="6" fillId="0" borderId="62" xfId="0" applyFont="1" applyFill="1" applyBorder="1" applyAlignment="1">
      <alignment horizontal="center" vertical="center"/>
    </xf>
    <xf numFmtId="0" fontId="41" fillId="9" borderId="62" xfId="0" applyNumberFormat="1" applyFont="1" applyFill="1" applyBorder="1" applyAlignment="1">
      <alignment horizontal="center" vertical="center"/>
    </xf>
    <xf numFmtId="0" fontId="10" fillId="0" borderId="1" xfId="0" applyFont="1" applyFill="1" applyBorder="1" applyAlignment="1">
      <alignment vertical="center"/>
    </xf>
    <xf numFmtId="0" fontId="6" fillId="0" borderId="23" xfId="0" applyNumberFormat="1" applyFont="1" applyFill="1" applyBorder="1" applyAlignment="1">
      <alignment horizontal="center" vertical="center"/>
    </xf>
    <xf numFmtId="49" fontId="16" fillId="0" borderId="23" xfId="0" applyNumberFormat="1" applyFont="1" applyFill="1" applyBorder="1" applyAlignment="1">
      <alignment horizontal="center" vertical="center"/>
    </xf>
    <xf numFmtId="0" fontId="16" fillId="0" borderId="24" xfId="0" applyNumberFormat="1" applyFont="1" applyFill="1" applyBorder="1" applyAlignment="1">
      <alignment horizontal="center" vertical="center"/>
    </xf>
    <xf numFmtId="0" fontId="10" fillId="0" borderId="24"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3" xfId="0" applyNumberFormat="1" applyFont="1" applyFill="1" applyBorder="1" applyAlignment="1">
      <alignment horizontal="center" vertical="center"/>
    </xf>
    <xf numFmtId="0" fontId="23" fillId="0" borderId="24" xfId="0" applyNumberFormat="1" applyFont="1" applyFill="1" applyBorder="1" applyAlignment="1">
      <alignment horizontal="center" vertical="center"/>
    </xf>
    <xf numFmtId="0" fontId="41" fillId="9" borderId="23"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2" fillId="0" borderId="23" xfId="0" applyNumberFormat="1" applyFont="1" applyFill="1" applyBorder="1" applyAlignment="1">
      <alignment horizontal="center" vertical="center"/>
    </xf>
    <xf numFmtId="0" fontId="22" fillId="0" borderId="24" xfId="0" applyNumberFormat="1" applyFont="1" applyFill="1" applyBorder="1" applyAlignment="1">
      <alignment horizontal="center" vertical="center"/>
    </xf>
    <xf numFmtId="0" fontId="13" fillId="0" borderId="24" xfId="0" applyNumberFormat="1" applyFont="1" applyFill="1" applyBorder="1" applyAlignment="1">
      <alignment horizontal="center" vertical="center"/>
    </xf>
    <xf numFmtId="0" fontId="29" fillId="0" borderId="0" xfId="0" applyFont="1" applyBorder="1" applyAlignment="1">
      <alignment vertical="center"/>
    </xf>
    <xf numFmtId="0" fontId="7" fillId="6" borderId="1" xfId="0" applyFont="1" applyFill="1" applyBorder="1" applyAlignment="1">
      <alignment vertical="center"/>
    </xf>
    <xf numFmtId="0" fontId="6" fillId="6" borderId="23" xfId="0" applyNumberFormat="1" applyFont="1" applyFill="1" applyBorder="1" applyAlignment="1">
      <alignment horizontal="center" vertical="center"/>
    </xf>
    <xf numFmtId="49" fontId="17" fillId="6" borderId="23" xfId="0" applyNumberFormat="1" applyFont="1" applyFill="1" applyBorder="1" applyAlignment="1">
      <alignment horizontal="center" vertical="center"/>
    </xf>
    <xf numFmtId="0" fontId="17" fillId="6" borderId="24" xfId="0" applyNumberFormat="1" applyFont="1" applyFill="1" applyBorder="1" applyAlignment="1">
      <alignment horizontal="center" vertical="center"/>
    </xf>
    <xf numFmtId="0" fontId="7" fillId="6" borderId="24" xfId="0" applyNumberFormat="1" applyFont="1" applyFill="1" applyBorder="1" applyAlignment="1">
      <alignment horizontal="center" vertical="center"/>
    </xf>
    <xf numFmtId="49" fontId="6" fillId="6" borderId="24" xfId="0" applyNumberFormat="1" applyFont="1" applyFill="1" applyBorder="1" applyAlignment="1">
      <alignment horizontal="center" vertical="center"/>
    </xf>
    <xf numFmtId="0" fontId="6" fillId="6" borderId="25" xfId="0" applyNumberFormat="1" applyFont="1" applyFill="1" applyBorder="1" applyAlignment="1">
      <alignment horizontal="center" vertical="center"/>
    </xf>
    <xf numFmtId="0" fontId="28" fillId="0" borderId="0" xfId="0" applyFont="1" applyBorder="1" applyAlignment="1">
      <alignment vertical="center"/>
    </xf>
    <xf numFmtId="0" fontId="10" fillId="6" borderId="1" xfId="0" applyFont="1" applyFill="1" applyBorder="1" applyAlignment="1">
      <alignment vertical="center"/>
    </xf>
    <xf numFmtId="49" fontId="16" fillId="6" borderId="23" xfId="0" applyNumberFormat="1" applyFont="1" applyFill="1" applyBorder="1" applyAlignment="1">
      <alignment horizontal="center" vertical="center"/>
    </xf>
    <xf numFmtId="0" fontId="16" fillId="6" borderId="24" xfId="0" applyNumberFormat="1" applyFont="1" applyFill="1" applyBorder="1" applyAlignment="1">
      <alignment horizontal="center" vertical="center"/>
    </xf>
    <xf numFmtId="0" fontId="10" fillId="6" borderId="24" xfId="0" applyNumberFormat="1" applyFont="1" applyFill="1" applyBorder="1" applyAlignment="1">
      <alignment horizontal="center" vertical="center"/>
    </xf>
    <xf numFmtId="0" fontId="10" fillId="8" borderId="1" xfId="0" applyFont="1" applyFill="1" applyBorder="1" applyAlignment="1">
      <alignment vertical="center"/>
    </xf>
    <xf numFmtId="0" fontId="6" fillId="8" borderId="23" xfId="0" applyNumberFormat="1" applyFont="1" applyFill="1" applyBorder="1" applyAlignment="1">
      <alignment horizontal="center" vertical="center"/>
    </xf>
    <xf numFmtId="49" fontId="16" fillId="8" borderId="23" xfId="0" applyNumberFormat="1" applyFont="1" applyFill="1" applyBorder="1" applyAlignment="1">
      <alignment horizontal="center" vertical="center"/>
    </xf>
    <xf numFmtId="0" fontId="16" fillId="8" borderId="24" xfId="0" applyNumberFormat="1" applyFont="1" applyFill="1" applyBorder="1" applyAlignment="1">
      <alignment horizontal="center" vertical="center"/>
    </xf>
    <xf numFmtId="0" fontId="10" fillId="8" borderId="24" xfId="0" applyNumberFormat="1" applyFont="1" applyFill="1" applyBorder="1" applyAlignment="1">
      <alignment horizontal="center" vertical="center"/>
    </xf>
    <xf numFmtId="49" fontId="6" fillId="8" borderId="24" xfId="0" applyNumberFormat="1" applyFont="1" applyFill="1" applyBorder="1" applyAlignment="1">
      <alignment horizontal="center" vertical="center"/>
    </xf>
    <xf numFmtId="0" fontId="6" fillId="8" borderId="25" xfId="0" applyNumberFormat="1" applyFont="1" applyFill="1" applyBorder="1" applyAlignment="1">
      <alignment horizontal="center" vertical="center"/>
    </xf>
    <xf numFmtId="0" fontId="30" fillId="0" borderId="0" xfId="0" applyFont="1" applyBorder="1" applyAlignment="1">
      <alignment vertical="center"/>
    </xf>
    <xf numFmtId="0" fontId="21" fillId="6" borderId="1" xfId="0" applyFont="1" applyFill="1" applyBorder="1" applyAlignment="1">
      <alignment vertical="center"/>
    </xf>
    <xf numFmtId="49" fontId="27" fillId="6" borderId="23" xfId="0" applyNumberFormat="1" applyFont="1" applyFill="1" applyBorder="1" applyAlignment="1">
      <alignment horizontal="center" vertical="center"/>
    </xf>
    <xf numFmtId="0" fontId="27" fillId="6" borderId="24" xfId="0" applyNumberFormat="1" applyFont="1" applyFill="1" applyBorder="1" applyAlignment="1">
      <alignment horizontal="center" vertical="center"/>
    </xf>
    <xf numFmtId="0" fontId="21" fillId="6" borderId="24" xfId="0" applyNumberFormat="1" applyFont="1" applyFill="1" applyBorder="1" applyAlignment="1">
      <alignment horizontal="center" vertical="center"/>
    </xf>
    <xf numFmtId="0" fontId="7" fillId="0" borderId="1" xfId="0" applyFont="1" applyFill="1" applyBorder="1" applyAlignment="1">
      <alignment vertical="center"/>
    </xf>
    <xf numFmtId="49" fontId="17" fillId="0" borderId="23" xfId="0" applyNumberFormat="1" applyFont="1" applyFill="1" applyBorder="1" applyAlignment="1">
      <alignment horizontal="center" vertical="center"/>
    </xf>
    <xf numFmtId="0" fontId="17" fillId="0" borderId="24"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12" fillId="8" borderId="1" xfId="0" applyFont="1" applyFill="1" applyBorder="1" applyAlignment="1">
      <alignment vertical="center"/>
    </xf>
    <xf numFmtId="49" fontId="23" fillId="8" borderId="23" xfId="0" applyNumberFormat="1" applyFont="1" applyFill="1" applyBorder="1" applyAlignment="1">
      <alignment horizontal="center" vertical="center"/>
    </xf>
    <xf numFmtId="0" fontId="23" fillId="8" borderId="24" xfId="0" applyNumberFormat="1" applyFont="1" applyFill="1" applyBorder="1" applyAlignment="1">
      <alignment horizontal="center" vertical="center"/>
    </xf>
    <xf numFmtId="0" fontId="12" fillId="8" borderId="24" xfId="0" applyNumberFormat="1" applyFont="1" applyFill="1" applyBorder="1" applyAlignment="1">
      <alignment horizontal="center" vertical="center"/>
    </xf>
    <xf numFmtId="0" fontId="12" fillId="6" borderId="1" xfId="0" applyFont="1" applyFill="1" applyBorder="1" applyAlignment="1">
      <alignment vertical="center"/>
    </xf>
    <xf numFmtId="49" fontId="23" fillId="6" borderId="23" xfId="0" applyNumberFormat="1" applyFont="1" applyFill="1" applyBorder="1" applyAlignment="1">
      <alignment horizontal="center" vertical="center"/>
    </xf>
    <xf numFmtId="0" fontId="23" fillId="6" borderId="24" xfId="0" applyNumberFormat="1" applyFont="1" applyFill="1" applyBorder="1" applyAlignment="1">
      <alignment horizontal="center" vertical="center"/>
    </xf>
    <xf numFmtId="0" fontId="12" fillId="6" borderId="24"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3" xfId="0" applyNumberFormat="1" applyFont="1" applyFill="1" applyBorder="1" applyAlignment="1">
      <alignment horizontal="center" vertical="center"/>
    </xf>
    <xf numFmtId="0" fontId="27" fillId="0" borderId="24" xfId="0" applyNumberFormat="1" applyFont="1" applyFill="1" applyBorder="1" applyAlignment="1">
      <alignment horizontal="center" vertical="center"/>
    </xf>
    <xf numFmtId="0" fontId="21" fillId="0" borderId="24" xfId="0" applyNumberFormat="1" applyFont="1" applyFill="1" applyBorder="1" applyAlignment="1">
      <alignment horizontal="center" vertical="center"/>
    </xf>
    <xf numFmtId="0" fontId="6" fillId="6" borderId="25" xfId="0" quotePrefix="1" applyNumberFormat="1" applyFont="1" applyFill="1" applyBorder="1" applyAlignment="1">
      <alignment horizontal="center" vertical="center"/>
    </xf>
    <xf numFmtId="0" fontId="41" fillId="9" borderId="50"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4" fillId="0" borderId="0" xfId="0" applyFont="1" applyBorder="1" applyAlignment="1">
      <alignment horizontal="center" vertical="center"/>
    </xf>
    <xf numFmtId="0" fontId="6" fillId="0" borderId="0" xfId="0" applyFont="1" applyBorder="1" applyAlignment="1">
      <alignment vertical="center" wrapText="1"/>
    </xf>
    <xf numFmtId="0" fontId="37" fillId="0" borderId="31" xfId="0"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57" xfId="0" applyFont="1" applyFill="1" applyBorder="1" applyAlignment="1">
      <alignment horizontal="centerContinuous" vertical="center"/>
    </xf>
    <xf numFmtId="0" fontId="2" fillId="0" borderId="0" xfId="0" applyFont="1" applyBorder="1" applyAlignment="1">
      <alignment horizontal="centerContinuous" vertical="center"/>
    </xf>
    <xf numFmtId="0" fontId="20" fillId="7" borderId="17" xfId="0" applyFont="1" applyFill="1" applyBorder="1" applyAlignment="1">
      <alignment horizontal="center" vertical="center"/>
    </xf>
    <xf numFmtId="0" fontId="20" fillId="7" borderId="18" xfId="0" applyFont="1" applyFill="1" applyBorder="1" applyAlignment="1">
      <alignment horizontal="center" vertical="center"/>
    </xf>
    <xf numFmtId="49" fontId="20" fillId="7" borderId="18" xfId="0" applyNumberFormat="1" applyFont="1" applyFill="1" applyBorder="1" applyAlignment="1">
      <alignment horizontal="center" vertical="center"/>
    </xf>
    <xf numFmtId="0" fontId="20" fillId="7" borderId="20" xfId="0" applyFont="1" applyFill="1" applyBorder="1" applyAlignment="1">
      <alignment horizontal="center" vertical="center"/>
    </xf>
    <xf numFmtId="0" fontId="44" fillId="9" borderId="20" xfId="0" applyFont="1" applyFill="1" applyBorder="1" applyAlignment="1">
      <alignment horizontal="center" vertical="center"/>
    </xf>
    <xf numFmtId="0" fontId="20" fillId="7" borderId="19" xfId="0" applyFont="1" applyFill="1" applyBorder="1" applyAlignment="1">
      <alignment horizontal="center" vertical="center"/>
    </xf>
    <xf numFmtId="0" fontId="20" fillId="7" borderId="28" xfId="0" applyFont="1" applyFill="1" applyBorder="1" applyAlignment="1">
      <alignment horizontal="center" vertical="center"/>
    </xf>
    <xf numFmtId="1" fontId="1" fillId="0" borderId="51" xfId="0" applyNumberFormat="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7" borderId="20" xfId="0" applyFont="1" applyFill="1" applyBorder="1" applyAlignment="1">
      <alignment horizontal="centerContinuous" vertical="center"/>
    </xf>
    <xf numFmtId="0" fontId="20" fillId="7" borderId="68" xfId="0" applyFont="1" applyFill="1" applyBorder="1" applyAlignment="1">
      <alignment horizontal="centerContinuous" vertical="center"/>
    </xf>
    <xf numFmtId="0" fontId="20" fillId="7" borderId="53" xfId="0" applyFont="1" applyFill="1" applyBorder="1" applyAlignment="1">
      <alignment horizontal="centerContinuous" vertical="center"/>
    </xf>
    <xf numFmtId="164" fontId="4" fillId="0" borderId="12" xfId="0" applyNumberFormat="1" applyFont="1" applyFill="1" applyBorder="1" applyAlignment="1">
      <alignment horizontal="center" vertical="center"/>
    </xf>
    <xf numFmtId="164" fontId="2" fillId="0" borderId="0" xfId="0" applyNumberFormat="1" applyFont="1" applyBorder="1" applyAlignment="1">
      <alignment horizontal="centerContinuous" vertical="center"/>
    </xf>
    <xf numFmtId="0" fontId="20" fillId="3" borderId="32" xfId="0" applyFont="1" applyFill="1" applyBorder="1" applyAlignment="1">
      <alignment horizontal="center" vertical="center"/>
    </xf>
    <xf numFmtId="164" fontId="20" fillId="3" borderId="33" xfId="0" applyNumberFormat="1" applyFont="1" applyFill="1" applyBorder="1" applyAlignment="1">
      <alignment horizontal="center" vertical="center"/>
    </xf>
    <xf numFmtId="0" fontId="20" fillId="3" borderId="32" xfId="0" applyFont="1" applyFill="1" applyBorder="1" applyAlignment="1">
      <alignment horizontal="right" vertical="center"/>
    </xf>
    <xf numFmtId="0" fontId="20" fillId="3" borderId="34" xfId="0" applyFont="1" applyFill="1" applyBorder="1" applyAlignment="1">
      <alignment vertical="center"/>
    </xf>
    <xf numFmtId="164" fontId="20" fillId="3" borderId="28" xfId="0" applyNumberFormat="1" applyFont="1" applyFill="1" applyBorder="1" applyAlignment="1">
      <alignment horizontal="center" vertical="center"/>
    </xf>
    <xf numFmtId="0" fontId="1" fillId="0" borderId="35" xfId="0" applyFont="1" applyBorder="1" applyAlignment="1">
      <alignment horizontal="center" vertical="center" shrinkToFit="1"/>
    </xf>
    <xf numFmtId="1" fontId="1" fillId="0" borderId="36" xfId="0" applyNumberFormat="1" applyFont="1" applyBorder="1" applyAlignment="1">
      <alignment horizontal="center" vertical="center" shrinkToFit="1"/>
    </xf>
    <xf numFmtId="164" fontId="1" fillId="0" borderId="36" xfId="0" applyNumberFormat="1" applyFont="1" applyBorder="1" applyAlignment="1">
      <alignment horizontal="center" vertical="center" shrinkToFit="1"/>
    </xf>
    <xf numFmtId="0" fontId="4" fillId="0" borderId="37" xfId="0" applyFont="1" applyBorder="1" applyAlignment="1">
      <alignment horizontal="left" vertical="center"/>
    </xf>
    <xf numFmtId="0" fontId="4" fillId="0" borderId="38" xfId="0" applyFont="1" applyBorder="1" applyAlignment="1">
      <alignment horizontal="left" vertical="center" shrinkToFit="1"/>
    </xf>
    <xf numFmtId="1" fontId="4" fillId="0" borderId="36" xfId="0" applyNumberFormat="1" applyFont="1" applyBorder="1" applyAlignment="1">
      <alignment horizontal="center" vertical="center" shrinkToFit="1"/>
    </xf>
    <xf numFmtId="164" fontId="4" fillId="0" borderId="36" xfId="0" applyNumberFormat="1" applyFont="1" applyBorder="1" applyAlignment="1">
      <alignment horizontal="center" vertical="center" shrinkToFit="1"/>
    </xf>
    <xf numFmtId="0" fontId="1" fillId="0" borderId="41" xfId="0" applyFont="1" applyBorder="1" applyAlignment="1">
      <alignment horizontal="center" vertical="center" shrinkToFit="1"/>
    </xf>
    <xf numFmtId="1" fontId="4" fillId="0" borderId="42" xfId="0" applyNumberFormat="1" applyFont="1" applyBorder="1" applyAlignment="1">
      <alignment horizontal="center" vertical="center" shrinkToFit="1"/>
    </xf>
    <xf numFmtId="164" fontId="4" fillId="0" borderId="42" xfId="0" applyNumberFormat="1" applyFont="1" applyBorder="1" applyAlignment="1">
      <alignment horizontal="center" vertical="center" shrinkToFit="1"/>
    </xf>
    <xf numFmtId="0" fontId="4" fillId="0" borderId="43" xfId="0" applyFont="1" applyBorder="1" applyAlignment="1">
      <alignment horizontal="left" vertical="center"/>
    </xf>
    <xf numFmtId="0" fontId="4" fillId="0" borderId="44"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164" fontId="1" fillId="0" borderId="39" xfId="0" applyNumberFormat="1" applyFont="1" applyBorder="1" applyAlignment="1">
      <alignment horizontal="center" vertical="center" shrinkToFit="1"/>
    </xf>
    <xf numFmtId="0" fontId="1" fillId="0" borderId="43" xfId="0" applyFont="1" applyBorder="1" applyAlignment="1">
      <alignment horizontal="left" vertical="center"/>
    </xf>
    <xf numFmtId="1" fontId="1" fillId="0" borderId="0" xfId="0" applyNumberFormat="1" applyFont="1" applyBorder="1" applyAlignment="1">
      <alignment horizontal="center" vertical="center"/>
    </xf>
    <xf numFmtId="0" fontId="2" fillId="0" borderId="0" xfId="0" applyFont="1" applyBorder="1" applyAlignment="1">
      <alignment vertical="center"/>
    </xf>
    <xf numFmtId="1" fontId="20" fillId="3" borderId="32" xfId="0" applyNumberFormat="1" applyFont="1" applyFill="1" applyBorder="1" applyAlignment="1">
      <alignment horizontal="center" vertical="center"/>
    </xf>
    <xf numFmtId="0" fontId="4" fillId="0" borderId="46" xfId="0" applyFont="1" applyBorder="1" applyAlignment="1">
      <alignment horizontal="center" vertical="center" shrinkToFit="1"/>
    </xf>
    <xf numFmtId="1" fontId="4" fillId="0" borderId="47" xfId="0" applyNumberFormat="1" applyFont="1" applyBorder="1" applyAlignment="1">
      <alignment horizontal="center" vertical="center" shrinkToFit="1"/>
    </xf>
    <xf numFmtId="164" fontId="4" fillId="0" borderId="47" xfId="0" applyNumberFormat="1" applyFont="1" applyBorder="1" applyAlignment="1">
      <alignment horizontal="center" vertical="center" shrinkToFit="1"/>
    </xf>
    <xf numFmtId="1" fontId="4" fillId="0" borderId="48" xfId="0" applyNumberFormat="1"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4" fillId="0" borderId="45" xfId="0" applyFont="1" applyBorder="1" applyAlignment="1">
      <alignment horizontal="left" vertical="center" shrinkToFit="1"/>
    </xf>
    <xf numFmtId="0" fontId="4" fillId="0" borderId="41" xfId="0" applyFont="1" applyBorder="1" applyAlignment="1">
      <alignment horizontal="center" vertical="center" shrinkToFit="1"/>
    </xf>
    <xf numFmtId="1" fontId="4" fillId="0" borderId="0" xfId="0" applyNumberFormat="1" applyFont="1" applyBorder="1" applyAlignment="1">
      <alignment horizontal="center" vertical="center"/>
    </xf>
    <xf numFmtId="0" fontId="4" fillId="0" borderId="35" xfId="0" applyFont="1" applyBorder="1" applyAlignment="1">
      <alignment horizontal="center" vertical="center" shrinkToFit="1"/>
    </xf>
    <xf numFmtId="1" fontId="4" fillId="0" borderId="0" xfId="0" applyNumberFormat="1" applyFont="1" applyBorder="1" applyAlignment="1">
      <alignment vertical="center"/>
    </xf>
    <xf numFmtId="0" fontId="19" fillId="2" borderId="84" xfId="0" applyFont="1" applyFill="1" applyBorder="1" applyAlignment="1">
      <alignment horizontal="left" vertical="center"/>
    </xf>
    <xf numFmtId="0" fontId="3" fillId="2" borderId="84" xfId="0" applyFont="1" applyFill="1" applyBorder="1" applyAlignment="1">
      <alignment horizontal="centerContinuous" vertical="center"/>
    </xf>
    <xf numFmtId="0" fontId="6" fillId="8" borderId="25" xfId="0" quotePrefix="1" applyNumberFormat="1" applyFont="1" applyFill="1" applyBorder="1" applyAlignment="1">
      <alignment horizontal="center" vertical="center"/>
    </xf>
    <xf numFmtId="0" fontId="12" fillId="0" borderId="8" xfId="0" applyFont="1" applyFill="1" applyBorder="1" applyAlignment="1">
      <alignment vertical="center"/>
    </xf>
    <xf numFmtId="0" fontId="6" fillId="0" borderId="50" xfId="0" applyNumberFormat="1" applyFont="1" applyFill="1" applyBorder="1" applyAlignment="1">
      <alignment horizontal="center" vertical="center"/>
    </xf>
    <xf numFmtId="49" fontId="23" fillId="0" borderId="50" xfId="0" applyNumberFormat="1" applyFont="1" applyFill="1" applyBorder="1" applyAlignment="1">
      <alignment horizontal="center" vertical="center"/>
    </xf>
    <xf numFmtId="0" fontId="23" fillId="0" borderId="51" xfId="0" applyNumberFormat="1" applyFont="1" applyFill="1" applyBorder="1" applyAlignment="1">
      <alignment horizontal="center" vertical="center"/>
    </xf>
    <xf numFmtId="0" fontId="12" fillId="0" borderId="51" xfId="0" applyNumberFormat="1" applyFont="1" applyFill="1" applyBorder="1" applyAlignment="1">
      <alignment horizontal="center" vertical="center"/>
    </xf>
    <xf numFmtId="49" fontId="6" fillId="0" borderId="51" xfId="0" applyNumberFormat="1" applyFont="1" applyFill="1" applyBorder="1" applyAlignment="1">
      <alignment horizontal="center" vertical="center"/>
    </xf>
    <xf numFmtId="0" fontId="6" fillId="0" borderId="30" xfId="0" applyNumberFormat="1" applyFont="1" applyFill="1" applyBorder="1" applyAlignment="1">
      <alignment horizontal="center" vertical="center"/>
    </xf>
    <xf numFmtId="0" fontId="9" fillId="6" borderId="1" xfId="0" applyFont="1" applyFill="1" applyBorder="1" applyAlignment="1">
      <alignment vertical="center"/>
    </xf>
    <xf numFmtId="49" fontId="26" fillId="6" borderId="23" xfId="0" applyNumberFormat="1" applyFont="1" applyFill="1" applyBorder="1" applyAlignment="1">
      <alignment horizontal="center" vertical="center"/>
    </xf>
    <xf numFmtId="0" fontId="26" fillId="6" borderId="24" xfId="0" applyNumberFormat="1" applyFont="1" applyFill="1" applyBorder="1" applyAlignment="1">
      <alignment horizontal="center" vertical="center"/>
    </xf>
    <xf numFmtId="0" fontId="9" fillId="6" borderId="24" xfId="0" applyNumberFormat="1" applyFont="1" applyFill="1" applyBorder="1" applyAlignment="1">
      <alignment horizontal="center" vertical="center"/>
    </xf>
    <xf numFmtId="0" fontId="6" fillId="0" borderId="63" xfId="0" quotePrefix="1" applyFont="1" applyFill="1" applyBorder="1" applyAlignment="1">
      <alignment horizontal="center" vertical="center"/>
    </xf>
    <xf numFmtId="0" fontId="4" fillId="0" borderId="86" xfId="0" applyFont="1" applyFill="1" applyBorder="1" applyAlignment="1">
      <alignment horizontal="center" vertical="center"/>
    </xf>
    <xf numFmtId="0" fontId="20" fillId="7" borderId="64" xfId="0" applyFont="1" applyFill="1" applyBorder="1" applyAlignment="1">
      <alignment horizontal="centerContinuous" vertical="center"/>
    </xf>
    <xf numFmtId="0" fontId="20" fillId="7" borderId="65" xfId="0" applyFont="1" applyFill="1" applyBorder="1" applyAlignment="1">
      <alignment horizontal="centerContinuous" vertical="center"/>
    </xf>
    <xf numFmtId="0" fontId="20" fillId="7" borderId="65" xfId="0" applyFont="1" applyFill="1" applyBorder="1" applyAlignment="1">
      <alignment horizontal="center" vertical="center"/>
    </xf>
    <xf numFmtId="0" fontId="1" fillId="0" borderId="11" xfId="0" applyFont="1" applyFill="1" applyBorder="1" applyAlignment="1">
      <alignment horizontal="centerContinuous" vertical="center"/>
    </xf>
    <xf numFmtId="0" fontId="4" fillId="0" borderId="12" xfId="0" applyFont="1" applyFill="1" applyBorder="1" applyAlignment="1">
      <alignment horizontal="centerContinuous" vertical="center"/>
    </xf>
    <xf numFmtId="49" fontId="1" fillId="0" borderId="12" xfId="0" applyNumberFormat="1" applyFont="1" applyFill="1" applyBorder="1" applyAlignment="1">
      <alignment horizontal="center" vertical="center"/>
    </xf>
    <xf numFmtId="0" fontId="20" fillId="7" borderId="87" xfId="0" applyFont="1" applyFill="1" applyBorder="1" applyAlignment="1">
      <alignment horizontal="centerContinuous" vertical="center"/>
    </xf>
    <xf numFmtId="0" fontId="20" fillId="7" borderId="88" xfId="0" applyFont="1" applyFill="1" applyBorder="1" applyAlignment="1">
      <alignment horizontal="centerContinuous" vertical="center"/>
    </xf>
    <xf numFmtId="0" fontId="20" fillId="7" borderId="89" xfId="0" applyFont="1" applyFill="1" applyBorder="1" applyAlignment="1">
      <alignment horizontal="center" vertical="center"/>
    </xf>
    <xf numFmtId="164" fontId="1" fillId="0" borderId="22" xfId="0" applyNumberFormat="1" applyFont="1" applyFill="1" applyBorder="1" applyAlignment="1">
      <alignment horizontal="centerContinuous" vertical="center"/>
    </xf>
    <xf numFmtId="164" fontId="4" fillId="0" borderId="90" xfId="0" applyNumberFormat="1" applyFont="1" applyBorder="1" applyAlignment="1">
      <alignment horizontal="centerContinuous" vertical="center"/>
    </xf>
    <xf numFmtId="0" fontId="1" fillId="0" borderId="0" xfId="5" applyFont="1" applyBorder="1" applyAlignment="1">
      <alignment wrapText="1"/>
    </xf>
    <xf numFmtId="0" fontId="3" fillId="0" borderId="0" xfId="5" applyFont="1" applyBorder="1" applyAlignment="1">
      <alignment horizontal="right" wrapText="1"/>
    </xf>
    <xf numFmtId="0" fontId="1" fillId="0" borderId="0" xfId="5" applyFont="1" applyBorder="1" applyAlignment="1">
      <alignment horizontal="left" wrapText="1"/>
    </xf>
    <xf numFmtId="0" fontId="1" fillId="0" borderId="0" xfId="5" applyNumberFormat="1" applyFont="1" applyBorder="1" applyAlignment="1">
      <alignment horizontal="left" wrapText="1"/>
    </xf>
    <xf numFmtId="0" fontId="6" fillId="0" borderId="62" xfId="5" applyFont="1" applyBorder="1" applyAlignment="1">
      <alignment horizontal="center" wrapText="1"/>
    </xf>
    <xf numFmtId="0" fontId="6" fillId="0" borderId="24" xfId="2" applyNumberFormat="1" applyFont="1" applyFill="1" applyBorder="1" applyAlignment="1">
      <alignment horizontal="center" shrinkToFit="1"/>
    </xf>
    <xf numFmtId="9" fontId="6" fillId="0" borderId="24" xfId="2" applyFont="1" applyFill="1" applyBorder="1" applyAlignment="1">
      <alignment horizontal="center" vertical="center" shrinkToFit="1"/>
    </xf>
    <xf numFmtId="9" fontId="6" fillId="0" borderId="23" xfId="2" applyFont="1" applyFill="1" applyBorder="1" applyAlignment="1">
      <alignment horizontal="center" shrinkToFit="1"/>
    </xf>
    <xf numFmtId="0" fontId="6" fillId="0" borderId="23" xfId="5" applyFont="1" applyFill="1" applyBorder="1" applyAlignment="1">
      <alignment horizontal="center" wrapText="1"/>
    </xf>
    <xf numFmtId="0" fontId="6" fillId="0" borderId="24" xfId="2" applyNumberFormat="1" applyFont="1" applyBorder="1" applyAlignment="1">
      <alignment horizontal="center" shrinkToFit="1"/>
    </xf>
    <xf numFmtId="9" fontId="6" fillId="0" borderId="24" xfId="2" applyFont="1" applyBorder="1" applyAlignment="1">
      <alignment horizontal="center" shrinkToFit="1"/>
    </xf>
    <xf numFmtId="9" fontId="6" fillId="0" borderId="23" xfId="2" applyFont="1" applyBorder="1" applyAlignment="1">
      <alignment horizontal="center" shrinkToFit="1"/>
    </xf>
    <xf numFmtId="0" fontId="6" fillId="0" borderId="23" xfId="5" applyFont="1" applyBorder="1" applyAlignment="1">
      <alignment horizontal="center" wrapText="1"/>
    </xf>
    <xf numFmtId="0" fontId="3" fillId="0" borderId="0" xfId="5" applyFont="1" applyBorder="1" applyAlignment="1">
      <alignment wrapText="1"/>
    </xf>
    <xf numFmtId="0" fontId="15" fillId="0" borderId="0" xfId="5" applyFont="1" applyBorder="1" applyAlignment="1">
      <alignment horizontal="centerContinuous" wrapText="1"/>
    </xf>
    <xf numFmtId="0" fontId="15" fillId="0" borderId="0" xfId="5" applyNumberFormat="1" applyFont="1" applyBorder="1" applyAlignment="1">
      <alignment horizontal="centerContinuous" wrapText="1"/>
    </xf>
    <xf numFmtId="0" fontId="6" fillId="0" borderId="24" xfId="2" applyNumberFormat="1" applyFont="1" applyFill="1" applyBorder="1" applyAlignment="1">
      <alignment horizontal="center" vertical="center" shrinkToFit="1"/>
    </xf>
    <xf numFmtId="0" fontId="6" fillId="0" borderId="25" xfId="0" applyNumberFormat="1" applyFont="1" applyFill="1" applyBorder="1" applyAlignment="1">
      <alignment horizontal="center" vertical="center" wrapText="1"/>
    </xf>
    <xf numFmtId="0" fontId="6" fillId="0" borderId="15" xfId="2" applyNumberFormat="1" applyFont="1" applyFill="1" applyBorder="1" applyAlignment="1">
      <alignment horizontal="center" vertical="center" shrinkToFit="1"/>
    </xf>
    <xf numFmtId="0" fontId="6" fillId="0" borderId="29" xfId="0" applyNumberFormat="1" applyFont="1" applyFill="1" applyBorder="1" applyAlignment="1">
      <alignment horizontal="center" vertical="center" wrapText="1"/>
    </xf>
    <xf numFmtId="0" fontId="1" fillId="0" borderId="0" xfId="0" applyFont="1" applyBorder="1" applyAlignment="1">
      <alignment horizontal="centerContinuous" vertical="center"/>
    </xf>
    <xf numFmtId="0" fontId="6" fillId="0" borderId="0" xfId="0" applyFont="1" applyBorder="1" applyAlignment="1">
      <alignment horizontal="centerContinuous" vertical="center"/>
    </xf>
    <xf numFmtId="0" fontId="13" fillId="6" borderId="1" xfId="0" applyFont="1" applyFill="1" applyBorder="1" applyAlignment="1">
      <alignment vertical="center"/>
    </xf>
    <xf numFmtId="0" fontId="1" fillId="0" borderId="70" xfId="0" applyFont="1" applyFill="1" applyBorder="1" applyAlignment="1">
      <alignment horizontal="center" vertical="center"/>
    </xf>
    <xf numFmtId="0" fontId="1" fillId="0" borderId="16" xfId="0" applyFont="1" applyBorder="1" applyAlignment="1">
      <alignment horizontal="center" vertical="center"/>
    </xf>
    <xf numFmtId="0" fontId="1" fillId="0" borderId="50" xfId="0" applyFont="1" applyBorder="1" applyAlignment="1">
      <alignment horizontal="center" vertical="center"/>
    </xf>
    <xf numFmtId="164" fontId="1" fillId="0" borderId="50" xfId="0" applyNumberFormat="1" applyFont="1" applyBorder="1" applyAlignment="1">
      <alignment horizontal="center" vertical="center"/>
    </xf>
    <xf numFmtId="1" fontId="45" fillId="9" borderId="51" xfId="0" applyNumberFormat="1" applyFont="1" applyFill="1" applyBorder="1" applyAlignment="1">
      <alignment horizontal="center" vertical="center"/>
    </xf>
    <xf numFmtId="1" fontId="45" fillId="9" borderId="24" xfId="0" applyNumberFormat="1" applyFont="1" applyFill="1" applyBorder="1" applyAlignment="1">
      <alignment horizontal="center" vertical="center"/>
    </xf>
    <xf numFmtId="0" fontId="6" fillId="0" borderId="24" xfId="5" applyNumberFormat="1" applyFont="1" applyFill="1" applyBorder="1" applyAlignment="1">
      <alignment horizontal="center" wrapText="1"/>
    </xf>
    <xf numFmtId="0" fontId="1" fillId="0" borderId="96" xfId="0" applyFont="1" applyFill="1" applyBorder="1" applyAlignment="1">
      <alignment horizontal="center" vertical="center"/>
    </xf>
    <xf numFmtId="0" fontId="1" fillId="0" borderId="97" xfId="0" applyFont="1" applyFill="1" applyBorder="1" applyAlignment="1">
      <alignment horizontal="center" vertical="center"/>
    </xf>
    <xf numFmtId="0" fontId="1" fillId="0" borderId="97" xfId="0" quotePrefix="1" applyFont="1" applyFill="1" applyBorder="1" applyAlignment="1">
      <alignment horizontal="center" vertical="center" wrapText="1"/>
    </xf>
    <xf numFmtId="49" fontId="1" fillId="0" borderId="97" xfId="2" applyNumberFormat="1" applyFont="1" applyFill="1" applyBorder="1" applyAlignment="1">
      <alignment horizontal="center" vertical="center"/>
    </xf>
    <xf numFmtId="164" fontId="1" fillId="8" borderId="97" xfId="0" applyNumberFormat="1" applyFont="1" applyFill="1" applyBorder="1" applyAlignment="1">
      <alignment horizontal="center" vertical="center"/>
    </xf>
    <xf numFmtId="1" fontId="3" fillId="0" borderId="0" xfId="0" applyNumberFormat="1" applyFont="1" applyBorder="1" applyAlignment="1">
      <alignment horizontal="center" vertical="center"/>
    </xf>
    <xf numFmtId="1" fontId="1" fillId="0" borderId="57" xfId="0" applyNumberFormat="1" applyFont="1" applyFill="1" applyBorder="1" applyAlignment="1">
      <alignment horizontal="center" vertical="center"/>
    </xf>
    <xf numFmtId="1" fontId="1" fillId="0" borderId="82" xfId="0" applyNumberFormat="1" applyFont="1" applyBorder="1" applyAlignment="1">
      <alignment horizontal="center" vertical="center"/>
    </xf>
    <xf numFmtId="1" fontId="1" fillId="0" borderId="52" xfId="0" applyNumberFormat="1" applyFont="1" applyFill="1" applyBorder="1" applyAlignment="1">
      <alignment horizontal="center" vertical="center"/>
    </xf>
    <xf numFmtId="1" fontId="1" fillId="0" borderId="31" xfId="0" applyNumberFormat="1" applyFont="1" applyFill="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vertical="center"/>
    </xf>
    <xf numFmtId="0" fontId="48" fillId="0" borderId="0" xfId="0" applyFont="1" applyBorder="1" applyAlignment="1">
      <alignment horizontal="centerContinuous" vertical="center" wrapText="1"/>
    </xf>
    <xf numFmtId="0" fontId="3" fillId="0" borderId="0" xfId="5" applyFont="1" applyBorder="1" applyAlignment="1">
      <alignment vertical="center" wrapText="1"/>
    </xf>
    <xf numFmtId="0" fontId="6" fillId="0" borderId="23" xfId="0" applyFont="1" applyFill="1" applyBorder="1" applyAlignment="1">
      <alignment horizontal="center" vertical="center" shrinkToFit="1"/>
    </xf>
    <xf numFmtId="0" fontId="6" fillId="0" borderId="24" xfId="0" applyNumberFormat="1" applyFont="1" applyFill="1" applyBorder="1" applyAlignment="1">
      <alignment horizontal="center" vertical="center" shrinkToFit="1"/>
    </xf>
    <xf numFmtId="0" fontId="6" fillId="0" borderId="24" xfId="2" applyNumberFormat="1" applyFont="1" applyBorder="1" applyAlignment="1">
      <alignment horizontal="center" vertical="center" shrinkToFit="1"/>
    </xf>
    <xf numFmtId="9" fontId="6" fillId="0" borderId="23" xfId="2" applyFont="1" applyFill="1" applyBorder="1" applyAlignment="1">
      <alignment horizontal="center" vertical="center" shrinkToFit="1"/>
    </xf>
    <xf numFmtId="0" fontId="50" fillId="0" borderId="28" xfId="0" applyFont="1" applyBorder="1" applyAlignment="1">
      <alignment horizontal="centerContinuous" vertical="center"/>
    </xf>
    <xf numFmtId="0" fontId="51" fillId="0" borderId="28" xfId="0" applyFont="1" applyBorder="1" applyAlignment="1">
      <alignment horizontal="centerContinuous" vertical="center" wrapText="1"/>
    </xf>
    <xf numFmtId="0" fontId="52" fillId="0" borderId="28" xfId="0" applyFont="1" applyBorder="1" applyAlignment="1">
      <alignment horizontal="centerContinuous" vertical="center" wrapText="1"/>
    </xf>
    <xf numFmtId="0" fontId="53" fillId="0" borderId="28" xfId="0" applyFont="1" applyBorder="1" applyAlignment="1">
      <alignment horizontal="centerContinuous" vertical="center" wrapText="1"/>
    </xf>
    <xf numFmtId="1" fontId="1" fillId="0" borderId="82" xfId="0" applyNumberFormat="1" applyFont="1" applyBorder="1" applyAlignment="1">
      <alignment horizontal="center" vertical="center" shrinkToFit="1"/>
    </xf>
    <xf numFmtId="1" fontId="1" fillId="0" borderId="58" xfId="0" applyNumberFormat="1" applyFont="1" applyBorder="1" applyAlignment="1">
      <alignment horizontal="center" vertical="center" shrinkToFit="1"/>
    </xf>
    <xf numFmtId="1" fontId="1" fillId="0" borderId="31" xfId="0" applyNumberFormat="1" applyFont="1" applyBorder="1" applyAlignment="1">
      <alignment horizontal="center" vertical="center" shrinkToFit="1"/>
    </xf>
    <xf numFmtId="1" fontId="1" fillId="0" borderId="52" xfId="0" applyNumberFormat="1" applyFont="1" applyBorder="1" applyAlignment="1">
      <alignment horizontal="center" vertical="center" shrinkToFit="1"/>
    </xf>
    <xf numFmtId="0" fontId="1" fillId="0" borderId="0" xfId="0" applyFont="1" applyBorder="1" applyAlignment="1">
      <alignment horizontal="center" vertical="center" shrinkToFit="1"/>
    </xf>
    <xf numFmtId="0" fontId="56" fillId="0" borderId="0" xfId="0" applyFont="1" applyBorder="1" applyAlignment="1">
      <alignment vertical="center"/>
    </xf>
    <xf numFmtId="0" fontId="1" fillId="0" borderId="0" xfId="0" applyFont="1" applyBorder="1" applyAlignment="1">
      <alignment horizontal="left" vertical="center" shrinkToFit="1"/>
    </xf>
    <xf numFmtId="0" fontId="1" fillId="0" borderId="38" xfId="0" applyFont="1" applyBorder="1" applyAlignment="1">
      <alignment horizontal="left" vertical="center" shrinkToFit="1"/>
    </xf>
    <xf numFmtId="0" fontId="1" fillId="0" borderId="109" xfId="0" applyFont="1" applyBorder="1" applyAlignment="1">
      <alignment horizontal="center" vertical="center" shrinkToFit="1"/>
    </xf>
    <xf numFmtId="0" fontId="1" fillId="0" borderId="110" xfId="0" applyFont="1" applyBorder="1" applyAlignment="1">
      <alignment horizontal="center" vertical="center"/>
    </xf>
    <xf numFmtId="0" fontId="1" fillId="0" borderId="110" xfId="0" quotePrefix="1" applyFont="1" applyBorder="1" applyAlignment="1">
      <alignment horizontal="center" vertical="center"/>
    </xf>
    <xf numFmtId="49" fontId="1" fillId="0" borderId="110" xfId="0" quotePrefix="1" applyNumberFormat="1" applyFont="1" applyBorder="1" applyAlignment="1">
      <alignment horizontal="center" vertical="center"/>
    </xf>
    <xf numFmtId="164" fontId="1" fillId="0" borderId="110" xfId="0" applyNumberFormat="1" applyFont="1" applyFill="1" applyBorder="1" applyAlignment="1">
      <alignment horizontal="center" vertical="center"/>
    </xf>
    <xf numFmtId="164" fontId="1" fillId="0" borderId="111" xfId="0" applyNumberFormat="1" applyFont="1" applyFill="1" applyBorder="1" applyAlignment="1">
      <alignment horizontal="centerContinuous" vertical="center"/>
    </xf>
    <xf numFmtId="164" fontId="1" fillId="0" borderId="112" xfId="0" applyNumberFormat="1" applyFont="1" applyFill="1" applyBorder="1" applyAlignment="1">
      <alignment horizontal="centerContinuous" vertical="center"/>
    </xf>
    <xf numFmtId="0" fontId="1" fillId="0" borderId="113" xfId="0" quotePrefix="1" applyFont="1" applyBorder="1" applyAlignment="1">
      <alignment horizontal="centerContinuous" vertical="center"/>
    </xf>
    <xf numFmtId="0" fontId="1" fillId="0" borderId="70" xfId="0" applyFont="1" applyBorder="1" applyAlignment="1">
      <alignment horizontal="center" vertical="center"/>
    </xf>
    <xf numFmtId="0" fontId="1" fillId="0" borderId="69" xfId="0" applyFont="1" applyBorder="1" applyAlignment="1">
      <alignment horizontal="center" vertical="center"/>
    </xf>
    <xf numFmtId="0" fontId="1" fillId="0" borderId="69" xfId="0" quotePrefix="1" applyFont="1" applyBorder="1" applyAlignment="1">
      <alignment horizontal="center" vertical="center"/>
    </xf>
    <xf numFmtId="0" fontId="4" fillId="0" borderId="69" xfId="0" applyFont="1" applyBorder="1" applyAlignment="1">
      <alignment horizontal="center" vertical="center"/>
    </xf>
    <xf numFmtId="9" fontId="4" fillId="0" borderId="69" xfId="0" applyNumberFormat="1" applyFont="1" applyBorder="1" applyAlignment="1">
      <alignment horizontal="center" vertical="center"/>
    </xf>
    <xf numFmtId="164" fontId="4" fillId="0" borderId="69" xfId="0" applyNumberFormat="1" applyFont="1" applyBorder="1" applyAlignment="1">
      <alignment horizontal="center" vertical="center"/>
    </xf>
    <xf numFmtId="164" fontId="4" fillId="0" borderId="71" xfId="0" applyNumberFormat="1" applyFont="1" applyBorder="1" applyAlignment="1">
      <alignment horizontal="centerContinuous" vertical="center"/>
    </xf>
    <xf numFmtId="164" fontId="1" fillId="0" borderId="114" xfId="0" applyNumberFormat="1" applyFont="1" applyFill="1" applyBorder="1" applyAlignment="1">
      <alignment horizontal="centerContinuous" vertical="center"/>
    </xf>
    <xf numFmtId="0" fontId="4" fillId="0" borderId="115" xfId="0" quotePrefix="1" applyFont="1" applyBorder="1" applyAlignment="1">
      <alignment horizontal="centerContinuous" vertical="center"/>
    </xf>
    <xf numFmtId="9" fontId="1" fillId="0" borderId="110" xfId="0" applyNumberFormat="1" applyFont="1" applyFill="1" applyBorder="1" applyAlignment="1">
      <alignment horizontal="center" vertical="center"/>
    </xf>
    <xf numFmtId="0" fontId="0" fillId="0" borderId="0" xfId="0" applyAlignment="1">
      <alignment horizontal="center" vertical="center"/>
    </xf>
    <xf numFmtId="0" fontId="1" fillId="0" borderId="0" xfId="0" applyFont="1" applyAlignment="1">
      <alignment vertical="center"/>
    </xf>
    <xf numFmtId="0" fontId="1" fillId="0" borderId="0" xfId="5" applyAlignment="1">
      <alignment vertical="center"/>
    </xf>
    <xf numFmtId="1" fontId="3" fillId="0" borderId="0" xfId="5" applyNumberFormat="1" applyFont="1" applyAlignment="1">
      <alignment horizontal="center" vertical="center"/>
    </xf>
    <xf numFmtId="0" fontId="3" fillId="0" borderId="0" xfId="0" applyFont="1" applyAlignment="1">
      <alignment horizontal="right" vertical="center"/>
    </xf>
    <xf numFmtId="1" fontId="1" fillId="0" borderId="0" xfId="5" applyNumberFormat="1" applyAlignment="1">
      <alignment horizontal="center" vertical="center"/>
    </xf>
    <xf numFmtId="0" fontId="3" fillId="0" borderId="0" xfId="5" applyFont="1" applyAlignment="1">
      <alignment vertical="center"/>
    </xf>
    <xf numFmtId="9" fontId="3" fillId="0" borderId="0" xfId="7" applyFont="1" applyAlignment="1">
      <alignment horizontal="center" vertical="center"/>
    </xf>
    <xf numFmtId="0" fontId="3" fillId="0" borderId="0" xfId="0" applyFont="1" applyAlignment="1">
      <alignment horizontal="center" vertical="center"/>
    </xf>
    <xf numFmtId="9" fontId="1" fillId="0" borderId="0" xfId="7"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4" fillId="0" borderId="0" xfId="0" applyFont="1" applyFill="1" applyBorder="1" applyAlignment="1">
      <alignment vertical="center"/>
    </xf>
    <xf numFmtId="0" fontId="6" fillId="0" borderId="25" xfId="0" applyNumberFormat="1" applyFont="1" applyFill="1" applyBorder="1" applyAlignment="1">
      <alignment horizontal="center" vertical="center" shrinkToFit="1"/>
    </xf>
    <xf numFmtId="9" fontId="6" fillId="0" borderId="62" xfId="2" applyFont="1" applyFill="1" applyBorder="1" applyAlignment="1">
      <alignment horizontal="center" vertical="center" shrinkToFit="1"/>
    </xf>
    <xf numFmtId="0" fontId="6" fillId="0" borderId="15" xfId="0" applyNumberFormat="1" applyFont="1" applyFill="1" applyBorder="1" applyAlignment="1">
      <alignment horizontal="center" vertical="center" shrinkToFit="1"/>
    </xf>
    <xf numFmtId="1" fontId="1" fillId="10" borderId="52" xfId="0" applyNumberFormat="1" applyFont="1" applyFill="1" applyBorder="1" applyAlignment="1">
      <alignment horizontal="center" vertical="center"/>
    </xf>
    <xf numFmtId="0" fontId="1" fillId="10" borderId="73" xfId="0" applyFont="1" applyFill="1" applyBorder="1" applyAlignment="1">
      <alignment horizontal="center" vertical="center" shrinkToFit="1"/>
    </xf>
    <xf numFmtId="0" fontId="1" fillId="10" borderId="74" xfId="0" applyFont="1" applyFill="1" applyBorder="1" applyAlignment="1">
      <alignment horizontal="center" vertical="center"/>
    </xf>
    <xf numFmtId="0" fontId="1" fillId="10" borderId="74" xfId="0" quotePrefix="1" applyFont="1" applyFill="1" applyBorder="1" applyAlignment="1">
      <alignment horizontal="center" vertical="center"/>
    </xf>
    <xf numFmtId="9" fontId="1" fillId="10" borderId="74" xfId="0" applyNumberFormat="1" applyFont="1" applyFill="1" applyBorder="1" applyAlignment="1">
      <alignment horizontal="center" vertical="center"/>
    </xf>
    <xf numFmtId="164" fontId="1" fillId="10" borderId="74" xfId="0" applyNumberFormat="1" applyFont="1" applyFill="1" applyBorder="1" applyAlignment="1">
      <alignment horizontal="center" vertical="center"/>
    </xf>
    <xf numFmtId="164" fontId="1" fillId="10" borderId="75" xfId="0" applyNumberFormat="1" applyFont="1" applyFill="1" applyBorder="1" applyAlignment="1">
      <alignment horizontal="centerContinuous" vertical="center"/>
    </xf>
    <xf numFmtId="164" fontId="4" fillId="10" borderId="76" xfId="0" applyNumberFormat="1" applyFont="1" applyFill="1" applyBorder="1" applyAlignment="1">
      <alignment horizontal="centerContinuous" vertical="center"/>
    </xf>
    <xf numFmtId="0" fontId="4" fillId="10" borderId="77" xfId="0" applyFont="1" applyFill="1" applyBorder="1" applyAlignment="1">
      <alignment horizontal="centerContinuous" vertical="center"/>
    </xf>
    <xf numFmtId="0" fontId="57" fillId="0" borderId="31" xfId="0" quotePrefix="1" applyFont="1" applyFill="1" applyBorder="1" applyAlignment="1">
      <alignment horizontal="center" vertical="center" shrinkToFit="1"/>
    </xf>
    <xf numFmtId="0" fontId="57" fillId="0" borderId="52" xfId="0" applyFont="1" applyFill="1" applyBorder="1" applyAlignment="1">
      <alignment horizontal="center" vertical="center" shrinkToFit="1"/>
    </xf>
    <xf numFmtId="0" fontId="1" fillId="0" borderId="117" xfId="0" applyFont="1" applyFill="1" applyBorder="1" applyAlignment="1">
      <alignment horizontal="center" vertical="center"/>
    </xf>
    <xf numFmtId="0" fontId="1" fillId="0" borderId="118" xfId="0" applyFont="1" applyFill="1" applyBorder="1" applyAlignment="1">
      <alignment horizontal="center" vertical="center"/>
    </xf>
    <xf numFmtId="0" fontId="1" fillId="0" borderId="118" xfId="0" quotePrefix="1" applyFont="1" applyFill="1" applyBorder="1" applyAlignment="1">
      <alignment horizontal="center" vertical="center" wrapText="1"/>
    </xf>
    <xf numFmtId="49" fontId="1" fillId="0" borderId="118" xfId="2" applyNumberFormat="1" applyFont="1" applyFill="1" applyBorder="1" applyAlignment="1">
      <alignment horizontal="center" vertical="center"/>
    </xf>
    <xf numFmtId="0" fontId="1" fillId="8" borderId="118" xfId="0" applyFont="1" applyFill="1" applyBorder="1" applyAlignment="1">
      <alignment horizontal="center" vertical="center" shrinkToFit="1"/>
    </xf>
    <xf numFmtId="164" fontId="1" fillId="8" borderId="118" xfId="0" applyNumberFormat="1" applyFont="1" applyFill="1" applyBorder="1" applyAlignment="1">
      <alignment horizontal="center" vertical="center"/>
    </xf>
    <xf numFmtId="0" fontId="4" fillId="0" borderId="50" xfId="0" quotePrefix="1" applyFont="1" applyBorder="1" applyAlignment="1">
      <alignment horizontal="center" vertical="center" wrapText="1"/>
    </xf>
    <xf numFmtId="49" fontId="1" fillId="0" borderId="50" xfId="2" applyNumberFormat="1" applyFont="1" applyBorder="1" applyAlignment="1">
      <alignment horizontal="center" vertical="center"/>
    </xf>
    <xf numFmtId="0" fontId="1" fillId="0" borderId="50" xfId="0" applyFont="1" applyBorder="1" applyAlignment="1">
      <alignment horizontal="center" vertical="center" shrinkToFit="1"/>
    </xf>
    <xf numFmtId="164" fontId="4" fillId="0" borderId="51" xfId="0" applyNumberFormat="1" applyFont="1" applyFill="1" applyBorder="1" applyAlignment="1">
      <alignment horizontal="center" vertical="center"/>
    </xf>
    <xf numFmtId="0" fontId="3" fillId="0" borderId="30" xfId="0" applyFont="1" applyBorder="1" applyAlignment="1">
      <alignment horizontal="center" vertical="center"/>
    </xf>
    <xf numFmtId="0" fontId="1" fillId="0" borderId="118" xfId="0" quotePrefix="1" applyFont="1" applyBorder="1" applyAlignment="1">
      <alignment horizontal="center" vertical="center"/>
    </xf>
    <xf numFmtId="164" fontId="4" fillId="0" borderId="118" xfId="0" applyNumberFormat="1" applyFont="1" applyFill="1" applyBorder="1" applyAlignment="1">
      <alignment horizontal="center" vertical="center"/>
    </xf>
    <xf numFmtId="0" fontId="58" fillId="2" borderId="84" xfId="0" applyFont="1" applyFill="1" applyBorder="1" applyAlignment="1">
      <alignment horizontal="center" vertical="center"/>
    </xf>
    <xf numFmtId="9" fontId="6" fillId="0" borderId="62" xfId="2" applyFont="1" applyBorder="1" applyAlignment="1">
      <alignment horizontal="center" shrinkToFit="1"/>
    </xf>
    <xf numFmtId="9" fontId="6" fillId="0" borderId="15" xfId="2" applyFont="1" applyBorder="1" applyAlignment="1">
      <alignment horizontal="center" shrinkToFit="1"/>
    </xf>
    <xf numFmtId="9" fontId="6" fillId="0" borderId="15" xfId="7" applyFont="1" applyFill="1" applyBorder="1" applyAlignment="1">
      <alignment horizontal="center" vertical="center" shrinkToFit="1"/>
    </xf>
    <xf numFmtId="0" fontId="6" fillId="0" borderId="15" xfId="2" applyNumberFormat="1" applyFont="1" applyBorder="1" applyAlignment="1">
      <alignment horizontal="center" shrinkToFit="1"/>
    </xf>
    <xf numFmtId="0" fontId="6" fillId="0" borderId="15" xfId="7" applyNumberFormat="1" applyFont="1" applyFill="1" applyBorder="1" applyAlignment="1">
      <alignment horizontal="center" vertical="center" shrinkToFit="1"/>
    </xf>
    <xf numFmtId="0" fontId="6" fillId="0" borderId="29" xfId="0" applyNumberFormat="1" applyFont="1" applyFill="1" applyBorder="1" applyAlignment="1">
      <alignment horizontal="center" vertical="center"/>
    </xf>
    <xf numFmtId="164" fontId="1" fillId="0" borderId="110" xfId="0" applyNumberFormat="1" applyFont="1" applyBorder="1" applyAlignment="1">
      <alignment horizontal="center" vertical="center"/>
    </xf>
    <xf numFmtId="164" fontId="4" fillId="0" borderId="111" xfId="0" applyNumberFormat="1" applyFont="1" applyFill="1" applyBorder="1" applyAlignment="1">
      <alignment horizontal="center" vertical="center"/>
    </xf>
    <xf numFmtId="1" fontId="45" fillId="9" borderId="111" xfId="0" applyNumberFormat="1" applyFont="1" applyFill="1" applyBorder="1" applyAlignment="1">
      <alignment horizontal="center" vertical="center"/>
    </xf>
    <xf numFmtId="1" fontId="1" fillId="0" borderId="110" xfId="0" applyNumberFormat="1" applyFont="1" applyBorder="1" applyAlignment="1">
      <alignment horizontal="center" vertical="center"/>
    </xf>
    <xf numFmtId="0" fontId="1" fillId="0" borderId="109" xfId="0" applyFont="1" applyFill="1" applyBorder="1" applyAlignment="1">
      <alignment horizontal="center" vertical="center"/>
    </xf>
    <xf numFmtId="0" fontId="1" fillId="0" borderId="110" xfId="0" applyFont="1" applyFill="1" applyBorder="1" applyAlignment="1">
      <alignment horizontal="center" vertical="center"/>
    </xf>
    <xf numFmtId="0" fontId="1" fillId="0" borderId="110" xfId="0" quotePrefix="1" applyFont="1" applyFill="1" applyBorder="1" applyAlignment="1">
      <alignment horizontal="center" vertical="center" wrapText="1"/>
    </xf>
    <xf numFmtId="49" fontId="1" fillId="0" borderId="110" xfId="2" applyNumberFormat="1" applyFont="1" applyFill="1" applyBorder="1" applyAlignment="1">
      <alignment horizontal="center" vertical="center"/>
    </xf>
    <xf numFmtId="164" fontId="1" fillId="8" borderId="69" xfId="0" applyNumberFormat="1" applyFont="1" applyFill="1" applyBorder="1" applyAlignment="1">
      <alignment horizontal="center" vertical="center"/>
    </xf>
    <xf numFmtId="1" fontId="1" fillId="0" borderId="121" xfId="0" applyNumberFormat="1" applyFont="1" applyFill="1" applyBorder="1" applyAlignment="1">
      <alignment horizontal="center" vertical="center"/>
    </xf>
    <xf numFmtId="1" fontId="1" fillId="0" borderId="58" xfId="0" applyNumberFormat="1" applyFont="1" applyFill="1" applyBorder="1" applyAlignment="1">
      <alignment horizontal="center" vertical="center"/>
    </xf>
    <xf numFmtId="1" fontId="1" fillId="0" borderId="95" xfId="0" applyNumberFormat="1" applyFont="1" applyFill="1" applyBorder="1" applyAlignment="1">
      <alignment horizontal="center" vertical="center"/>
    </xf>
    <xf numFmtId="0" fontId="1" fillId="0" borderId="72" xfId="0" quotePrefix="1" applyFont="1" applyFill="1" applyBorder="1" applyAlignment="1">
      <alignment horizontal="center" vertical="center"/>
    </xf>
    <xf numFmtId="0" fontId="1" fillId="0" borderId="98" xfId="0" quotePrefix="1" applyFont="1" applyFill="1" applyBorder="1" applyAlignment="1">
      <alignment horizontal="center" vertical="center"/>
    </xf>
    <xf numFmtId="0" fontId="1" fillId="0" borderId="119" xfId="0" applyFont="1" applyFill="1" applyBorder="1" applyAlignment="1">
      <alignment horizontal="center" vertical="center"/>
    </xf>
    <xf numFmtId="0" fontId="1" fillId="0" borderId="120" xfId="0" applyFont="1" applyFill="1" applyBorder="1" applyAlignment="1">
      <alignment horizontal="center" vertical="center"/>
    </xf>
    <xf numFmtId="0" fontId="1" fillId="0" borderId="72" xfId="0" applyFont="1" applyFill="1" applyBorder="1" applyAlignment="1">
      <alignment horizontal="center" vertical="center"/>
    </xf>
    <xf numFmtId="0" fontId="4" fillId="0" borderId="30" xfId="0" applyFont="1" applyFill="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49" fontId="1" fillId="0" borderId="74" xfId="0" applyNumberFormat="1" applyFont="1" applyBorder="1" applyAlignment="1">
      <alignment horizontal="center" vertical="center"/>
    </xf>
    <xf numFmtId="164" fontId="1" fillId="8" borderId="74" xfId="0" applyNumberFormat="1" applyFont="1" applyFill="1" applyBorder="1" applyAlignment="1">
      <alignment horizontal="center" vertical="center"/>
    </xf>
    <xf numFmtId="164" fontId="1" fillId="0" borderId="75" xfId="0" applyNumberFormat="1" applyFont="1" applyFill="1" applyBorder="1" applyAlignment="1">
      <alignment horizontal="center" vertical="center"/>
    </xf>
    <xf numFmtId="1" fontId="45" fillId="9" borderId="75" xfId="0" applyNumberFormat="1" applyFont="1" applyFill="1" applyBorder="1" applyAlignment="1">
      <alignment horizontal="center" vertical="center"/>
    </xf>
    <xf numFmtId="1" fontId="1" fillId="0" borderId="74" xfId="0" applyNumberFormat="1" applyFont="1" applyFill="1" applyBorder="1" applyAlignment="1">
      <alignment horizontal="center" vertical="center"/>
    </xf>
    <xf numFmtId="0" fontId="42" fillId="4" borderId="122" xfId="0" applyFont="1" applyFill="1" applyBorder="1" applyAlignment="1">
      <alignment horizontal="right" vertical="center"/>
    </xf>
    <xf numFmtId="49" fontId="6" fillId="0" borderId="13" xfId="0" applyNumberFormat="1" applyFont="1" applyFill="1" applyBorder="1" applyAlignment="1">
      <alignment horizontal="center" vertical="center"/>
    </xf>
    <xf numFmtId="0" fontId="1" fillId="0" borderId="40" xfId="0" applyFont="1" applyBorder="1" applyAlignment="1">
      <alignment horizontal="left" vertical="center" shrinkToFit="1"/>
    </xf>
    <xf numFmtId="0" fontId="1" fillId="0" borderId="0" xfId="0" applyFont="1" applyBorder="1" applyAlignment="1">
      <alignment vertical="center" wrapText="1"/>
    </xf>
    <xf numFmtId="0" fontId="58" fillId="0" borderId="5" xfId="0" applyFont="1" applyBorder="1" applyAlignment="1">
      <alignment horizontal="centerContinuous" vertical="center"/>
    </xf>
    <xf numFmtId="0" fontId="3" fillId="0" borderId="6"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58" fillId="0" borderId="8" xfId="0" applyFont="1" applyBorder="1" applyAlignment="1">
      <alignment horizontal="center" vertical="center"/>
    </xf>
    <xf numFmtId="0" fontId="58" fillId="0" borderId="9" xfId="0" applyFont="1" applyBorder="1" applyAlignment="1">
      <alignment horizontal="center" vertical="center"/>
    </xf>
    <xf numFmtId="0" fontId="58" fillId="0" borderId="10" xfId="0" applyFont="1" applyBorder="1" applyAlignment="1">
      <alignment horizontal="center" vertical="center"/>
    </xf>
    <xf numFmtId="0" fontId="3" fillId="0" borderId="123" xfId="0" applyFont="1" applyBorder="1" applyAlignment="1">
      <alignment horizontal="right" vertical="center"/>
    </xf>
    <xf numFmtId="0" fontId="1" fillId="0" borderId="124" xfId="0" applyFont="1" applyBorder="1" applyAlignment="1">
      <alignment horizontal="center" vertical="center" wrapText="1"/>
    </xf>
    <xf numFmtId="0" fontId="1" fillId="0" borderId="125" xfId="0" applyFont="1" applyBorder="1" applyAlignment="1">
      <alignment horizontal="center" vertical="center" wrapText="1"/>
    </xf>
    <xf numFmtId="0" fontId="3" fillId="0" borderId="31" xfId="0" applyFont="1" applyBorder="1" applyAlignment="1">
      <alignment horizontal="right" vertical="center"/>
    </xf>
    <xf numFmtId="0" fontId="1" fillId="0" borderId="105" xfId="0" applyFont="1" applyBorder="1" applyAlignment="1">
      <alignment horizontal="center" vertical="center" wrapText="1"/>
    </xf>
    <xf numFmtId="0" fontId="3" fillId="0" borderId="127" xfId="0" applyFont="1" applyBorder="1" applyAlignment="1">
      <alignment horizontal="right" vertical="center"/>
    </xf>
    <xf numFmtId="0" fontId="60" fillId="7" borderId="128" xfId="0" applyFont="1" applyFill="1" applyBorder="1" applyAlignment="1">
      <alignment horizontal="center" vertical="center" wrapText="1"/>
    </xf>
    <xf numFmtId="0" fontId="3" fillId="0" borderId="58" xfId="0" applyFont="1" applyBorder="1" applyAlignment="1">
      <alignment horizontal="right" vertical="center"/>
    </xf>
    <xf numFmtId="49" fontId="1" fillId="0" borderId="103" xfId="0" applyNumberFormat="1" applyFont="1" applyBorder="1" applyAlignment="1">
      <alignment horizontal="center" vertical="center" wrapText="1"/>
    </xf>
    <xf numFmtId="49" fontId="1" fillId="11" borderId="45" xfId="0" applyNumberFormat="1" applyFont="1" applyFill="1" applyBorder="1" applyAlignment="1">
      <alignment horizontal="center" vertical="center" wrapText="1"/>
    </xf>
    <xf numFmtId="0" fontId="3" fillId="0" borderId="52" xfId="0" applyFont="1" applyBorder="1" applyAlignment="1">
      <alignment horizontal="right" vertical="center"/>
    </xf>
    <xf numFmtId="0" fontId="60" fillId="7" borderId="107" xfId="0" applyFont="1" applyFill="1" applyBorder="1" applyAlignment="1">
      <alignment horizontal="center" vertical="center" wrapText="1"/>
    </xf>
    <xf numFmtId="0" fontId="1" fillId="0" borderId="0" xfId="0" applyFont="1" applyFill="1" applyBorder="1" applyAlignment="1">
      <alignment vertical="center" wrapText="1"/>
    </xf>
    <xf numFmtId="0" fontId="11" fillId="9" borderId="94" xfId="5" applyFont="1" applyFill="1" applyBorder="1" applyAlignment="1">
      <alignment horizontal="centerContinuous" vertical="center" wrapText="1"/>
    </xf>
    <xf numFmtId="0" fontId="11" fillId="9" borderId="93" xfId="5" applyFont="1" applyFill="1" applyBorder="1" applyAlignment="1">
      <alignment horizontal="center" vertical="center" wrapText="1"/>
    </xf>
    <xf numFmtId="0" fontId="20" fillId="9" borderId="93" xfId="5" applyFont="1" applyFill="1" applyBorder="1" applyAlignment="1">
      <alignment horizontal="center" vertical="center" wrapText="1"/>
    </xf>
    <xf numFmtId="0" fontId="20" fillId="9" borderId="93" xfId="5" applyNumberFormat="1" applyFont="1" applyFill="1" applyBorder="1" applyAlignment="1">
      <alignment horizontal="center" vertical="center" wrapText="1"/>
    </xf>
    <xf numFmtId="0" fontId="11" fillId="9" borderId="93" xfId="0" applyFont="1" applyFill="1" applyBorder="1" applyAlignment="1">
      <alignment horizontal="center" vertical="center" wrapText="1"/>
    </xf>
    <xf numFmtId="0" fontId="11" fillId="9" borderId="92" xfId="0" applyNumberFormat="1" applyFont="1" applyFill="1" applyBorder="1" applyAlignment="1">
      <alignment horizontal="centerContinuous" vertical="center" wrapText="1"/>
    </xf>
    <xf numFmtId="0" fontId="61" fillId="0" borderId="21" xfId="5" applyFont="1" applyBorder="1" applyAlignment="1">
      <alignment horizontal="centerContinuous" wrapText="1"/>
    </xf>
    <xf numFmtId="0" fontId="62" fillId="0" borderId="1" xfId="5" applyFont="1" applyFill="1" applyBorder="1" applyAlignment="1">
      <alignment horizontal="center" shrinkToFit="1"/>
    </xf>
    <xf numFmtId="0" fontId="62" fillId="0" borderId="61" xfId="5" applyFont="1" applyFill="1" applyBorder="1" applyAlignment="1">
      <alignment horizontal="center" shrinkToFit="1"/>
    </xf>
    <xf numFmtId="0" fontId="63" fillId="2" borderId="83" xfId="0" applyFont="1" applyFill="1" applyBorder="1" applyAlignment="1">
      <alignment horizontal="right" vertical="center"/>
    </xf>
    <xf numFmtId="0" fontId="63" fillId="2" borderId="84" xfId="0" applyFont="1" applyFill="1" applyBorder="1" applyAlignment="1">
      <alignment horizontal="left" vertical="center"/>
    </xf>
    <xf numFmtId="0" fontId="64" fillId="2" borderId="85" xfId="1" applyFont="1" applyFill="1" applyBorder="1" applyAlignment="1" applyProtection="1">
      <alignment horizontal="right" vertical="center"/>
    </xf>
    <xf numFmtId="1" fontId="1" fillId="12" borderId="82" xfId="0" applyNumberFormat="1" applyFont="1" applyFill="1" applyBorder="1" applyAlignment="1">
      <alignment horizontal="center" vertical="center"/>
    </xf>
    <xf numFmtId="1" fontId="1" fillId="12" borderId="58" xfId="0" applyNumberFormat="1" applyFont="1" applyFill="1" applyBorder="1" applyAlignment="1">
      <alignment horizontal="center" vertical="center"/>
    </xf>
    <xf numFmtId="0" fontId="1" fillId="12" borderId="24" xfId="0" applyNumberFormat="1" applyFont="1" applyFill="1" applyBorder="1" applyAlignment="1">
      <alignment horizontal="center" vertical="center"/>
    </xf>
    <xf numFmtId="0" fontId="1" fillId="12" borderId="25" xfId="0" applyFont="1" applyFill="1" applyBorder="1" applyAlignment="1">
      <alignment horizontal="center" vertical="center"/>
    </xf>
    <xf numFmtId="0" fontId="1" fillId="12" borderId="14" xfId="0" applyFont="1" applyFill="1" applyBorder="1" applyAlignment="1">
      <alignment horizontal="center" vertical="center"/>
    </xf>
    <xf numFmtId="0" fontId="1" fillId="12" borderId="23" xfId="0" applyFont="1" applyFill="1" applyBorder="1" applyAlignment="1">
      <alignment horizontal="center" vertical="center"/>
    </xf>
    <xf numFmtId="49" fontId="1" fillId="12" borderId="23" xfId="2" applyNumberFormat="1" applyFont="1" applyFill="1" applyBorder="1" applyAlignment="1">
      <alignment horizontal="center" vertical="center"/>
    </xf>
    <xf numFmtId="0" fontId="1" fillId="12" borderId="23" xfId="0" applyFont="1" applyFill="1" applyBorder="1" applyAlignment="1">
      <alignment horizontal="center" vertical="center" shrinkToFit="1"/>
    </xf>
    <xf numFmtId="164" fontId="1" fillId="12" borderId="23" xfId="0" applyNumberFormat="1" applyFont="1" applyFill="1" applyBorder="1" applyAlignment="1">
      <alignment horizontal="center" vertical="center"/>
    </xf>
    <xf numFmtId="164" fontId="1" fillId="12" borderId="24" xfId="0" applyNumberFormat="1" applyFont="1" applyFill="1" applyBorder="1" applyAlignment="1">
      <alignment horizontal="center" vertical="center"/>
    </xf>
    <xf numFmtId="0" fontId="1" fillId="12" borderId="23" xfId="2" applyNumberFormat="1" applyFont="1" applyFill="1" applyBorder="1" applyAlignment="1">
      <alignment horizontal="center" vertical="center"/>
    </xf>
    <xf numFmtId="0" fontId="20" fillId="7" borderId="130" xfId="0" applyFont="1" applyFill="1" applyBorder="1" applyAlignment="1">
      <alignment horizontal="centerContinuous" vertical="center"/>
    </xf>
    <xf numFmtId="0" fontId="20" fillId="7" borderId="131" xfId="0" applyFont="1" applyFill="1" applyBorder="1" applyAlignment="1">
      <alignment horizontal="center" vertical="center"/>
    </xf>
    <xf numFmtId="1" fontId="20" fillId="7" borderId="28" xfId="0" applyNumberFormat="1" applyFont="1" applyFill="1" applyBorder="1" applyAlignment="1">
      <alignment horizontal="center" vertical="center"/>
    </xf>
    <xf numFmtId="0" fontId="1" fillId="0" borderId="35" xfId="0" applyFont="1" applyFill="1" applyBorder="1" applyAlignment="1">
      <alignment horizontal="centerContinuous" vertical="center" shrinkToFit="1"/>
    </xf>
    <xf numFmtId="0" fontId="20" fillId="0" borderId="114" xfId="0" applyFont="1" applyFill="1" applyBorder="1" applyAlignment="1">
      <alignment horizontal="centerContinuous" vertical="center"/>
    </xf>
    <xf numFmtId="0" fontId="20" fillId="0" borderId="105" xfId="0" applyFont="1" applyFill="1" applyBorder="1" applyAlignment="1">
      <alignment horizontal="centerContinuous" vertical="center"/>
    </xf>
    <xf numFmtId="0" fontId="1" fillId="0" borderId="37"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115" xfId="0" applyFont="1" applyFill="1" applyBorder="1" applyAlignment="1">
      <alignment horizontal="centerContinuous" vertical="center"/>
    </xf>
    <xf numFmtId="1" fontId="1" fillId="0" borderId="95" xfId="0" applyNumberFormat="1" applyFont="1" applyBorder="1" applyAlignment="1">
      <alignment horizontal="center" vertical="center"/>
    </xf>
    <xf numFmtId="0" fontId="1" fillId="0" borderId="41" xfId="0" applyFont="1" applyFill="1" applyBorder="1" applyAlignment="1">
      <alignment horizontal="centerContinuous" vertical="center" shrinkToFit="1"/>
    </xf>
    <xf numFmtId="0" fontId="1" fillId="0" borderId="76" xfId="0" applyFont="1" applyFill="1" applyBorder="1" applyAlignment="1">
      <alignment horizontal="centerContinuous" vertical="center"/>
    </xf>
    <xf numFmtId="0" fontId="1" fillId="0" borderId="107" xfId="0" applyFont="1" applyFill="1" applyBorder="1" applyAlignment="1">
      <alignment horizontal="centerContinuous" vertical="center"/>
    </xf>
    <xf numFmtId="49" fontId="1" fillId="0" borderId="43" xfId="0" applyNumberFormat="1" applyFont="1" applyFill="1" applyBorder="1" applyAlignment="1">
      <alignment horizontal="center" vertical="center"/>
    </xf>
    <xf numFmtId="49" fontId="1" fillId="0" borderId="42" xfId="0" applyNumberFormat="1" applyFont="1" applyFill="1" applyBorder="1" applyAlignment="1">
      <alignment horizontal="center" vertical="center"/>
    </xf>
    <xf numFmtId="0" fontId="1" fillId="0" borderId="77" xfId="0" applyFont="1" applyFill="1" applyBorder="1" applyAlignment="1">
      <alignment horizontal="centerContinuous" vertical="center"/>
    </xf>
    <xf numFmtId="1" fontId="1" fillId="0" borderId="52" xfId="0" applyNumberFormat="1" applyFont="1" applyBorder="1" applyAlignment="1">
      <alignment horizontal="center" vertical="center"/>
    </xf>
    <xf numFmtId="1" fontId="45" fillId="9" borderId="132" xfId="0" applyNumberFormat="1" applyFont="1" applyFill="1" applyBorder="1" applyAlignment="1">
      <alignment horizontal="center" vertical="center"/>
    </xf>
    <xf numFmtId="1" fontId="1" fillId="0" borderId="118" xfId="0" applyNumberFormat="1" applyFont="1" applyBorder="1" applyAlignment="1">
      <alignment horizontal="center" vertical="center"/>
    </xf>
    <xf numFmtId="1" fontId="1" fillId="0" borderId="58" xfId="0" applyNumberFormat="1" applyFont="1" applyBorder="1" applyAlignment="1">
      <alignment horizontal="center" vertical="center"/>
    </xf>
    <xf numFmtId="0" fontId="1" fillId="0" borderId="133" xfId="0" applyFont="1" applyFill="1" applyBorder="1" applyAlignment="1">
      <alignment horizontal="center" vertical="center"/>
    </xf>
    <xf numFmtId="164" fontId="4" fillId="0" borderId="132" xfId="0" applyNumberFormat="1" applyFont="1" applyFill="1" applyBorder="1" applyAlignment="1">
      <alignment horizontal="center" vertical="center"/>
    </xf>
    <xf numFmtId="0" fontId="6" fillId="0" borderId="25" xfId="0" applyNumberFormat="1" applyFont="1" applyFill="1" applyBorder="1" applyAlignment="1">
      <alignment horizontal="center"/>
    </xf>
    <xf numFmtId="9" fontId="6" fillId="0" borderId="24" xfId="2" applyFont="1" applyFill="1" applyBorder="1" applyAlignment="1">
      <alignment horizontal="center" shrinkToFit="1"/>
    </xf>
    <xf numFmtId="0" fontId="1" fillId="0" borderId="110" xfId="0" applyFont="1" applyFill="1" applyBorder="1" applyAlignment="1">
      <alignment horizontal="center" vertical="center" shrinkToFit="1"/>
    </xf>
    <xf numFmtId="0" fontId="1" fillId="0" borderId="118" xfId="0" applyFont="1" applyFill="1" applyBorder="1" applyAlignment="1">
      <alignment horizontal="center" vertical="center" shrinkToFit="1"/>
    </xf>
    <xf numFmtId="0" fontId="1" fillId="12" borderId="96" xfId="0" applyFont="1" applyFill="1" applyBorder="1" applyAlignment="1">
      <alignment horizontal="center" vertical="center"/>
    </xf>
    <xf numFmtId="0" fontId="1" fillId="12" borderId="97" xfId="0" applyFont="1" applyFill="1" applyBorder="1" applyAlignment="1">
      <alignment horizontal="center" vertical="center"/>
    </xf>
    <xf numFmtId="0" fontId="1" fillId="12" borderId="97" xfId="0" quotePrefix="1" applyFont="1" applyFill="1" applyBorder="1" applyAlignment="1">
      <alignment horizontal="center" vertical="center"/>
    </xf>
    <xf numFmtId="9" fontId="1" fillId="12" borderId="97" xfId="0" applyNumberFormat="1" applyFont="1" applyFill="1" applyBorder="1" applyAlignment="1">
      <alignment horizontal="center" vertical="center"/>
    </xf>
    <xf numFmtId="164" fontId="1" fillId="12" borderId="97" xfId="0" applyNumberFormat="1" applyFont="1" applyFill="1" applyBorder="1" applyAlignment="1">
      <alignment horizontal="center" vertical="center"/>
    </xf>
    <xf numFmtId="164" fontId="4" fillId="12" borderId="134" xfId="0" applyNumberFormat="1" applyFont="1" applyFill="1" applyBorder="1" applyAlignment="1">
      <alignment horizontal="centerContinuous" vertical="center"/>
    </xf>
    <xf numFmtId="164" fontId="1" fillId="12" borderId="135" xfId="0" applyNumberFormat="1" applyFont="1" applyFill="1" applyBorder="1" applyAlignment="1">
      <alignment horizontal="centerContinuous" vertical="center"/>
    </xf>
    <xf numFmtId="0" fontId="4" fillId="12" borderId="136" xfId="0" quotePrefix="1" applyFont="1" applyFill="1" applyBorder="1" applyAlignment="1">
      <alignment horizontal="centerContinuous" vertical="center"/>
    </xf>
    <xf numFmtId="1" fontId="1" fillId="12" borderId="95" xfId="0" applyNumberFormat="1" applyFont="1" applyFill="1" applyBorder="1" applyAlignment="1">
      <alignment horizontal="center" vertical="center"/>
    </xf>
    <xf numFmtId="0" fontId="6" fillId="0" borderId="62" xfId="5" applyFont="1" applyFill="1" applyBorder="1" applyAlignment="1">
      <alignment horizontal="center" wrapText="1"/>
    </xf>
    <xf numFmtId="9" fontId="6" fillId="0" borderId="62" xfId="2" applyFont="1" applyFill="1" applyBorder="1" applyAlignment="1">
      <alignment horizontal="center" shrinkToFit="1"/>
    </xf>
    <xf numFmtId="9" fontId="6" fillId="0" borderId="15" xfId="2" applyFont="1" applyFill="1" applyBorder="1" applyAlignment="1">
      <alignment horizontal="center" shrinkToFit="1"/>
    </xf>
    <xf numFmtId="0" fontId="6" fillId="0" borderId="15" xfId="2" applyNumberFormat="1" applyFont="1" applyFill="1" applyBorder="1" applyAlignment="1">
      <alignment horizontal="center" shrinkToFit="1"/>
    </xf>
    <xf numFmtId="1" fontId="6" fillId="0" borderId="26" xfId="0" applyNumberFormat="1" applyFont="1" applyBorder="1" applyAlignment="1">
      <alignment horizontal="center" vertical="center"/>
    </xf>
    <xf numFmtId="1" fontId="6" fillId="0" borderId="3" xfId="0" applyNumberFormat="1" applyFont="1" applyFill="1" applyBorder="1" applyAlignment="1">
      <alignment horizontal="centerContinuous" vertical="center"/>
    </xf>
    <xf numFmtId="1" fontId="1" fillId="0" borderId="80" xfId="0" applyNumberFormat="1" applyFont="1" applyFill="1" applyBorder="1" applyAlignment="1">
      <alignment horizontal="centerContinuous" vertical="center"/>
    </xf>
    <xf numFmtId="37" fontId="6" fillId="0" borderId="12" xfId="9" applyNumberFormat="1" applyFont="1" applyFill="1" applyBorder="1" applyAlignment="1">
      <alignment horizontal="centerContinuous" vertical="center"/>
    </xf>
    <xf numFmtId="0" fontId="6" fillId="0" borderId="108" xfId="0" applyFont="1" applyFill="1" applyBorder="1" applyAlignment="1">
      <alignment horizontal="centerContinuous" vertical="center"/>
    </xf>
    <xf numFmtId="0" fontId="25" fillId="0" borderId="15" xfId="0" applyNumberFormat="1" applyFont="1" applyFill="1" applyBorder="1" applyAlignment="1">
      <alignment horizontal="center" vertical="center"/>
    </xf>
    <xf numFmtId="49" fontId="25" fillId="0" borderId="15" xfId="0" applyNumberFormat="1" applyFont="1" applyFill="1" applyBorder="1" applyAlignment="1">
      <alignment horizontal="center" vertical="center"/>
    </xf>
    <xf numFmtId="49" fontId="25" fillId="0" borderId="3" xfId="0" applyNumberFormat="1" applyFont="1" applyFill="1" applyBorder="1" applyAlignment="1">
      <alignment horizontal="center" vertical="center"/>
    </xf>
    <xf numFmtId="49" fontId="25" fillId="0" borderId="22" xfId="0" applyNumberFormat="1" applyFont="1" applyFill="1" applyBorder="1" applyAlignment="1">
      <alignment horizontal="center" vertical="center"/>
    </xf>
    <xf numFmtId="0" fontId="57" fillId="0" borderId="31" xfId="0" applyFont="1" applyFill="1" applyBorder="1" applyAlignment="1">
      <alignment horizontal="center" vertical="center" shrinkToFit="1"/>
    </xf>
    <xf numFmtId="0" fontId="6" fillId="0" borderId="58" xfId="0" quotePrefix="1" applyFont="1" applyFill="1" applyBorder="1" applyAlignment="1">
      <alignment horizontal="centerContinuous" vertical="center"/>
    </xf>
    <xf numFmtId="0" fontId="9" fillId="0" borderId="81" xfId="0" applyFont="1" applyFill="1" applyBorder="1" applyAlignment="1">
      <alignment horizontal="centerContinuous" vertical="center" shrinkToFit="1"/>
    </xf>
    <xf numFmtId="0" fontId="54" fillId="0" borderId="58" xfId="0" applyFont="1" applyFill="1" applyBorder="1" applyAlignment="1">
      <alignment horizontal="centerContinuous" vertical="center"/>
    </xf>
    <xf numFmtId="0" fontId="6" fillId="0" borderId="31" xfId="0" applyFont="1" applyFill="1" applyBorder="1" applyAlignment="1">
      <alignment horizontal="centerContinuous" vertical="center"/>
    </xf>
    <xf numFmtId="0" fontId="6" fillId="0" borderId="52" xfId="0" applyFont="1" applyFill="1" applyBorder="1" applyAlignment="1">
      <alignment horizontal="centerContinuous" vertical="center"/>
    </xf>
    <xf numFmtId="0" fontId="60" fillId="7" borderId="64" xfId="0" applyFont="1" applyFill="1" applyBorder="1" applyAlignment="1">
      <alignment horizontal="center" vertical="center"/>
    </xf>
    <xf numFmtId="0" fontId="60" fillId="7" borderId="88" xfId="0" applyFont="1" applyFill="1" applyBorder="1" applyAlignment="1">
      <alignment horizontal="centerContinuous" vertical="center"/>
    </xf>
    <xf numFmtId="0" fontId="60" fillId="7" borderId="87" xfId="0" applyFont="1" applyFill="1" applyBorder="1" applyAlignment="1">
      <alignment horizontal="centerContinuous" vertical="center"/>
    </xf>
    <xf numFmtId="0" fontId="60" fillId="7" borderId="89" xfId="0" applyFont="1" applyFill="1" applyBorder="1" applyAlignment="1">
      <alignment horizontal="centerContinuous" vertical="center"/>
    </xf>
    <xf numFmtId="0" fontId="3" fillId="0" borderId="16" xfId="0" applyFont="1" applyBorder="1" applyAlignment="1">
      <alignment horizontal="center" vertical="center"/>
    </xf>
    <xf numFmtId="0" fontId="1" fillId="0" borderId="9" xfId="0" applyFont="1" applyBorder="1" applyAlignment="1">
      <alignment horizontal="centerContinuous" vertical="center" wrapText="1"/>
    </xf>
    <xf numFmtId="0" fontId="3" fillId="0" borderId="51" xfId="0" applyFont="1" applyFill="1" applyBorder="1" applyAlignment="1">
      <alignment horizontal="centerContinuous" vertical="center" wrapText="1"/>
    </xf>
    <xf numFmtId="0" fontId="1" fillId="0" borderId="9" xfId="0" applyFont="1" applyFill="1" applyBorder="1" applyAlignment="1">
      <alignment horizontal="centerContinuous" vertical="center" wrapText="1"/>
    </xf>
    <xf numFmtId="0" fontId="1" fillId="0" borderId="10" xfId="0" applyFont="1" applyFill="1" applyBorder="1" applyAlignment="1">
      <alignment horizontal="centerContinuous" vertical="center" wrapText="1"/>
    </xf>
    <xf numFmtId="0" fontId="17" fillId="0" borderId="31" xfId="0" applyFont="1" applyFill="1" applyBorder="1" applyAlignment="1">
      <alignment horizontal="centerContinuous" vertical="center" shrinkToFit="1"/>
    </xf>
    <xf numFmtId="0" fontId="6" fillId="0" borderId="82" xfId="0" applyFont="1" applyFill="1" applyBorder="1" applyAlignment="1">
      <alignment horizontal="centerContinuous" vertical="center"/>
    </xf>
    <xf numFmtId="0" fontId="49" fillId="0" borderId="17" xfId="0" applyFont="1" applyBorder="1" applyAlignment="1">
      <alignment horizontal="center" vertical="center"/>
    </xf>
    <xf numFmtId="0" fontId="49" fillId="0" borderId="99" xfId="0" applyFont="1" applyBorder="1" applyAlignment="1">
      <alignment horizontal="center" vertical="center"/>
    </xf>
    <xf numFmtId="0" fontId="49" fillId="0" borderId="100" xfId="0" applyFont="1" applyBorder="1" applyAlignment="1">
      <alignment horizontal="center" vertical="center"/>
    </xf>
    <xf numFmtId="0" fontId="49" fillId="0" borderId="101" xfId="0" applyFont="1" applyBorder="1" applyAlignment="1">
      <alignment horizontal="center" vertical="center"/>
    </xf>
    <xf numFmtId="0" fontId="6" fillId="0" borderId="58" xfId="0" applyFont="1" applyFill="1" applyBorder="1" applyAlignment="1">
      <alignment horizontal="centerContinuous" vertical="center"/>
    </xf>
    <xf numFmtId="0" fontId="0" fillId="0" borderId="102" xfId="0" applyBorder="1" applyAlignment="1">
      <alignment horizontal="center" vertical="center"/>
    </xf>
    <xf numFmtId="1" fontId="0" fillId="0" borderId="103" xfId="0" applyNumberFormat="1" applyBorder="1" applyAlignment="1">
      <alignment horizontal="center" vertical="center"/>
    </xf>
    <xf numFmtId="0" fontId="0" fillId="0" borderId="36" xfId="0" applyBorder="1" applyAlignment="1">
      <alignment horizontal="center" vertical="center"/>
    </xf>
    <xf numFmtId="0" fontId="0" fillId="8" borderId="48" xfId="0" applyFill="1" applyBorder="1" applyAlignment="1">
      <alignment horizontal="center" vertical="center"/>
    </xf>
    <xf numFmtId="0" fontId="0" fillId="8" borderId="45" xfId="0" applyFill="1" applyBorder="1" applyAlignment="1">
      <alignment horizontal="center" vertical="center"/>
    </xf>
    <xf numFmtId="0" fontId="0" fillId="0" borderId="104" xfId="0" applyBorder="1" applyAlignment="1">
      <alignment horizontal="center" vertical="center"/>
    </xf>
    <xf numFmtId="1" fontId="0" fillId="0" borderId="105" xfId="0" applyNumberFormat="1" applyBorder="1" applyAlignment="1">
      <alignment horizontal="center" vertical="center"/>
    </xf>
    <xf numFmtId="0" fontId="0" fillId="8" borderId="36" xfId="0" applyFill="1" applyBorder="1" applyAlignment="1">
      <alignment horizontal="center" vertical="center"/>
    </xf>
    <xf numFmtId="0" fontId="0" fillId="8" borderId="38" xfId="0" applyFill="1" applyBorder="1" applyAlignment="1">
      <alignment horizontal="center" vertical="center"/>
    </xf>
    <xf numFmtId="0" fontId="26" fillId="0" borderId="52" xfId="0" quotePrefix="1" applyFont="1" applyFill="1" applyBorder="1" applyAlignment="1">
      <alignment horizontal="center" vertical="center" shrinkToFit="1"/>
    </xf>
    <xf numFmtId="0" fontId="0" fillId="0" borderId="106" xfId="0" applyBorder="1" applyAlignment="1">
      <alignment horizontal="center" vertical="center"/>
    </xf>
    <xf numFmtId="1" fontId="0" fillId="0" borderId="107" xfId="0" applyNumberFormat="1" applyBorder="1" applyAlignment="1">
      <alignment horizontal="center" vertical="center"/>
    </xf>
    <xf numFmtId="0" fontId="0" fillId="0" borderId="42" xfId="0" applyBorder="1" applyAlignment="1">
      <alignment horizontal="center" vertical="center"/>
    </xf>
    <xf numFmtId="0" fontId="46" fillId="0" borderId="91" xfId="0" applyFont="1" applyFill="1" applyBorder="1" applyAlignment="1">
      <alignment horizontal="centerContinuous" vertical="top" shrinkToFit="1"/>
    </xf>
    <xf numFmtId="49" fontId="16" fillId="0" borderId="29" xfId="0" applyNumberFormat="1" applyFont="1" applyFill="1" applyBorder="1" applyAlignment="1">
      <alignment horizontal="center" shrinkToFit="1"/>
    </xf>
    <xf numFmtId="0" fontId="57" fillId="0" borderId="31" xfId="0" applyFont="1" applyFill="1" applyBorder="1" applyAlignment="1">
      <alignment horizontal="centerContinuous" vertical="center"/>
    </xf>
    <xf numFmtId="0" fontId="6" fillId="12" borderId="3" xfId="0" quotePrefix="1" applyFont="1" applyFill="1" applyBorder="1" applyAlignment="1">
      <alignment horizontal="center" vertical="center"/>
    </xf>
    <xf numFmtId="0" fontId="8" fillId="0" borderId="3" xfId="0" quotePrefix="1" applyFont="1" applyFill="1" applyBorder="1" applyAlignment="1">
      <alignment horizontal="center" vertical="center"/>
    </xf>
    <xf numFmtId="0" fontId="6" fillId="0" borderId="22" xfId="0" quotePrefix="1" applyFont="1" applyFill="1" applyBorder="1" applyAlignment="1">
      <alignment horizontal="center" vertical="center"/>
    </xf>
    <xf numFmtId="0" fontId="1" fillId="0" borderId="137" xfId="0" applyFont="1" applyBorder="1" applyAlignment="1">
      <alignment horizontal="center" vertical="center" shrinkToFit="1"/>
    </xf>
    <xf numFmtId="0" fontId="1" fillId="0" borderId="138" xfId="0" applyFont="1" applyBorder="1" applyAlignment="1">
      <alignment horizontal="center" vertical="center"/>
    </xf>
    <xf numFmtId="0" fontId="1" fillId="0" borderId="138" xfId="0" quotePrefix="1" applyFont="1" applyBorder="1" applyAlignment="1">
      <alignment horizontal="center" vertical="center"/>
    </xf>
    <xf numFmtId="9" fontId="1" fillId="0" borderId="138" xfId="0" applyNumberFormat="1" applyFont="1" applyFill="1" applyBorder="1" applyAlignment="1">
      <alignment horizontal="center" vertical="center"/>
    </xf>
    <xf numFmtId="49" fontId="1" fillId="0" borderId="138" xfId="0" quotePrefix="1" applyNumberFormat="1" applyFont="1" applyBorder="1" applyAlignment="1">
      <alignment horizontal="center" vertical="center"/>
    </xf>
    <xf numFmtId="164" fontId="1" fillId="0" borderId="138" xfId="0" applyNumberFormat="1" applyFont="1" applyFill="1" applyBorder="1" applyAlignment="1">
      <alignment horizontal="center" vertical="center"/>
    </xf>
    <xf numFmtId="164" fontId="1" fillId="0" borderId="139" xfId="0" applyNumberFormat="1" applyFont="1" applyFill="1" applyBorder="1" applyAlignment="1">
      <alignment horizontal="centerContinuous" vertical="center"/>
    </xf>
    <xf numFmtId="164" fontId="1" fillId="0" borderId="140" xfId="0" applyNumberFormat="1" applyFont="1" applyFill="1" applyBorder="1" applyAlignment="1">
      <alignment horizontal="centerContinuous" vertical="center"/>
    </xf>
    <xf numFmtId="0" fontId="1" fillId="0" borderId="141" xfId="0" quotePrefix="1" applyFont="1" applyBorder="1" applyAlignment="1">
      <alignment horizontal="centerContinuous" vertical="center"/>
    </xf>
    <xf numFmtId="0" fontId="1" fillId="0" borderId="37" xfId="0" applyFont="1" applyBorder="1" applyAlignment="1">
      <alignment horizontal="left" vertical="center"/>
    </xf>
    <xf numFmtId="9" fontId="4" fillId="0" borderId="0" xfId="2" applyFont="1" applyBorder="1" applyAlignment="1">
      <alignment horizontal="center" vertical="center"/>
    </xf>
    <xf numFmtId="0" fontId="1" fillId="0" borderId="36" xfId="0" applyFont="1" applyBorder="1" applyAlignment="1">
      <alignment horizontal="center" vertical="center"/>
    </xf>
    <xf numFmtId="0" fontId="4" fillId="0" borderId="49" xfId="0" applyFont="1" applyBorder="1" applyAlignment="1">
      <alignment horizontal="center" vertical="center"/>
    </xf>
    <xf numFmtId="0" fontId="4" fillId="0" borderId="43" xfId="0" applyFont="1" applyBorder="1" applyAlignment="1">
      <alignment horizontal="center" vertical="center"/>
    </xf>
    <xf numFmtId="0" fontId="43" fillId="9" borderId="32" xfId="0" applyNumberFormat="1" applyFont="1" applyFill="1" applyBorder="1" applyAlignment="1">
      <alignment horizontal="center" vertical="center"/>
    </xf>
    <xf numFmtId="0" fontId="40" fillId="0" borderId="23" xfId="0" applyFont="1" applyFill="1" applyBorder="1" applyAlignment="1">
      <alignment horizontal="center" vertical="center"/>
    </xf>
    <xf numFmtId="0" fontId="6" fillId="12" borderId="23" xfId="0" applyFont="1" applyFill="1" applyBorder="1" applyAlignment="1">
      <alignment horizontal="center" vertical="center"/>
    </xf>
    <xf numFmtId="1" fontId="6" fillId="0" borderId="23"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0" fontId="43" fillId="0" borderId="62" xfId="0" applyFont="1" applyFill="1" applyBorder="1" applyAlignment="1">
      <alignment horizontal="center" vertical="center"/>
    </xf>
    <xf numFmtId="0" fontId="6" fillId="12" borderId="62" xfId="0" applyFont="1" applyFill="1" applyBorder="1" applyAlignment="1">
      <alignment horizontal="center" vertical="center"/>
    </xf>
    <xf numFmtId="1" fontId="6" fillId="0" borderId="62" xfId="0" applyNumberFormat="1" applyFont="1" applyFill="1" applyBorder="1" applyAlignment="1">
      <alignment horizontal="center" vertical="center"/>
    </xf>
    <xf numFmtId="49" fontId="6" fillId="0" borderId="62" xfId="0" applyNumberFormat="1" applyFont="1" applyFill="1" applyBorder="1" applyAlignment="1">
      <alignment horizontal="center" vertical="center"/>
    </xf>
    <xf numFmtId="49" fontId="22" fillId="6" borderId="23" xfId="0" applyNumberFormat="1" applyFont="1" applyFill="1" applyBorder="1" applyAlignment="1">
      <alignment horizontal="center" vertical="center"/>
    </xf>
    <xf numFmtId="0" fontId="22" fillId="6" borderId="24" xfId="0" applyNumberFormat="1" applyFont="1" applyFill="1" applyBorder="1" applyAlignment="1">
      <alignment horizontal="center" vertical="center"/>
    </xf>
    <xf numFmtId="0" fontId="13" fillId="6" borderId="24" xfId="0" applyNumberFormat="1" applyFont="1" applyFill="1" applyBorder="1" applyAlignment="1">
      <alignment horizontal="center" vertical="center"/>
    </xf>
    <xf numFmtId="1" fontId="6" fillId="0" borderId="13" xfId="0" applyNumberFormat="1" applyFont="1" applyFill="1" applyBorder="1" applyAlignment="1">
      <alignment horizontal="center" vertical="center"/>
    </xf>
    <xf numFmtId="0" fontId="1" fillId="8" borderId="119" xfId="0" quotePrefix="1" applyFont="1" applyFill="1" applyBorder="1" applyAlignment="1">
      <alignment horizontal="center" vertical="center"/>
    </xf>
    <xf numFmtId="0" fontId="1" fillId="13" borderId="119" xfId="0" quotePrefix="1" applyFont="1" applyFill="1" applyBorder="1" applyAlignment="1">
      <alignment horizontal="center" vertical="center"/>
    </xf>
    <xf numFmtId="0" fontId="1" fillId="0" borderId="142" xfId="0" applyFont="1" applyBorder="1" applyAlignment="1">
      <alignment horizontal="center" vertical="center" shrinkToFit="1"/>
    </xf>
    <xf numFmtId="1" fontId="1" fillId="0" borderId="39" xfId="0" applyNumberFormat="1" applyFont="1" applyBorder="1" applyAlignment="1">
      <alignment horizontal="center" vertical="center" shrinkToFit="1"/>
    </xf>
    <xf numFmtId="0" fontId="1" fillId="0" borderId="143" xfId="0" applyFont="1" applyBorder="1" applyAlignment="1">
      <alignment horizontal="left" vertical="center"/>
    </xf>
    <xf numFmtId="1" fontId="1" fillId="0" borderId="95" xfId="0" applyNumberFormat="1" applyFont="1" applyBorder="1" applyAlignment="1">
      <alignment horizontal="center" vertical="center" shrinkToFit="1"/>
    </xf>
    <xf numFmtId="0" fontId="67" fillId="0" borderId="0" xfId="0" applyFont="1" applyBorder="1" applyAlignment="1">
      <alignment horizontal="centerContinuous" vertical="center" wrapText="1"/>
    </xf>
    <xf numFmtId="0" fontId="69" fillId="0" borderId="104" xfId="0" applyFont="1" applyBorder="1" applyAlignment="1">
      <alignment horizontal="center" vertical="center"/>
    </xf>
    <xf numFmtId="1" fontId="69" fillId="0" borderId="105" xfId="0" applyNumberFormat="1" applyFont="1" applyBorder="1" applyAlignment="1">
      <alignment horizontal="center" vertical="center"/>
    </xf>
    <xf numFmtId="0" fontId="69" fillId="0" borderId="36" xfId="0" applyFont="1" applyBorder="1" applyAlignment="1">
      <alignment horizontal="center" vertical="center"/>
    </xf>
    <xf numFmtId="0" fontId="0" fillId="8" borderId="40" xfId="0" applyFill="1" applyBorder="1" applyAlignment="1">
      <alignment horizontal="center" vertical="center"/>
    </xf>
    <xf numFmtId="0" fontId="0" fillId="0" borderId="40" xfId="0" applyFill="1" applyBorder="1" applyAlignment="1">
      <alignment horizontal="center" vertical="center"/>
    </xf>
    <xf numFmtId="0" fontId="0" fillId="0" borderId="44" xfId="0" applyFill="1" applyBorder="1" applyAlignment="1">
      <alignment horizontal="center" vertical="center"/>
    </xf>
    <xf numFmtId="0" fontId="70" fillId="8" borderId="40" xfId="0" applyFont="1" applyFill="1" applyBorder="1" applyAlignment="1">
      <alignment horizontal="center" vertical="center"/>
    </xf>
    <xf numFmtId="1" fontId="0" fillId="0" borderId="36" xfId="0" applyNumberFormat="1" applyBorder="1" applyAlignment="1">
      <alignment horizontal="center" vertical="center"/>
    </xf>
    <xf numFmtId="1" fontId="69" fillId="0" borderId="36" xfId="0" applyNumberFormat="1" applyFont="1" applyBorder="1" applyAlignment="1">
      <alignment horizontal="center" vertical="center"/>
    </xf>
    <xf numFmtId="1" fontId="0" fillId="0" borderId="42" xfId="0" applyNumberFormat="1" applyBorder="1" applyAlignment="1">
      <alignment horizontal="center" vertical="center"/>
    </xf>
    <xf numFmtId="1" fontId="1" fillId="0" borderId="116" xfId="5" applyNumberFormat="1" applyBorder="1" applyAlignment="1">
      <alignment horizontal="center" vertical="center"/>
    </xf>
    <xf numFmtId="0" fontId="60" fillId="7" borderId="44" xfId="0" applyFont="1" applyFill="1" applyBorder="1" applyAlignment="1">
      <alignment horizontal="center" vertical="center" wrapText="1"/>
    </xf>
    <xf numFmtId="0" fontId="60" fillId="7" borderId="129" xfId="0" applyFont="1" applyFill="1" applyBorder="1" applyAlignment="1">
      <alignment horizontal="center" vertical="center" wrapText="1"/>
    </xf>
    <xf numFmtId="0" fontId="1" fillId="0" borderId="126"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62" fillId="0" borderId="8" xfId="5" applyFont="1" applyFill="1" applyBorder="1" applyAlignment="1">
      <alignment horizontal="center" shrinkToFit="1"/>
    </xf>
    <xf numFmtId="0" fontId="6" fillId="0" borderId="50" xfId="5" applyFont="1" applyFill="1" applyBorder="1" applyAlignment="1">
      <alignment horizontal="center" wrapText="1"/>
    </xf>
    <xf numFmtId="9" fontId="6" fillId="0" borderId="50" xfId="2" applyFont="1" applyFill="1" applyBorder="1" applyAlignment="1">
      <alignment horizontal="center" vertical="center" shrinkToFit="1"/>
    </xf>
    <xf numFmtId="9" fontId="6" fillId="0" borderId="51" xfId="2" applyFont="1" applyFill="1" applyBorder="1" applyAlignment="1">
      <alignment horizontal="center" vertical="center" shrinkToFit="1"/>
    </xf>
    <xf numFmtId="0" fontId="6" fillId="0" borderId="51" xfId="2" applyNumberFormat="1" applyFont="1" applyFill="1" applyBorder="1" applyAlignment="1">
      <alignment horizontal="center" vertical="center" shrinkToFit="1"/>
    </xf>
    <xf numFmtId="0" fontId="6" fillId="0" borderId="30" xfId="0" applyNumberFormat="1" applyFont="1" applyFill="1" applyBorder="1" applyAlignment="1">
      <alignment horizontal="center" vertical="center" wrapText="1"/>
    </xf>
    <xf numFmtId="0" fontId="6" fillId="0" borderId="24" xfId="0" applyFont="1" applyBorder="1" applyAlignment="1">
      <alignment horizontal="center" vertical="center" shrinkToFit="1"/>
    </xf>
    <xf numFmtId="0" fontId="6" fillId="0" borderId="25" xfId="0" applyFont="1" applyBorder="1" applyAlignment="1">
      <alignment horizontal="center" vertical="center" wrapText="1"/>
    </xf>
    <xf numFmtId="0" fontId="1" fillId="0" borderId="35" xfId="0" applyFont="1" applyBorder="1" applyAlignment="1">
      <alignment horizontal="center" shrinkToFit="1"/>
    </xf>
    <xf numFmtId="1" fontId="1" fillId="0" borderId="42" xfId="0" applyNumberFormat="1" applyFont="1" applyBorder="1" applyAlignment="1">
      <alignment horizontal="center" vertical="center" shrinkToFit="1"/>
    </xf>
    <xf numFmtId="0" fontId="1" fillId="0" borderId="44" xfId="0" applyFont="1" applyBorder="1" applyAlignment="1">
      <alignment horizontal="left" vertical="center" shrinkToFit="1"/>
    </xf>
    <xf numFmtId="0" fontId="1" fillId="0" borderId="144" xfId="0" applyFont="1" applyBorder="1" applyAlignment="1">
      <alignment horizontal="center" vertical="center" shrinkToFit="1"/>
    </xf>
    <xf numFmtId="0" fontId="1" fillId="0" borderId="105" xfId="0" applyFont="1" applyBorder="1" applyAlignment="1">
      <alignment horizontal="center" vertical="center" shrinkToFit="1"/>
    </xf>
    <xf numFmtId="0" fontId="1" fillId="0" borderId="36" xfId="0" applyFont="1" applyBorder="1" applyAlignment="1">
      <alignment horizontal="left" vertical="center"/>
    </xf>
    <xf numFmtId="0" fontId="60" fillId="12" borderId="128" xfId="0" applyFont="1" applyFill="1" applyBorder="1" applyAlignment="1">
      <alignment horizontal="center" vertical="center" wrapText="1"/>
    </xf>
    <xf numFmtId="0" fontId="1" fillId="0" borderId="142" xfId="0" applyFont="1" applyFill="1" applyBorder="1" applyAlignment="1">
      <alignment horizontal="centerContinuous" vertical="center" shrinkToFit="1"/>
    </xf>
    <xf numFmtId="0" fontId="20" fillId="0" borderId="135" xfId="0" applyFont="1" applyFill="1" applyBorder="1" applyAlignment="1">
      <alignment horizontal="centerContinuous" vertical="center"/>
    </xf>
    <xf numFmtId="0" fontId="20" fillId="0" borderId="145" xfId="0" applyFont="1" applyFill="1" applyBorder="1" applyAlignment="1">
      <alignment horizontal="centerContinuous" vertical="center"/>
    </xf>
    <xf numFmtId="0" fontId="1" fillId="0" borderId="143"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136" xfId="0" applyFont="1" applyFill="1" applyBorder="1" applyAlignment="1">
      <alignment horizontal="centerContinuous" vertical="center"/>
    </xf>
    <xf numFmtId="0" fontId="39" fillId="14" borderId="15" xfId="0" applyFont="1" applyFill="1" applyBorder="1" applyAlignment="1">
      <alignment horizontal="center" vertical="center"/>
    </xf>
    <xf numFmtId="0" fontId="39" fillId="15" borderId="3" xfId="0" quotePrefix="1" applyFont="1" applyFill="1" applyBorder="1" applyAlignment="1">
      <alignment horizontal="center" vertical="center"/>
    </xf>
    <xf numFmtId="164" fontId="4" fillId="0" borderId="114" xfId="0" applyNumberFormat="1" applyFont="1" applyBorder="1" applyAlignment="1">
      <alignment horizontal="centerContinuous" vertical="center"/>
    </xf>
    <xf numFmtId="164" fontId="4" fillId="12" borderId="135" xfId="0" applyNumberFormat="1" applyFont="1" applyFill="1" applyBorder="1" applyAlignment="1">
      <alignment horizontal="centerContinuous" vertical="center"/>
    </xf>
    <xf numFmtId="164" fontId="1" fillId="10" borderId="76" xfId="0" applyNumberFormat="1" applyFont="1" applyFill="1" applyBorder="1" applyAlignment="1">
      <alignment horizontal="centerContinuous" vertical="center"/>
    </xf>
    <xf numFmtId="0" fontId="1" fillId="0" borderId="119" xfId="0" quotePrefix="1" applyFont="1" applyFill="1" applyBorder="1" applyAlignment="1">
      <alignment horizontal="center" vertical="center"/>
    </xf>
    <xf numFmtId="0" fontId="66" fillId="0" borderId="0" xfId="0" applyFont="1" applyBorder="1" applyAlignment="1">
      <alignment vertical="center"/>
    </xf>
    <xf numFmtId="1" fontId="6" fillId="0" borderId="26" xfId="0" applyNumberFormat="1" applyFont="1" applyFill="1" applyBorder="1" applyAlignment="1">
      <alignment horizontal="center" vertical="center"/>
    </xf>
    <xf numFmtId="0" fontId="71" fillId="0" borderId="38" xfId="0" applyFont="1" applyBorder="1" applyAlignment="1">
      <alignment horizontal="left" vertical="center" shrinkToFit="1"/>
    </xf>
    <xf numFmtId="1" fontId="37" fillId="14" borderId="65" xfId="0" applyNumberFormat="1" applyFont="1" applyFill="1" applyBorder="1" applyAlignment="1">
      <alignment horizontal="centerContinuous" vertical="center"/>
    </xf>
    <xf numFmtId="1" fontId="71" fillId="14" borderId="66" xfId="0" applyNumberFormat="1" applyFont="1" applyFill="1" applyBorder="1" applyAlignment="1">
      <alignment horizontal="centerContinuous" vertical="center"/>
    </xf>
    <xf numFmtId="0" fontId="69" fillId="0" borderId="40" xfId="0" applyFont="1" applyBorder="1" applyAlignment="1">
      <alignment horizontal="center" vertical="center"/>
    </xf>
    <xf numFmtId="0" fontId="6" fillId="8" borderId="24" xfId="0" applyNumberFormat="1" applyFont="1" applyFill="1" applyBorder="1" applyAlignment="1">
      <alignment horizontal="center" vertical="center"/>
    </xf>
  </cellXfs>
  <cellStyles count="10">
    <cellStyle name="Comma" xfId="9" builtinId="3"/>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4" xfId="8" xr:uid="{00000000-0005-0000-0000-000006000000}"/>
    <cellStyle name="Percent" xfId="2" builtinId="5"/>
    <cellStyle name="Percent 2" xfId="3" xr:uid="{00000000-0005-0000-0000-000008000000}"/>
    <cellStyle name="Percent 2 2" xfId="7" xr:uid="{00000000-0005-0000-0000-000009000000}"/>
  </cellStyles>
  <dxfs count="33">
    <dxf>
      <fill>
        <gradientFill type="path" left="0.5" right="0.5" top="0.5" bottom="0.5">
          <stop position="0">
            <color rgb="FFFF0000"/>
          </stop>
          <stop position="1">
            <color rgb="FFFFC000"/>
          </stop>
        </gradientFill>
      </fill>
    </dxf>
    <dxf>
      <fill>
        <patternFill>
          <bgColor rgb="FFFF0000"/>
        </patternFill>
      </fill>
    </dxf>
    <dxf>
      <fill>
        <patternFill>
          <bgColor rgb="FFFF0000"/>
        </patternFill>
      </fill>
    </dxf>
    <dxf>
      <fill>
        <patternFill>
          <bgColor rgb="FFFF0000"/>
        </patternFill>
      </fill>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gradientFill type="path" left="0.5" right="0.5" top="0.5" bottom="0.5">
          <stop position="0">
            <color rgb="FFFF0000"/>
          </stop>
          <stop position="1">
            <color rgb="FFFFC000"/>
          </stop>
        </gradient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9FF99"/>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00FF00"/>
      <color rgb="FF9966FF"/>
      <color rgb="FF00FFFF"/>
      <color rgb="FFCCFFCC"/>
      <color rgb="FF9933FF"/>
      <color rgb="FFFF6600"/>
      <color rgb="FF66FF33"/>
      <color rgb="FF99FF99"/>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114301</xdr:colOff>
      <xdr:row>1</xdr:row>
      <xdr:rowOff>91440</xdr:rowOff>
    </xdr:from>
    <xdr:to>
      <xdr:col>6</xdr:col>
      <xdr:colOff>946899</xdr:colOff>
      <xdr:row>14</xdr:row>
      <xdr:rowOff>167640</xdr:rowOff>
    </xdr:to>
    <xdr:pic>
      <xdr:nvPicPr>
        <xdr:cNvPr id="2" name="Picture 1">
          <a:extLst>
            <a:ext uri="{FF2B5EF4-FFF2-40B4-BE49-F238E27FC236}">
              <a16:creationId xmlns:a16="http://schemas.microsoft.com/office/drawing/2014/main" id="{3DB17B4D-7DC6-4197-B056-CBB615FB0DD7}"/>
            </a:ext>
          </a:extLst>
        </xdr:cNvPr>
        <xdr:cNvPicPr>
          <a:picLocks noChangeAspect="1"/>
        </xdr:cNvPicPr>
      </xdr:nvPicPr>
      <xdr:blipFill>
        <a:blip xmlns:r="http://schemas.openxmlformats.org/officeDocument/2006/relationships" r:embed="rId1"/>
        <a:stretch>
          <a:fillRect/>
        </a:stretch>
      </xdr:blipFill>
      <xdr:spPr>
        <a:xfrm>
          <a:off x="4244341" y="464820"/>
          <a:ext cx="1884158" cy="2887980"/>
        </a:xfrm>
        <a:prstGeom prst="rect">
          <a:avLst/>
        </a:prstGeom>
        <a:ln w="31750" cmpd="dbl">
          <a:solidFill>
            <a:srgbClr val="9933FF"/>
          </a:solidFill>
        </a:ln>
      </xdr:spPr>
    </xdr:pic>
    <xdr:clientData/>
  </xdr:twoCellAnchor>
  <xdr:twoCellAnchor>
    <xdr:from>
      <xdr:col>0</xdr:col>
      <xdr:colOff>26670</xdr:colOff>
      <xdr:row>16</xdr:row>
      <xdr:rowOff>34290</xdr:rowOff>
    </xdr:from>
    <xdr:to>
      <xdr:col>6</xdr:col>
      <xdr:colOff>1017270</xdr:colOff>
      <xdr:row>32</xdr:row>
      <xdr:rowOff>148590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26670" y="3745230"/>
          <a:ext cx="6172200" cy="3535680"/>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itchFamily="18" charset="0"/>
              <a:ea typeface="+mn-ea"/>
              <a:cs typeface="Times New Roman" pitchFamily="18" charset="0"/>
            </a:rPr>
            <a:t>Appearance:  </a:t>
          </a:r>
          <a:r>
            <a:rPr lang="en-US" sz="1200">
              <a:effectLst/>
              <a:latin typeface="Times New Roman" pitchFamily="18" charset="0"/>
              <a:ea typeface="+mn-ea"/>
              <a:cs typeface="Times New Roman" pitchFamily="18" charset="0"/>
            </a:rPr>
            <a:t>Lauren is an average-looking half-drow with white hair and amber eyes and skin that looks like she’s been rubbed with ashes.  She tends to prefer darker colors if only because it suits her occupation.</a:t>
          </a:r>
        </a:p>
        <a:p>
          <a:pPr algn="just"/>
          <a:endParaRPr lang="en-US" sz="1200">
            <a:effectLst/>
            <a:latin typeface="Times New Roman" pitchFamily="18" charset="0"/>
            <a:ea typeface="+mn-ea"/>
            <a:cs typeface="Times New Roman" pitchFamily="18" charset="0"/>
          </a:endParaRPr>
        </a:p>
        <a:p>
          <a:pPr algn="just"/>
          <a:r>
            <a:rPr lang="en-US" sz="1200" b="1">
              <a:effectLst/>
              <a:latin typeface="Times New Roman" pitchFamily="18" charset="0"/>
              <a:ea typeface="+mn-ea"/>
              <a:cs typeface="Times New Roman" pitchFamily="18" charset="0"/>
            </a:rPr>
            <a:t>History:  </a:t>
          </a:r>
          <a:r>
            <a:rPr lang="en-US" sz="1200">
              <a:effectLst/>
              <a:latin typeface="Times New Roman" pitchFamily="18" charset="0"/>
              <a:ea typeface="+mn-ea"/>
              <a:cs typeface="Times New Roman" pitchFamily="18" charset="0"/>
            </a:rPr>
            <a:t>Lauren’s human father had an affair with a drow.  The half-drow woman did not fit the stereotype for drow.  She was a polite, respectful businesswoman.  Unfortunately, not everyone else in her family was so atypical.  A brother attempted to murder her for having a half-human baby.  She escaped the assassination attempt long enough to seek help.  The strain pushed her into an early delivery and while the baby lived, her already battered body gave out.  Lauren’s father, a bit of a rake, sent the infant to live with his parents.  They raised her on their farm, treating her well but keeping her sheltered.  Eventually she grew up and discovered that her greyish skin drew considerable negative attention.  Her grandparents passed away and she set out to discover more about herself.  What she learned was that she wasn’t a big fan of drow and that she had a talent for both fighting and magic.  She traveled with a human duskblade for a while then set off by herself.  She found herself in Waterdeep for no particular reason but thought she might find employment that was heavy on pay and low on rules.  The morality of the situation was of secondary concern.</a:t>
          </a:r>
        </a:p>
        <a:p>
          <a:pPr algn="just"/>
          <a:endParaRPr lang="en-US" sz="1200">
            <a:effectLst/>
            <a:latin typeface="Times New Roman" pitchFamily="18" charset="0"/>
            <a:ea typeface="+mn-ea"/>
            <a:cs typeface="Times New Roman" pitchFamily="18" charset="0"/>
          </a:endParaRPr>
        </a:p>
        <a:p>
          <a:pPr algn="just"/>
          <a:r>
            <a:rPr lang="en-US" sz="1200" b="1">
              <a:effectLst/>
              <a:latin typeface="Times New Roman" pitchFamily="18" charset="0"/>
              <a:ea typeface="+mn-ea"/>
              <a:cs typeface="Times New Roman" pitchFamily="18" charset="0"/>
            </a:rPr>
            <a:t>Personality: </a:t>
          </a:r>
          <a:r>
            <a:rPr lang="en-US" sz="1200">
              <a:effectLst/>
              <a:latin typeface="Times New Roman" pitchFamily="18" charset="0"/>
              <a:ea typeface="+mn-ea"/>
              <a:cs typeface="Times New Roman" pitchFamily="18" charset="0"/>
            </a:rPr>
            <a:t>Lauren is reserved, standoffish really, but that’s mostly due to the assumption that she is being judged for something she had no part in, her racial makeup.  Once she determines she is not being judge for that, she warms up and can be quite pleasant.  She works hard on a somewhat menacing appearance with dark clothes and a stern demeanor when she is not with people she considers friends.</a:t>
          </a:r>
        </a:p>
      </xdr:txBody>
    </xdr:sp>
    <xdr:clientData/>
  </xdr:twoCellAnchor>
  <xdr:twoCellAnchor>
    <xdr:from>
      <xdr:col>5</xdr:col>
      <xdr:colOff>76200</xdr:colOff>
      <xdr:row>15</xdr:row>
      <xdr:rowOff>7620</xdr:rowOff>
    </xdr:from>
    <xdr:to>
      <xdr:col>6</xdr:col>
      <xdr:colOff>982980</xdr:colOff>
      <xdr:row>15</xdr:row>
      <xdr:rowOff>249554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206240" y="3413760"/>
          <a:ext cx="1958340" cy="24193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68580</xdr:colOff>
      <xdr:row>5</xdr:row>
      <xdr:rowOff>114300</xdr:rowOff>
    </xdr:from>
    <xdr:to>
      <xdr:col>9</xdr:col>
      <xdr:colOff>2537460</xdr:colOff>
      <xdr:row>15</xdr:row>
      <xdr:rowOff>45720</xdr:rowOff>
    </xdr:to>
    <xdr:sp macro="" textlink="">
      <xdr:nvSpPr>
        <xdr:cNvPr id="2" name="TextBox 1">
          <a:extLst>
            <a:ext uri="{FF2B5EF4-FFF2-40B4-BE49-F238E27FC236}">
              <a16:creationId xmlns:a16="http://schemas.microsoft.com/office/drawing/2014/main" id="{7A3C1F7D-C217-4580-B2BA-D8D20094A43E}"/>
            </a:ext>
          </a:extLst>
        </xdr:cNvPr>
        <xdr:cNvSpPr txBox="1"/>
      </xdr:nvSpPr>
      <xdr:spPr>
        <a:xfrm>
          <a:off x="5356860" y="1485900"/>
          <a:ext cx="2468880" cy="2065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-2 due to negative</a:t>
          </a:r>
          <a:r>
            <a:rPr lang="en-US" sz="2800" baseline="0"/>
            <a:t> levels</a:t>
          </a:r>
        </a:p>
        <a:p>
          <a:pPr algn="ctr"/>
          <a:r>
            <a:rPr lang="en-US" sz="2800" baseline="0"/>
            <a:t>-2 shaken</a:t>
          </a:r>
          <a:endParaRPr lang="en-US" sz="2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0</xdr:colOff>
      <xdr:row>15</xdr:row>
      <xdr:rowOff>175260</xdr:rowOff>
    </xdr:from>
    <xdr:to>
      <xdr:col>2</xdr:col>
      <xdr:colOff>2209800</xdr:colOff>
      <xdr:row>32</xdr:row>
      <xdr:rowOff>7620</xdr:rowOff>
    </xdr:to>
    <xdr:sp macro="" textlink="">
      <xdr:nvSpPr>
        <xdr:cNvPr id="2" name="TextBox 1">
          <a:extLst>
            <a:ext uri="{FF2B5EF4-FFF2-40B4-BE49-F238E27FC236}">
              <a16:creationId xmlns:a16="http://schemas.microsoft.com/office/drawing/2014/main" id="{72F8CE74-429B-4AB2-9555-884F4AB96C83}"/>
            </a:ext>
          </a:extLst>
        </xdr:cNvPr>
        <xdr:cNvSpPr txBox="1"/>
      </xdr:nvSpPr>
      <xdr:spPr>
        <a:xfrm>
          <a:off x="2362200" y="3756660"/>
          <a:ext cx="2209800" cy="3482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These Stack</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Blade of Blood </a:t>
          </a:r>
          <a:r>
            <a:rPr lang="en-US" sz="1100">
              <a:solidFill>
                <a:schemeClr val="dk1"/>
              </a:solidFill>
              <a:effectLst/>
              <a:latin typeface="+mn-lt"/>
              <a:ea typeface="+mn-ea"/>
              <a:cs typeface="+mn-cs"/>
            </a:rPr>
            <a:t>is a </a:t>
          </a:r>
          <a:r>
            <a:rPr lang="en-US" sz="1100" b="1">
              <a:solidFill>
                <a:schemeClr val="dk1"/>
              </a:solidFill>
              <a:effectLst/>
              <a:latin typeface="+mn-lt"/>
              <a:ea typeface="+mn-ea"/>
              <a:cs typeface="+mn-cs"/>
            </a:rPr>
            <a:t>swift</a:t>
          </a:r>
          <a:r>
            <a:rPr lang="en-US" sz="1100">
              <a:solidFill>
                <a:schemeClr val="dk1"/>
              </a:solidFill>
              <a:effectLst/>
              <a:latin typeface="+mn-lt"/>
              <a:ea typeface="+mn-ea"/>
              <a:cs typeface="+mn-cs"/>
            </a:rPr>
            <a:t> action cast, and adds either 1d6 or 3d6 damage to a single attack.</a:t>
          </a:r>
          <a:endParaRPr lang="en-US">
            <a:effectLst/>
          </a:endParaRPr>
        </a:p>
        <a:p>
          <a:br>
            <a:rPr lang="en-US" sz="1100">
              <a:solidFill>
                <a:schemeClr val="dk1"/>
              </a:solidFill>
              <a:effectLst/>
              <a:latin typeface="+mn-lt"/>
              <a:ea typeface="+mn-ea"/>
              <a:cs typeface="+mn-cs"/>
            </a:rPr>
          </a:br>
          <a:r>
            <a:rPr lang="en-US" sz="1100" b="1">
              <a:solidFill>
                <a:schemeClr val="dk1"/>
              </a:solidFill>
              <a:effectLst/>
              <a:latin typeface="+mn-lt"/>
              <a:ea typeface="+mn-ea"/>
              <a:cs typeface="+mn-cs"/>
            </a:rPr>
            <a:t>Arcane Channeling </a:t>
          </a:r>
          <a:r>
            <a:rPr lang="en-US" sz="1100">
              <a:solidFill>
                <a:schemeClr val="dk1"/>
              </a:solidFill>
              <a:effectLst/>
              <a:latin typeface="+mn-lt"/>
              <a:ea typeface="+mn-ea"/>
              <a:cs typeface="+mn-cs"/>
            </a:rPr>
            <a:t>is a </a:t>
          </a:r>
          <a:r>
            <a:rPr lang="en-US" sz="1100" b="1">
              <a:solidFill>
                <a:schemeClr val="dk1"/>
              </a:solidFill>
              <a:effectLst/>
              <a:latin typeface="+mn-lt"/>
              <a:ea typeface="+mn-ea"/>
              <a:cs typeface="+mn-cs"/>
            </a:rPr>
            <a:t>standard</a:t>
          </a:r>
          <a:r>
            <a:rPr lang="en-US" sz="1100">
              <a:solidFill>
                <a:schemeClr val="dk1"/>
              </a:solidFill>
              <a:effectLst/>
              <a:latin typeface="+mn-lt"/>
              <a:ea typeface="+mn-ea"/>
              <a:cs typeface="+mn-cs"/>
            </a:rPr>
            <a:t> action, and lets a standard action spell get used through the weapon.</a:t>
          </a:r>
          <a:endParaRPr lang="en-US">
            <a:effectLst/>
          </a:endParaRPr>
        </a:p>
        <a:p>
          <a:br>
            <a:rPr lang="en-US" sz="1100">
              <a:solidFill>
                <a:schemeClr val="dk1"/>
              </a:solidFill>
              <a:effectLst/>
              <a:latin typeface="+mn-lt"/>
              <a:ea typeface="+mn-ea"/>
              <a:cs typeface="+mn-cs"/>
            </a:rPr>
          </a:br>
          <a:r>
            <a:rPr lang="en-US" sz="1100" b="1">
              <a:solidFill>
                <a:schemeClr val="dk1"/>
              </a:solidFill>
              <a:effectLst/>
              <a:latin typeface="+mn-lt"/>
              <a:ea typeface="+mn-ea"/>
              <a:cs typeface="+mn-cs"/>
            </a:rPr>
            <a:t>Arcane Strike </a:t>
          </a:r>
          <a:r>
            <a:rPr lang="en-US" sz="1100">
              <a:solidFill>
                <a:schemeClr val="dk1"/>
              </a:solidFill>
              <a:effectLst/>
              <a:latin typeface="+mn-lt"/>
              <a:ea typeface="+mn-ea"/>
              <a:cs typeface="+mn-cs"/>
            </a:rPr>
            <a:t>is a </a:t>
          </a:r>
          <a:r>
            <a:rPr lang="en-US" sz="1100" b="1">
              <a:solidFill>
                <a:schemeClr val="dk1"/>
              </a:solidFill>
              <a:effectLst/>
              <a:latin typeface="+mn-lt"/>
              <a:ea typeface="+mn-ea"/>
              <a:cs typeface="+mn-cs"/>
            </a:rPr>
            <a:t>free</a:t>
          </a:r>
          <a:r>
            <a:rPr lang="en-US" sz="1100">
              <a:solidFill>
                <a:schemeClr val="dk1"/>
              </a:solidFill>
              <a:effectLst/>
              <a:latin typeface="+mn-lt"/>
              <a:ea typeface="+mn-ea"/>
              <a:cs typeface="+mn-cs"/>
            </a:rPr>
            <a:t> action, and applies to all attacks for the round.</a:t>
          </a:r>
          <a:endParaRPr lang="en-US">
            <a:effectLst/>
          </a:endParaRPr>
        </a:p>
        <a:p>
          <a:r>
            <a:rPr lang="en-US" sz="1100" b="1">
              <a:solidFill>
                <a:schemeClr val="dk1"/>
              </a:solidFill>
              <a:effectLst/>
              <a:latin typeface="+mn-lt"/>
              <a:ea typeface="+mn-ea"/>
              <a:cs typeface="+mn-cs"/>
            </a:rPr>
            <a:t>All three can be used in a single round.</a:t>
          </a:r>
        </a:p>
        <a:p>
          <a:endParaRPr lang="en-US">
            <a:effectLst/>
          </a:endParaRPr>
        </a:p>
        <a:p>
          <a:r>
            <a:rPr lang="en-US" sz="1100" b="1">
              <a:solidFill>
                <a:schemeClr val="dk1"/>
              </a:solidFill>
              <a:effectLst/>
              <a:latin typeface="+mn-lt"/>
              <a:ea typeface="+mn-ea"/>
              <a:cs typeface="+mn-cs"/>
            </a:rPr>
            <a:t>Blade of Blood </a:t>
          </a:r>
          <a:r>
            <a:rPr lang="en-US" sz="1100">
              <a:solidFill>
                <a:schemeClr val="dk1"/>
              </a:solidFill>
              <a:effectLst/>
              <a:latin typeface="+mn-lt"/>
              <a:ea typeface="+mn-ea"/>
              <a:cs typeface="+mn-cs"/>
            </a:rPr>
            <a:t>applies to the </a:t>
          </a:r>
          <a:r>
            <a:rPr lang="en-US" sz="1100" b="1">
              <a:solidFill>
                <a:schemeClr val="dk1"/>
              </a:solidFill>
              <a:effectLst/>
              <a:latin typeface="+mn-lt"/>
              <a:ea typeface="+mn-ea"/>
              <a:cs typeface="+mn-cs"/>
            </a:rPr>
            <a:t>first attack</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Channeling </a:t>
          </a:r>
          <a:r>
            <a:rPr lang="en-US" sz="1100">
              <a:solidFill>
                <a:schemeClr val="dk1"/>
              </a:solidFill>
              <a:effectLst/>
              <a:latin typeface="+mn-lt"/>
              <a:ea typeface="+mn-ea"/>
              <a:cs typeface="+mn-cs"/>
            </a:rPr>
            <a:t>applies once to </a:t>
          </a:r>
          <a:r>
            <a:rPr lang="en-US" sz="1100" b="1">
              <a:solidFill>
                <a:schemeClr val="dk1"/>
              </a:solidFill>
              <a:effectLst/>
              <a:latin typeface="+mn-lt"/>
              <a:ea typeface="+mn-ea"/>
              <a:cs typeface="+mn-cs"/>
            </a:rPr>
            <a:t>each target </a:t>
          </a:r>
          <a:r>
            <a:rPr lang="en-US" sz="1100">
              <a:solidFill>
                <a:schemeClr val="dk1"/>
              </a:solidFill>
              <a:effectLst/>
              <a:latin typeface="+mn-lt"/>
              <a:ea typeface="+mn-ea"/>
              <a:cs typeface="+mn-cs"/>
            </a:rPr>
            <a:t>hit during a full attack, and </a:t>
          </a:r>
          <a:r>
            <a:rPr lang="en-US" sz="1100" b="1">
              <a:solidFill>
                <a:schemeClr val="dk1"/>
              </a:solidFill>
              <a:effectLst/>
              <a:latin typeface="+mn-lt"/>
              <a:ea typeface="+mn-ea"/>
              <a:cs typeface="+mn-cs"/>
            </a:rPr>
            <a:t>Arcane Strike </a:t>
          </a:r>
          <a:r>
            <a:rPr lang="en-US" sz="1100">
              <a:solidFill>
                <a:schemeClr val="dk1"/>
              </a:solidFill>
              <a:effectLst/>
              <a:latin typeface="+mn-lt"/>
              <a:ea typeface="+mn-ea"/>
              <a:cs typeface="+mn-cs"/>
            </a:rPr>
            <a:t>applies to </a:t>
          </a:r>
          <a:r>
            <a:rPr lang="en-US" sz="1100" b="1">
              <a:solidFill>
                <a:schemeClr val="dk1"/>
              </a:solidFill>
              <a:effectLst/>
              <a:latin typeface="+mn-lt"/>
              <a:ea typeface="+mn-ea"/>
              <a:cs typeface="+mn-cs"/>
            </a:rPr>
            <a:t>every attack and hit</a:t>
          </a:r>
          <a:r>
            <a:rPr lang="en-US" sz="1100">
              <a:solidFill>
                <a:schemeClr val="dk1"/>
              </a:solidFill>
              <a:effectLst/>
              <a:latin typeface="+mn-lt"/>
              <a:ea typeface="+mn-ea"/>
              <a:cs typeface="+mn-cs"/>
            </a:rPr>
            <a:t>.</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66675</xdr:colOff>
      <xdr:row>1</xdr:row>
      <xdr:rowOff>123825</xdr:rowOff>
    </xdr:from>
    <xdr:to>
      <xdr:col>1</xdr:col>
      <xdr:colOff>763905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20%3cjoertexas@earthlink.net%3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4"/>
  <sheetViews>
    <sheetView showGridLines="0" tabSelected="1" zoomScaleNormal="100" workbookViewId="0"/>
  </sheetViews>
  <sheetFormatPr defaultColWidth="13" defaultRowHeight="15.6"/>
  <cols>
    <col min="1" max="1" width="14.3984375" style="54" customWidth="1"/>
    <col min="2" max="3" width="7.59765625" style="55" customWidth="1"/>
    <col min="4" max="4" width="13.69921875" style="54" bestFit="1" customWidth="1"/>
    <col min="5" max="5" width="10.8984375" style="55" bestFit="1" customWidth="1"/>
    <col min="6" max="6" width="13.796875" style="54" customWidth="1"/>
    <col min="7" max="7" width="13.796875" style="55" customWidth="1"/>
    <col min="8" max="16384" width="13" style="14"/>
  </cols>
  <sheetData>
    <row r="1" spans="1:7" ht="29.4" thickTop="1" thickBot="1">
      <c r="A1" s="398" t="s">
        <v>162</v>
      </c>
      <c r="B1" s="399" t="s">
        <v>407</v>
      </c>
      <c r="C1" s="188"/>
      <c r="D1" s="189"/>
      <c r="E1" s="333"/>
      <c r="F1" s="189"/>
      <c r="G1" s="400" t="s">
        <v>385</v>
      </c>
    </row>
    <row r="2" spans="1:7" ht="17.399999999999999" thickTop="1">
      <c r="A2" s="15" t="s">
        <v>288</v>
      </c>
      <c r="B2" s="236" t="s">
        <v>95</v>
      </c>
      <c r="C2" s="236"/>
      <c r="D2" s="18" t="s">
        <v>302</v>
      </c>
      <c r="E2" s="17" t="s">
        <v>92</v>
      </c>
      <c r="F2" s="19"/>
      <c r="G2" s="20"/>
    </row>
    <row r="3" spans="1:7" ht="16.8">
      <c r="A3" s="15" t="s">
        <v>289</v>
      </c>
      <c r="B3" s="236" t="s">
        <v>91</v>
      </c>
      <c r="C3" s="236"/>
      <c r="D3" s="18" t="s">
        <v>89</v>
      </c>
      <c r="E3" s="17">
        <v>17</v>
      </c>
      <c r="F3" s="18"/>
      <c r="G3" s="20"/>
    </row>
    <row r="4" spans="1:7" ht="16.8">
      <c r="A4" s="15" t="s">
        <v>290</v>
      </c>
      <c r="B4" s="236" t="s">
        <v>144</v>
      </c>
      <c r="C4" s="236"/>
      <c r="D4" s="18" t="s">
        <v>303</v>
      </c>
      <c r="E4" s="17">
        <v>28</v>
      </c>
      <c r="F4" s="18"/>
      <c r="G4" s="20"/>
    </row>
    <row r="5" spans="1:7" ht="16.8">
      <c r="A5" s="15" t="s">
        <v>291</v>
      </c>
      <c r="B5" s="235" t="s">
        <v>149</v>
      </c>
      <c r="C5" s="236"/>
      <c r="D5" s="18" t="s">
        <v>304</v>
      </c>
      <c r="E5" s="17" t="s">
        <v>93</v>
      </c>
      <c r="F5" s="18"/>
      <c r="G5" s="20"/>
    </row>
    <row r="6" spans="1:7" ht="17.399999999999999" thickBot="1">
      <c r="A6" s="15" t="s">
        <v>292</v>
      </c>
      <c r="B6" s="236" t="s">
        <v>169</v>
      </c>
      <c r="C6" s="236"/>
      <c r="D6" s="18" t="s">
        <v>305</v>
      </c>
      <c r="E6" s="17" t="s">
        <v>94</v>
      </c>
      <c r="F6" s="18"/>
      <c r="G6" s="20"/>
    </row>
    <row r="7" spans="1:7" ht="17.399999999999999" thickTop="1">
      <c r="A7" s="21" t="s">
        <v>293</v>
      </c>
      <c r="B7" s="580">
        <f>E3-2-2</f>
        <v>13</v>
      </c>
      <c r="C7" s="581"/>
      <c r="D7" s="22" t="s">
        <v>306</v>
      </c>
      <c r="E7" s="23" t="s">
        <v>86</v>
      </c>
      <c r="F7" s="24"/>
      <c r="G7" s="20"/>
    </row>
    <row r="8" spans="1:7" ht="16.8">
      <c r="A8" s="25" t="s">
        <v>294</v>
      </c>
      <c r="B8" s="452">
        <f>C11+4</f>
        <v>5</v>
      </c>
      <c r="C8" s="453"/>
      <c r="D8" s="26" t="s">
        <v>307</v>
      </c>
      <c r="E8" s="27" t="s">
        <v>86</v>
      </c>
      <c r="F8" s="24"/>
      <c r="G8" s="20"/>
    </row>
    <row r="9" spans="1:7" ht="17.399999999999999" thickBot="1">
      <c r="A9" s="28" t="s">
        <v>295</v>
      </c>
      <c r="B9" s="454">
        <v>145200</v>
      </c>
      <c r="C9" s="455"/>
      <c r="D9" s="365" t="s">
        <v>308</v>
      </c>
      <c r="E9" s="366">
        <f>E3+C15+2+1</f>
        <v>21</v>
      </c>
      <c r="F9" s="24"/>
      <c r="G9" s="20"/>
    </row>
    <row r="10" spans="1:7" ht="17.399999999999999" thickTop="1">
      <c r="A10" s="29" t="s">
        <v>296</v>
      </c>
      <c r="B10" s="571">
        <f>17-2</f>
        <v>15</v>
      </c>
      <c r="C10" s="456" t="str">
        <f t="shared" ref="C10:C15" si="0">IF(B10&gt;9.9,CONCATENATE("+",ROUNDDOWN((B10-10)/2,0)),ROUNDUP((B10-10)/2,0))</f>
        <v>+2</v>
      </c>
      <c r="D10" s="30" t="s">
        <v>309</v>
      </c>
      <c r="E10" s="496" t="s">
        <v>318</v>
      </c>
      <c r="F10" s="24"/>
      <c r="G10" s="20"/>
    </row>
    <row r="11" spans="1:7" ht="16.8">
      <c r="A11" s="31" t="s">
        <v>297</v>
      </c>
      <c r="B11" s="572">
        <f>12+2-2</f>
        <v>12</v>
      </c>
      <c r="C11" s="457" t="str">
        <f t="shared" si="0"/>
        <v>+1</v>
      </c>
      <c r="D11" s="32" t="s">
        <v>310</v>
      </c>
      <c r="E11" s="33">
        <f>SUM(Martial!H3:H45,Equipment!C3:C22)</f>
        <v>38.4</v>
      </c>
      <c r="F11" s="24"/>
      <c r="G11" s="20"/>
    </row>
    <row r="12" spans="1:7" ht="16.8">
      <c r="A12" s="34" t="s">
        <v>298</v>
      </c>
      <c r="B12" s="499">
        <f>14</f>
        <v>14</v>
      </c>
      <c r="C12" s="458" t="str">
        <f t="shared" si="0"/>
        <v>+2</v>
      </c>
      <c r="D12" s="32" t="s">
        <v>311</v>
      </c>
      <c r="E12" s="35">
        <f>ROUNDUP(((E3*10)*0.75)+(E3*C12),0)</f>
        <v>162</v>
      </c>
      <c r="F12" s="24"/>
      <c r="G12" s="20"/>
    </row>
    <row r="13" spans="1:7" ht="16.8">
      <c r="A13" s="36" t="s">
        <v>299</v>
      </c>
      <c r="B13" s="499">
        <f>16</f>
        <v>16</v>
      </c>
      <c r="C13" s="457" t="str">
        <f t="shared" si="0"/>
        <v>+3</v>
      </c>
      <c r="D13" s="37" t="s">
        <v>312</v>
      </c>
      <c r="E13" s="578">
        <f>10+C11</f>
        <v>11</v>
      </c>
      <c r="F13" s="15"/>
      <c r="G13" s="20"/>
    </row>
    <row r="14" spans="1:7" ht="16.8">
      <c r="A14" s="38" t="s">
        <v>300</v>
      </c>
      <c r="B14" s="498">
        <f>15+2</f>
        <v>17</v>
      </c>
      <c r="C14" s="457" t="str">
        <f t="shared" si="0"/>
        <v>+3</v>
      </c>
      <c r="D14" s="37" t="s">
        <v>313</v>
      </c>
      <c r="E14" s="451">
        <f>E15-C11</f>
        <v>34</v>
      </c>
      <c r="F14" s="24"/>
      <c r="G14" s="20"/>
    </row>
    <row r="15" spans="1:7" ht="17.399999999999999" thickBot="1">
      <c r="A15" s="39" t="s">
        <v>301</v>
      </c>
      <c r="B15" s="500">
        <f>12</f>
        <v>12</v>
      </c>
      <c r="C15" s="459" t="str">
        <f t="shared" si="0"/>
        <v>+1</v>
      </c>
      <c r="D15" s="40" t="s">
        <v>316</v>
      </c>
      <c r="E15" s="527">
        <f>E13+SUM(Martial!$B$36:$B$42)</f>
        <v>35</v>
      </c>
      <c r="F15" s="24"/>
      <c r="G15" s="20"/>
    </row>
    <row r="16" spans="1:7" ht="24" thickTop="1" thickBot="1">
      <c r="A16" s="41" t="s">
        <v>17</v>
      </c>
      <c r="B16" s="42"/>
      <c r="C16" s="42"/>
      <c r="D16" s="43"/>
      <c r="E16" s="43"/>
      <c r="F16" s="43"/>
      <c r="G16" s="44"/>
    </row>
    <row r="17" spans="1:7" s="48" customFormat="1" ht="17.399999999999999" thickTop="1">
      <c r="A17" s="45"/>
      <c r="B17" s="46"/>
      <c r="C17" s="46"/>
      <c r="D17" s="46"/>
      <c r="E17" s="46"/>
      <c r="F17" s="46"/>
      <c r="G17" s="47"/>
    </row>
    <row r="18" spans="1:7" s="48" customFormat="1" ht="16.8">
      <c r="A18" s="49"/>
      <c r="B18" s="16"/>
      <c r="C18" s="16"/>
      <c r="D18" s="16"/>
      <c r="E18" s="16"/>
      <c r="F18" s="16"/>
      <c r="G18" s="50"/>
    </row>
    <row r="19" spans="1:7" s="48" customFormat="1" ht="16.8">
      <c r="A19" s="49"/>
      <c r="B19" s="16"/>
      <c r="C19" s="16"/>
      <c r="D19" s="16"/>
      <c r="E19" s="16"/>
      <c r="F19" s="16"/>
      <c r="G19" s="50"/>
    </row>
    <row r="20" spans="1:7" s="48" customFormat="1" ht="16.8">
      <c r="A20" s="49"/>
      <c r="B20" s="16"/>
      <c r="C20" s="16"/>
      <c r="D20" s="16"/>
      <c r="E20" s="16"/>
      <c r="F20" s="16"/>
      <c r="G20" s="50"/>
    </row>
    <row r="21" spans="1:7" s="48" customFormat="1" ht="16.8">
      <c r="A21" s="49"/>
      <c r="B21" s="16"/>
      <c r="C21" s="16"/>
      <c r="D21" s="16"/>
      <c r="E21" s="16"/>
      <c r="F21" s="16"/>
      <c r="G21" s="50"/>
    </row>
    <row r="22" spans="1:7" s="48" customFormat="1" ht="16.8">
      <c r="A22" s="49"/>
      <c r="B22" s="16"/>
      <c r="C22" s="16"/>
      <c r="D22" s="16"/>
      <c r="E22" s="16"/>
      <c r="F22" s="16"/>
      <c r="G22" s="50"/>
    </row>
    <row r="23" spans="1:7" s="48" customFormat="1" ht="16.8">
      <c r="A23" s="49"/>
      <c r="B23" s="16"/>
      <c r="C23" s="16"/>
      <c r="D23" s="16"/>
      <c r="E23" s="16"/>
      <c r="F23" s="16"/>
      <c r="G23" s="50"/>
    </row>
    <row r="24" spans="1:7" s="48" customFormat="1" ht="16.8">
      <c r="A24" s="49"/>
      <c r="B24" s="16"/>
      <c r="C24" s="16"/>
      <c r="D24" s="16"/>
      <c r="E24" s="16"/>
      <c r="F24" s="16"/>
      <c r="G24" s="50"/>
    </row>
    <row r="25" spans="1:7" s="48" customFormat="1" ht="16.8">
      <c r="A25" s="49"/>
      <c r="B25" s="16"/>
      <c r="C25" s="16"/>
      <c r="D25" s="16"/>
      <c r="E25" s="16"/>
      <c r="F25" s="16"/>
      <c r="G25" s="50"/>
    </row>
    <row r="26" spans="1:7" s="48" customFormat="1" ht="16.8">
      <c r="A26" s="49"/>
      <c r="B26" s="16"/>
      <c r="C26" s="16"/>
      <c r="D26" s="16"/>
      <c r="E26" s="16"/>
      <c r="F26" s="16"/>
      <c r="G26" s="50"/>
    </row>
    <row r="27" spans="1:7" s="48" customFormat="1" ht="16.8">
      <c r="A27" s="49"/>
      <c r="B27" s="16"/>
      <c r="C27" s="16"/>
      <c r="D27" s="16"/>
      <c r="E27" s="16"/>
      <c r="F27" s="16"/>
      <c r="G27" s="50"/>
    </row>
    <row r="28" spans="1:7" s="48" customFormat="1" ht="16.8">
      <c r="A28" s="49"/>
      <c r="B28" s="16"/>
      <c r="C28" s="16"/>
      <c r="D28" s="16"/>
      <c r="E28" s="16"/>
      <c r="F28" s="16"/>
      <c r="G28" s="50"/>
    </row>
    <row r="29" spans="1:7" s="48" customFormat="1" ht="16.8">
      <c r="A29" s="49"/>
      <c r="B29" s="16"/>
      <c r="C29" s="16"/>
      <c r="D29" s="16"/>
      <c r="E29" s="16"/>
      <c r="F29" s="16"/>
      <c r="G29" s="50"/>
    </row>
    <row r="30" spans="1:7" s="48" customFormat="1" ht="16.8">
      <c r="A30" s="49"/>
      <c r="B30" s="16"/>
      <c r="C30" s="16"/>
      <c r="D30" s="16"/>
      <c r="E30" s="16"/>
      <c r="F30" s="16"/>
      <c r="G30" s="50"/>
    </row>
    <row r="31" spans="1:7" s="48" customFormat="1" ht="16.8">
      <c r="A31" s="49"/>
      <c r="B31" s="16"/>
      <c r="C31" s="16"/>
      <c r="D31" s="16"/>
      <c r="E31" s="16"/>
      <c r="F31" s="16"/>
      <c r="G31" s="50"/>
    </row>
    <row r="32" spans="1:7" s="48" customFormat="1" ht="16.8">
      <c r="A32" s="49"/>
      <c r="B32" s="16"/>
      <c r="C32" s="16"/>
      <c r="D32" s="16"/>
      <c r="E32" s="16"/>
      <c r="F32" s="16"/>
      <c r="G32" s="50"/>
    </row>
    <row r="33" spans="1:8" ht="17.399999999999999" thickBot="1">
      <c r="A33" s="51"/>
      <c r="B33" s="52"/>
      <c r="C33" s="52"/>
      <c r="D33" s="52"/>
      <c r="E33" s="52"/>
      <c r="F33" s="52"/>
      <c r="G33" s="53"/>
      <c r="H33" s="48"/>
    </row>
    <row r="34" spans="1:8" ht="16.2" thickTop="1"/>
  </sheetData>
  <phoneticPr fontId="0" type="noConversion"/>
  <conditionalFormatting sqref="E11">
    <cfRule type="cellIs" dxfId="32" priority="4" stopIfTrue="1" operator="greaterThan">
      <formula>116</formula>
    </cfRule>
    <cfRule type="cellIs" dxfId="31" priority="5" stopIfTrue="1" operator="between">
      <formula>58</formula>
      <formula>116</formula>
    </cfRule>
  </conditionalFormatting>
  <hyperlinks>
    <hyperlink ref="G1" r:id="rId1"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4"/>
  <sheetViews>
    <sheetView showGridLines="0" zoomScaleNormal="100" workbookViewId="0">
      <pane ySplit="2" topLeftCell="A3" activePane="bottomLeft" state="frozen"/>
      <selection pane="bottomLeft" activeCell="A3" sqref="A3"/>
    </sheetView>
  </sheetViews>
  <sheetFormatPr defaultColWidth="13" defaultRowHeight="15.6"/>
  <cols>
    <col min="1" max="1" width="28" style="54" bestFit="1" customWidth="1"/>
    <col min="2" max="2" width="5.8984375" style="54" bestFit="1" customWidth="1"/>
    <col min="3" max="3" width="11.59765625" style="55" hidden="1" customWidth="1"/>
    <col min="4" max="4" width="5.796875" style="55" hidden="1" customWidth="1"/>
    <col min="5" max="5" width="9.19921875" style="55" bestFit="1" customWidth="1"/>
    <col min="6" max="6" width="8.19921875" style="55" bestFit="1" customWidth="1"/>
    <col min="7" max="7" width="6" style="130" bestFit="1" customWidth="1"/>
    <col min="8" max="8" width="5.19921875" style="130" bestFit="1" customWidth="1"/>
    <col min="9" max="9" width="6.8984375" style="130" bestFit="1" customWidth="1"/>
    <col min="10" max="10" width="34.69921875" style="54" bestFit="1" customWidth="1"/>
    <col min="11" max="16384" width="13" style="14"/>
  </cols>
  <sheetData>
    <row r="1" spans="1:10" ht="23.4" thickBot="1">
      <c r="A1" s="56" t="s">
        <v>7</v>
      </c>
      <c r="B1" s="57"/>
      <c r="C1" s="57"/>
      <c r="D1" s="57"/>
      <c r="E1" s="57"/>
      <c r="F1" s="57"/>
      <c r="G1" s="58"/>
      <c r="H1" s="58"/>
      <c r="I1" s="58"/>
      <c r="J1" s="57"/>
    </row>
    <row r="2" spans="1:10" s="48" customFormat="1" ht="34.200000000000003" thickBot="1">
      <c r="A2" s="1" t="s">
        <v>280</v>
      </c>
      <c r="B2" s="2" t="s">
        <v>22</v>
      </c>
      <c r="C2" s="2" t="s">
        <v>24</v>
      </c>
      <c r="D2" s="2" t="s">
        <v>21</v>
      </c>
      <c r="E2" s="3" t="s">
        <v>49</v>
      </c>
      <c r="F2" s="3" t="s">
        <v>25</v>
      </c>
      <c r="G2" s="4" t="s">
        <v>51</v>
      </c>
      <c r="H2" s="515" t="s">
        <v>77</v>
      </c>
      <c r="I2" s="4" t="s">
        <v>63</v>
      </c>
      <c r="J2" s="5" t="s">
        <v>0</v>
      </c>
    </row>
    <row r="3" spans="1:10" s="48" customFormat="1" ht="16.8">
      <c r="A3" s="59" t="s">
        <v>52</v>
      </c>
      <c r="B3" s="60">
        <f>10</f>
        <v>10</v>
      </c>
      <c r="C3" s="60" t="s">
        <v>298</v>
      </c>
      <c r="D3" s="60" t="str">
        <f>VLOOKUP(C3,'Personal File'!$A$10:$C$15,3,FALSE)</f>
        <v>+2</v>
      </c>
      <c r="E3" s="516" t="str">
        <f t="shared" ref="E3:E46" si="0">CONCATENATE(LEFT(C3,3)," (",D3,")")</f>
        <v>Con (+2)</v>
      </c>
      <c r="F3" s="517">
        <v>3</v>
      </c>
      <c r="G3" s="518">
        <f t="shared" ref="G3:G46" si="1">B3+D3+F3</f>
        <v>15</v>
      </c>
      <c r="H3" s="61">
        <f t="shared" ref="H3:H46" ca="1" si="2">RANDBETWEEN(1,20)</f>
        <v>18</v>
      </c>
      <c r="I3" s="519">
        <f t="shared" ref="I3:I5" ca="1" si="3">SUM(G3:H3)</f>
        <v>33</v>
      </c>
      <c r="J3" s="64" t="s">
        <v>156</v>
      </c>
    </row>
    <row r="4" spans="1:10" s="48" customFormat="1" ht="16.8">
      <c r="A4" s="62" t="s">
        <v>53</v>
      </c>
      <c r="B4" s="60">
        <f>5</f>
        <v>5</v>
      </c>
      <c r="C4" s="60" t="s">
        <v>297</v>
      </c>
      <c r="D4" s="60" t="str">
        <f>VLOOKUP(C4,'Personal File'!$A$10:$C$15,3,FALSE)</f>
        <v>+1</v>
      </c>
      <c r="E4" s="63" t="str">
        <f t="shared" si="0"/>
        <v>Dex (+1)</v>
      </c>
      <c r="F4" s="517">
        <v>3</v>
      </c>
      <c r="G4" s="518">
        <f t="shared" si="1"/>
        <v>9</v>
      </c>
      <c r="H4" s="61">
        <f t="shared" ca="1" si="2"/>
        <v>12</v>
      </c>
      <c r="I4" s="519">
        <f t="shared" ca="1" si="3"/>
        <v>21</v>
      </c>
      <c r="J4" s="434" t="s">
        <v>285</v>
      </c>
    </row>
    <row r="5" spans="1:10" s="48" customFormat="1" ht="16.8">
      <c r="A5" s="65" t="s">
        <v>54</v>
      </c>
      <c r="B5" s="66">
        <f>10</f>
        <v>10</v>
      </c>
      <c r="C5" s="66" t="s">
        <v>300</v>
      </c>
      <c r="D5" s="66" t="str">
        <f>VLOOKUP(C5,'Personal File'!$A$10:$C$15,3,FALSE)</f>
        <v>+3</v>
      </c>
      <c r="E5" s="520" t="str">
        <f t="shared" si="0"/>
        <v>Wis (+3)</v>
      </c>
      <c r="F5" s="521">
        <v>3</v>
      </c>
      <c r="G5" s="522">
        <f t="shared" si="1"/>
        <v>16</v>
      </c>
      <c r="H5" s="67">
        <f t="shared" ca="1" si="2"/>
        <v>6</v>
      </c>
      <c r="I5" s="523">
        <f t="shared" ca="1" si="3"/>
        <v>22</v>
      </c>
      <c r="J5" s="202" t="s">
        <v>159</v>
      </c>
    </row>
    <row r="6" spans="1:10" s="75" customFormat="1" ht="16.8">
      <c r="A6" s="68" t="s">
        <v>26</v>
      </c>
      <c r="B6" s="69">
        <v>0</v>
      </c>
      <c r="C6" s="70" t="s">
        <v>299</v>
      </c>
      <c r="D6" s="71" t="str">
        <f>VLOOKUP(C6,'Personal File'!$A$10:$C$15,3,FALSE)</f>
        <v>+3</v>
      </c>
      <c r="E6" s="72" t="str">
        <f t="shared" si="0"/>
        <v>Int (+3)</v>
      </c>
      <c r="F6" s="73" t="s">
        <v>50</v>
      </c>
      <c r="G6" s="73">
        <f t="shared" si="1"/>
        <v>3</v>
      </c>
      <c r="H6" s="61">
        <f t="shared" ca="1" si="2"/>
        <v>18</v>
      </c>
      <c r="I6" s="73">
        <f t="shared" ref="I6:I7" ca="1" si="4">SUM(G6:H6)</f>
        <v>21</v>
      </c>
      <c r="J6" s="434"/>
    </row>
    <row r="7" spans="1:10" s="80" customFormat="1" ht="16.8">
      <c r="A7" s="118" t="s">
        <v>27</v>
      </c>
      <c r="B7" s="87">
        <v>2</v>
      </c>
      <c r="C7" s="119" t="s">
        <v>297</v>
      </c>
      <c r="D7" s="120" t="str">
        <f>VLOOKUP(C7,'Personal File'!$A$10:$C$15,3,FALSE)</f>
        <v>+1</v>
      </c>
      <c r="E7" s="121" t="str">
        <f t="shared" si="0"/>
        <v>Dex (+1)</v>
      </c>
      <c r="F7" s="91">
        <f>SUM(Martial!$D$36:$D$42)</f>
        <v>-1</v>
      </c>
      <c r="G7" s="91">
        <f t="shared" si="1"/>
        <v>2</v>
      </c>
      <c r="H7" s="79">
        <f t="shared" ca="1" si="2"/>
        <v>18</v>
      </c>
      <c r="I7" s="91">
        <f t="shared" ca="1" si="4"/>
        <v>20</v>
      </c>
      <c r="J7" s="92"/>
    </row>
    <row r="8" spans="1:10" s="85" customFormat="1" ht="16.8">
      <c r="A8" s="81" t="s">
        <v>28</v>
      </c>
      <c r="B8" s="69">
        <v>0</v>
      </c>
      <c r="C8" s="82" t="s">
        <v>301</v>
      </c>
      <c r="D8" s="83" t="str">
        <f>VLOOKUP(C8,'Personal File'!$A$10:$C$15,3,FALSE)</f>
        <v>+1</v>
      </c>
      <c r="E8" s="84" t="str">
        <f t="shared" si="0"/>
        <v>Cha (+1)</v>
      </c>
      <c r="F8" s="73" t="s">
        <v>50</v>
      </c>
      <c r="G8" s="73">
        <f t="shared" si="1"/>
        <v>1</v>
      </c>
      <c r="H8" s="79">
        <f t="shared" ca="1" si="2"/>
        <v>3</v>
      </c>
      <c r="I8" s="73">
        <f t="shared" ref="I8:I46" ca="1" si="5">SUM(G8:H8)</f>
        <v>4</v>
      </c>
      <c r="J8" s="434"/>
    </row>
    <row r="9" spans="1:10" s="93" customFormat="1" ht="16.8">
      <c r="A9" s="110" t="s">
        <v>29</v>
      </c>
      <c r="B9" s="69">
        <v>0</v>
      </c>
      <c r="C9" s="111" t="s">
        <v>296</v>
      </c>
      <c r="D9" s="112" t="str">
        <f>VLOOKUP(C9,'Personal File'!$A$10:$C$15,3,FALSE)</f>
        <v>+2</v>
      </c>
      <c r="E9" s="113" t="str">
        <f t="shared" si="0"/>
        <v>Str (+2)</v>
      </c>
      <c r="F9" s="73">
        <f>SUM(Martial!$D$36:$D$42)</f>
        <v>-1</v>
      </c>
      <c r="G9" s="73">
        <f t="shared" si="1"/>
        <v>1</v>
      </c>
      <c r="H9" s="79">
        <f t="shared" ca="1" si="2"/>
        <v>5</v>
      </c>
      <c r="I9" s="73">
        <f t="shared" ca="1" si="5"/>
        <v>6</v>
      </c>
      <c r="J9" s="434"/>
    </row>
    <row r="10" spans="1:10" s="93" customFormat="1" ht="16.8">
      <c r="A10" s="198" t="s">
        <v>8</v>
      </c>
      <c r="B10" s="87">
        <v>9</v>
      </c>
      <c r="C10" s="199" t="s">
        <v>298</v>
      </c>
      <c r="D10" s="200" t="str">
        <f>VLOOKUP(C10,'Personal File'!$A$10:$C$15,3,FALSE)</f>
        <v>+2</v>
      </c>
      <c r="E10" s="201" t="str">
        <f t="shared" si="0"/>
        <v>Con (+2)</v>
      </c>
      <c r="F10" s="91" t="s">
        <v>50</v>
      </c>
      <c r="G10" s="91">
        <f t="shared" si="1"/>
        <v>11</v>
      </c>
      <c r="H10" s="79">
        <f t="shared" ca="1" si="2"/>
        <v>2</v>
      </c>
      <c r="I10" s="91">
        <f t="shared" ca="1" si="5"/>
        <v>13</v>
      </c>
      <c r="J10" s="92"/>
    </row>
    <row r="11" spans="1:10" s="75" customFormat="1" ht="16.8">
      <c r="A11" s="68" t="s">
        <v>102</v>
      </c>
      <c r="B11" s="69">
        <v>0</v>
      </c>
      <c r="C11" s="70" t="s">
        <v>299</v>
      </c>
      <c r="D11" s="71" t="str">
        <f>VLOOKUP(C11,'Personal File'!$A$10:$C$15,3,FALSE)</f>
        <v>+3</v>
      </c>
      <c r="E11" s="72" t="str">
        <f t="shared" si="0"/>
        <v>Int (+3)</v>
      </c>
      <c r="F11" s="73" t="s">
        <v>50</v>
      </c>
      <c r="G11" s="73">
        <f t="shared" si="1"/>
        <v>3</v>
      </c>
      <c r="H11" s="79">
        <f t="shared" ca="1" si="2"/>
        <v>3</v>
      </c>
      <c r="I11" s="73">
        <f t="shared" ca="1" si="5"/>
        <v>6</v>
      </c>
      <c r="J11" s="74"/>
    </row>
    <row r="12" spans="1:10" s="105" customFormat="1" ht="16.8">
      <c r="A12" s="98" t="s">
        <v>30</v>
      </c>
      <c r="B12" s="99">
        <v>0</v>
      </c>
      <c r="C12" s="100" t="s">
        <v>299</v>
      </c>
      <c r="D12" s="101" t="str">
        <f>VLOOKUP(C12,'Personal File'!$A$10:$C$15,3,FALSE)</f>
        <v>+3</v>
      </c>
      <c r="E12" s="102" t="str">
        <f t="shared" si="0"/>
        <v>Int (+3)</v>
      </c>
      <c r="F12" s="103" t="s">
        <v>50</v>
      </c>
      <c r="G12" s="103">
        <f t="shared" si="1"/>
        <v>3</v>
      </c>
      <c r="H12" s="79">
        <f t="shared" ca="1" si="2"/>
        <v>9</v>
      </c>
      <c r="I12" s="103">
        <f t="shared" ca="1" si="5"/>
        <v>12</v>
      </c>
      <c r="J12" s="104"/>
    </row>
    <row r="13" spans="1:10" s="80" customFormat="1" ht="16.8">
      <c r="A13" s="237" t="s">
        <v>31</v>
      </c>
      <c r="B13" s="87">
        <v>5</v>
      </c>
      <c r="C13" s="524" t="s">
        <v>301</v>
      </c>
      <c r="D13" s="525" t="str">
        <f>VLOOKUP(C13,'Personal File'!$A$10:$C$15,3,FALSE)</f>
        <v>+1</v>
      </c>
      <c r="E13" s="526" t="str">
        <f t="shared" si="0"/>
        <v>Cha (+1)</v>
      </c>
      <c r="F13" s="91" t="s">
        <v>71</v>
      </c>
      <c r="G13" s="91">
        <f t="shared" si="1"/>
        <v>8</v>
      </c>
      <c r="H13" s="79">
        <f t="shared" ca="1" si="2"/>
        <v>13</v>
      </c>
      <c r="I13" s="91">
        <f t="shared" ca="1" si="5"/>
        <v>21</v>
      </c>
      <c r="J13" s="92" t="s">
        <v>153</v>
      </c>
    </row>
    <row r="14" spans="1:10" s="80" customFormat="1" ht="16.8">
      <c r="A14" s="98" t="s">
        <v>32</v>
      </c>
      <c r="B14" s="99">
        <v>0</v>
      </c>
      <c r="C14" s="100" t="s">
        <v>299</v>
      </c>
      <c r="D14" s="101" t="str">
        <f>VLOOKUP(C14,'Personal File'!$A$10:$C$15,3,FALSE)</f>
        <v>+3</v>
      </c>
      <c r="E14" s="102" t="str">
        <f t="shared" si="0"/>
        <v>Int (+3)</v>
      </c>
      <c r="F14" s="103" t="s">
        <v>50</v>
      </c>
      <c r="G14" s="103">
        <f t="shared" si="1"/>
        <v>3</v>
      </c>
      <c r="H14" s="79">
        <f t="shared" ca="1" si="2"/>
        <v>17</v>
      </c>
      <c r="I14" s="103">
        <f t="shared" ca="1" si="5"/>
        <v>20</v>
      </c>
      <c r="J14" s="104"/>
    </row>
    <row r="15" spans="1:10" s="80" customFormat="1" ht="16.8">
      <c r="A15" s="81" t="s">
        <v>33</v>
      </c>
      <c r="B15" s="69">
        <v>0</v>
      </c>
      <c r="C15" s="82" t="s">
        <v>301</v>
      </c>
      <c r="D15" s="83" t="str">
        <f>VLOOKUP(C15,'Personal File'!$A$10:$C$15,3,FALSE)</f>
        <v>+1</v>
      </c>
      <c r="E15" s="84" t="str">
        <f t="shared" si="0"/>
        <v>Cha (+1)</v>
      </c>
      <c r="F15" s="73" t="s">
        <v>50</v>
      </c>
      <c r="G15" s="73">
        <f t="shared" si="1"/>
        <v>1</v>
      </c>
      <c r="H15" s="79">
        <f t="shared" ca="1" si="2"/>
        <v>16</v>
      </c>
      <c r="I15" s="73">
        <f t="shared" ca="1" si="5"/>
        <v>17</v>
      </c>
      <c r="J15" s="74"/>
    </row>
    <row r="16" spans="1:10" s="80" customFormat="1" ht="16.8">
      <c r="A16" s="76" t="s">
        <v>34</v>
      </c>
      <c r="B16" s="69">
        <v>0</v>
      </c>
      <c r="C16" s="77" t="s">
        <v>297</v>
      </c>
      <c r="D16" s="78" t="str">
        <f>VLOOKUP(C16,'Personal File'!$A$10:$C$15,3,FALSE)</f>
        <v>+1</v>
      </c>
      <c r="E16" s="63" t="str">
        <f t="shared" si="0"/>
        <v>Dex (+1)</v>
      </c>
      <c r="F16" s="73">
        <f>SUM(Martial!$D$36:$D$42)</f>
        <v>-1</v>
      </c>
      <c r="G16" s="73">
        <f t="shared" si="1"/>
        <v>0</v>
      </c>
      <c r="H16" s="79">
        <f t="shared" ca="1" si="2"/>
        <v>8</v>
      </c>
      <c r="I16" s="73">
        <f t="shared" ca="1" si="5"/>
        <v>8</v>
      </c>
      <c r="J16" s="74"/>
    </row>
    <row r="17" spans="1:10" s="80" customFormat="1" ht="16.8">
      <c r="A17" s="68" t="s">
        <v>35</v>
      </c>
      <c r="B17" s="69">
        <v>0</v>
      </c>
      <c r="C17" s="70" t="s">
        <v>299</v>
      </c>
      <c r="D17" s="71" t="str">
        <f>VLOOKUP(C17,'Personal File'!$A$10:$C$15,3,FALSE)</f>
        <v>+3</v>
      </c>
      <c r="E17" s="72" t="str">
        <f t="shared" si="0"/>
        <v>Int (+3)</v>
      </c>
      <c r="F17" s="73" t="s">
        <v>50</v>
      </c>
      <c r="G17" s="73">
        <f t="shared" si="1"/>
        <v>3</v>
      </c>
      <c r="H17" s="79">
        <f t="shared" ca="1" si="2"/>
        <v>1</v>
      </c>
      <c r="I17" s="73">
        <f t="shared" ca="1" si="5"/>
        <v>4</v>
      </c>
      <c r="J17" s="74"/>
    </row>
    <row r="18" spans="1:10" s="80" customFormat="1" ht="16.8">
      <c r="A18" s="237" t="s">
        <v>36</v>
      </c>
      <c r="B18" s="87">
        <v>2</v>
      </c>
      <c r="C18" s="524" t="s">
        <v>301</v>
      </c>
      <c r="D18" s="525" t="str">
        <f>VLOOKUP(C18,'Personal File'!$A$10:$C$15,3,FALSE)</f>
        <v>+1</v>
      </c>
      <c r="E18" s="526" t="str">
        <f t="shared" si="0"/>
        <v>Cha (+1)</v>
      </c>
      <c r="F18" s="91" t="s">
        <v>71</v>
      </c>
      <c r="G18" s="91">
        <f t="shared" si="1"/>
        <v>5</v>
      </c>
      <c r="H18" s="79">
        <f t="shared" ca="1" si="2"/>
        <v>8</v>
      </c>
      <c r="I18" s="91">
        <f t="shared" ca="1" si="5"/>
        <v>13</v>
      </c>
      <c r="J18" s="92"/>
    </row>
    <row r="19" spans="1:10" s="80" customFormat="1" ht="16.8">
      <c r="A19" s="81" t="s">
        <v>10</v>
      </c>
      <c r="B19" s="69">
        <v>0</v>
      </c>
      <c r="C19" s="82" t="s">
        <v>301</v>
      </c>
      <c r="D19" s="83" t="str">
        <f>VLOOKUP(C19,'Personal File'!$A$10:$C$15,3,FALSE)</f>
        <v>+1</v>
      </c>
      <c r="E19" s="84" t="str">
        <f t="shared" si="0"/>
        <v>Cha (+1)</v>
      </c>
      <c r="F19" s="73" t="s">
        <v>50</v>
      </c>
      <c r="G19" s="73">
        <f t="shared" si="1"/>
        <v>1</v>
      </c>
      <c r="H19" s="79">
        <f t="shared" ca="1" si="2"/>
        <v>19</v>
      </c>
      <c r="I19" s="73">
        <f t="shared" ca="1" si="5"/>
        <v>20</v>
      </c>
      <c r="J19" s="74"/>
    </row>
    <row r="20" spans="1:10" s="80" customFormat="1" ht="16.8">
      <c r="A20" s="122" t="s">
        <v>37</v>
      </c>
      <c r="B20" s="69">
        <v>0</v>
      </c>
      <c r="C20" s="123" t="s">
        <v>300</v>
      </c>
      <c r="D20" s="124" t="str">
        <f>VLOOKUP(C20,'Personal File'!$A$10:$C$15,3,FALSE)</f>
        <v>+3</v>
      </c>
      <c r="E20" s="125" t="str">
        <f t="shared" si="0"/>
        <v>Wis (+3)</v>
      </c>
      <c r="F20" s="73" t="s">
        <v>50</v>
      </c>
      <c r="G20" s="73">
        <f t="shared" si="1"/>
        <v>3</v>
      </c>
      <c r="H20" s="79">
        <f t="shared" ca="1" si="2"/>
        <v>14</v>
      </c>
      <c r="I20" s="73">
        <f t="shared" ca="1" si="5"/>
        <v>17</v>
      </c>
      <c r="J20" s="74"/>
    </row>
    <row r="21" spans="1:10" s="80" customFormat="1" ht="16.8">
      <c r="A21" s="76" t="s">
        <v>38</v>
      </c>
      <c r="B21" s="69">
        <v>0</v>
      </c>
      <c r="C21" s="77" t="s">
        <v>297</v>
      </c>
      <c r="D21" s="78" t="str">
        <f>VLOOKUP(C21,'Personal File'!$A$10:$C$15,3,FALSE)</f>
        <v>+1</v>
      </c>
      <c r="E21" s="63" t="str">
        <f t="shared" si="0"/>
        <v>Dex (+1)</v>
      </c>
      <c r="F21" s="73">
        <f>SUM(Martial!$D$36:$D$42)</f>
        <v>-1</v>
      </c>
      <c r="G21" s="73">
        <f t="shared" si="1"/>
        <v>0</v>
      </c>
      <c r="H21" s="79">
        <f t="shared" ca="1" si="2"/>
        <v>15</v>
      </c>
      <c r="I21" s="73">
        <f t="shared" ca="1" si="5"/>
        <v>15</v>
      </c>
      <c r="J21" s="74"/>
    </row>
    <row r="22" spans="1:10" s="80" customFormat="1" ht="16.8">
      <c r="A22" s="237" t="s">
        <v>39</v>
      </c>
      <c r="B22" s="87">
        <v>1</v>
      </c>
      <c r="C22" s="524" t="s">
        <v>301</v>
      </c>
      <c r="D22" s="525" t="str">
        <f>VLOOKUP(C22,'Personal File'!$A$10:$C$15,3,FALSE)</f>
        <v>+1</v>
      </c>
      <c r="E22" s="526" t="str">
        <f t="shared" si="0"/>
        <v>Cha (+1)</v>
      </c>
      <c r="F22" s="91" t="s">
        <v>50</v>
      </c>
      <c r="G22" s="91">
        <f t="shared" si="1"/>
        <v>2</v>
      </c>
      <c r="H22" s="79">
        <f t="shared" ca="1" si="2"/>
        <v>7</v>
      </c>
      <c r="I22" s="91">
        <f t="shared" ca="1" si="5"/>
        <v>9</v>
      </c>
      <c r="J22" s="92"/>
    </row>
    <row r="23" spans="1:10" s="80" customFormat="1" ht="16.8">
      <c r="A23" s="86" t="s">
        <v>40</v>
      </c>
      <c r="B23" s="87">
        <v>1</v>
      </c>
      <c r="C23" s="88" t="s">
        <v>296</v>
      </c>
      <c r="D23" s="89" t="str">
        <f>VLOOKUP(C23,'Personal File'!$A$10:$C$15,3,FALSE)</f>
        <v>+2</v>
      </c>
      <c r="E23" s="90" t="str">
        <f t="shared" si="0"/>
        <v>Str (+2)</v>
      </c>
      <c r="F23" s="91">
        <f>SUM(Martial!$D$36:$D$42)</f>
        <v>-1</v>
      </c>
      <c r="G23" s="91">
        <f t="shared" si="1"/>
        <v>2</v>
      </c>
      <c r="H23" s="79">
        <f t="shared" ca="1" si="2"/>
        <v>16</v>
      </c>
      <c r="I23" s="91">
        <f t="shared" ca="1" si="5"/>
        <v>18</v>
      </c>
      <c r="J23" s="92"/>
    </row>
    <row r="24" spans="1:10" s="80" customFormat="1" ht="16.8">
      <c r="A24" s="94" t="s">
        <v>79</v>
      </c>
      <c r="B24" s="87">
        <v>5</v>
      </c>
      <c r="C24" s="95" t="s">
        <v>299</v>
      </c>
      <c r="D24" s="96" t="str">
        <f>VLOOKUP(C24,'Personal File'!$A$10:$C$15,3,FALSE)</f>
        <v>+3</v>
      </c>
      <c r="E24" s="97" t="str">
        <f t="shared" si="0"/>
        <v>Int (+3)</v>
      </c>
      <c r="F24" s="91" t="s">
        <v>50</v>
      </c>
      <c r="G24" s="91">
        <f t="shared" ref="G24:G29" si="6">B24+D24+F24</f>
        <v>8</v>
      </c>
      <c r="H24" s="79">
        <f t="shared" ca="1" si="2"/>
        <v>9</v>
      </c>
      <c r="I24" s="91">
        <f t="shared" ref="I24:I29" ca="1" si="7">SUM(G24:H24)</f>
        <v>17</v>
      </c>
      <c r="J24" s="92"/>
    </row>
    <row r="25" spans="1:10" s="80" customFormat="1" ht="16.8">
      <c r="A25" s="94" t="s">
        <v>96</v>
      </c>
      <c r="B25" s="87">
        <v>7</v>
      </c>
      <c r="C25" s="95" t="s">
        <v>299</v>
      </c>
      <c r="D25" s="96" t="str">
        <f>VLOOKUP(C25,'Personal File'!$A$10:$C$15,3,FALSE)</f>
        <v>+3</v>
      </c>
      <c r="E25" s="97" t="str">
        <f t="shared" si="0"/>
        <v>Int (+3)</v>
      </c>
      <c r="F25" s="91" t="s">
        <v>50</v>
      </c>
      <c r="G25" s="91">
        <f t="shared" ref="G25:G28" si="8">B25+D25+F25</f>
        <v>10</v>
      </c>
      <c r="H25" s="79">
        <f t="shared" ca="1" si="2"/>
        <v>19</v>
      </c>
      <c r="I25" s="91">
        <f t="shared" ref="I25:I28" ca="1" si="9">SUM(G25:H25)</f>
        <v>29</v>
      </c>
      <c r="J25" s="92"/>
    </row>
    <row r="26" spans="1:10" s="80" customFormat="1" ht="16.8">
      <c r="A26" s="94" t="s">
        <v>97</v>
      </c>
      <c r="B26" s="87">
        <v>5</v>
      </c>
      <c r="C26" s="95" t="s">
        <v>299</v>
      </c>
      <c r="D26" s="96" t="str">
        <f>VLOOKUP(C26,'Personal File'!$A$10:$C$15,3,FALSE)</f>
        <v>+3</v>
      </c>
      <c r="E26" s="97" t="str">
        <f t="shared" si="0"/>
        <v>Int (+3)</v>
      </c>
      <c r="F26" s="91" t="s">
        <v>50</v>
      </c>
      <c r="G26" s="91">
        <f t="shared" si="8"/>
        <v>8</v>
      </c>
      <c r="H26" s="79">
        <f t="shared" ca="1" si="2"/>
        <v>6</v>
      </c>
      <c r="I26" s="91">
        <f t="shared" ca="1" si="9"/>
        <v>14</v>
      </c>
      <c r="J26" s="92"/>
    </row>
    <row r="27" spans="1:10" s="80" customFormat="1" ht="16.8">
      <c r="A27" s="94" t="s">
        <v>98</v>
      </c>
      <c r="B27" s="87">
        <v>7</v>
      </c>
      <c r="C27" s="95" t="s">
        <v>299</v>
      </c>
      <c r="D27" s="96" t="str">
        <f>VLOOKUP(C27,'Personal File'!$A$10:$C$15,3,FALSE)</f>
        <v>+3</v>
      </c>
      <c r="E27" s="97" t="str">
        <f t="shared" si="0"/>
        <v>Int (+3)</v>
      </c>
      <c r="F27" s="91" t="s">
        <v>50</v>
      </c>
      <c r="G27" s="91">
        <f t="shared" si="8"/>
        <v>10</v>
      </c>
      <c r="H27" s="79">
        <f t="shared" ca="1" si="2"/>
        <v>10</v>
      </c>
      <c r="I27" s="91">
        <f t="shared" ca="1" si="9"/>
        <v>20</v>
      </c>
      <c r="J27" s="92"/>
    </row>
    <row r="28" spans="1:10" s="80" customFormat="1" ht="16.8">
      <c r="A28" s="94" t="s">
        <v>99</v>
      </c>
      <c r="B28" s="87">
        <v>4</v>
      </c>
      <c r="C28" s="95" t="s">
        <v>299</v>
      </c>
      <c r="D28" s="96" t="str">
        <f>VLOOKUP(C28,'Personal File'!$A$10:$C$15,3,FALSE)</f>
        <v>+3</v>
      </c>
      <c r="E28" s="97" t="str">
        <f t="shared" si="0"/>
        <v>Int (+3)</v>
      </c>
      <c r="F28" s="91" t="s">
        <v>50</v>
      </c>
      <c r="G28" s="91">
        <f t="shared" si="8"/>
        <v>7</v>
      </c>
      <c r="H28" s="79">
        <f t="shared" ca="1" si="2"/>
        <v>4</v>
      </c>
      <c r="I28" s="91">
        <f t="shared" ca="1" si="9"/>
        <v>11</v>
      </c>
      <c r="J28" s="92"/>
    </row>
    <row r="29" spans="1:10" s="80" customFormat="1" ht="16.8">
      <c r="A29" s="94" t="s">
        <v>100</v>
      </c>
      <c r="B29" s="87">
        <v>4</v>
      </c>
      <c r="C29" s="95" t="s">
        <v>299</v>
      </c>
      <c r="D29" s="96" t="str">
        <f>VLOOKUP(C29,'Personal File'!$A$10:$C$15,3,FALSE)</f>
        <v>+3</v>
      </c>
      <c r="E29" s="97" t="str">
        <f t="shared" si="0"/>
        <v>Int (+3)</v>
      </c>
      <c r="F29" s="91" t="s">
        <v>50</v>
      </c>
      <c r="G29" s="91">
        <f t="shared" si="6"/>
        <v>7</v>
      </c>
      <c r="H29" s="79">
        <f t="shared" ca="1" si="2"/>
        <v>17</v>
      </c>
      <c r="I29" s="91">
        <f t="shared" ca="1" si="7"/>
        <v>24</v>
      </c>
      <c r="J29" s="92"/>
    </row>
    <row r="30" spans="1:10" s="80" customFormat="1" ht="16.8">
      <c r="A30" s="106" t="s">
        <v>41</v>
      </c>
      <c r="B30" s="87">
        <v>2</v>
      </c>
      <c r="C30" s="107" t="s">
        <v>300</v>
      </c>
      <c r="D30" s="108" t="str">
        <f>VLOOKUP(C30,'Personal File'!$A$10:$C$15,3,FALSE)</f>
        <v>+3</v>
      </c>
      <c r="E30" s="109" t="str">
        <f t="shared" si="0"/>
        <v>Wis (+3)</v>
      </c>
      <c r="F30" s="91" t="s">
        <v>72</v>
      </c>
      <c r="G30" s="91">
        <f t="shared" si="1"/>
        <v>6</v>
      </c>
      <c r="H30" s="79">
        <f t="shared" ca="1" si="2"/>
        <v>2</v>
      </c>
      <c r="I30" s="91">
        <f t="shared" ca="1" si="5"/>
        <v>8</v>
      </c>
      <c r="J30" s="92"/>
    </row>
    <row r="31" spans="1:10" s="80" customFormat="1" ht="16.8">
      <c r="A31" s="76" t="s">
        <v>11</v>
      </c>
      <c r="B31" s="69">
        <v>0</v>
      </c>
      <c r="C31" s="77" t="s">
        <v>297</v>
      </c>
      <c r="D31" s="78" t="str">
        <f>VLOOKUP(C31,'Personal File'!$A$10:$C$15,3,FALSE)</f>
        <v>+1</v>
      </c>
      <c r="E31" s="63" t="str">
        <f t="shared" si="0"/>
        <v>Dex (+1)</v>
      </c>
      <c r="F31" s="73">
        <f>SUM(Martial!$D$36:$D$42)</f>
        <v>-1</v>
      </c>
      <c r="G31" s="73">
        <f t="shared" si="1"/>
        <v>0</v>
      </c>
      <c r="H31" s="79">
        <f t="shared" ca="1" si="2"/>
        <v>17</v>
      </c>
      <c r="I31" s="73">
        <f t="shared" ca="1" si="5"/>
        <v>17</v>
      </c>
      <c r="J31" s="74"/>
    </row>
    <row r="32" spans="1:10" s="80" customFormat="1" ht="16.8">
      <c r="A32" s="114" t="s">
        <v>42</v>
      </c>
      <c r="B32" s="99">
        <v>0</v>
      </c>
      <c r="C32" s="115" t="s">
        <v>297</v>
      </c>
      <c r="D32" s="116" t="str">
        <f>VLOOKUP(C32,'Personal File'!$A$10:$C$15,3,FALSE)</f>
        <v>+1</v>
      </c>
      <c r="E32" s="117" t="str">
        <f t="shared" si="0"/>
        <v>Dex (+1)</v>
      </c>
      <c r="F32" s="103" t="s">
        <v>50</v>
      </c>
      <c r="G32" s="103">
        <f t="shared" si="1"/>
        <v>1</v>
      </c>
      <c r="H32" s="79">
        <f t="shared" ca="1" si="2"/>
        <v>16</v>
      </c>
      <c r="I32" s="103">
        <f t="shared" ca="1" si="5"/>
        <v>17</v>
      </c>
      <c r="J32" s="104"/>
    </row>
    <row r="33" spans="1:10" ht="16.8">
      <c r="A33" s="81" t="s">
        <v>78</v>
      </c>
      <c r="B33" s="69">
        <v>0</v>
      </c>
      <c r="C33" s="82" t="s">
        <v>301</v>
      </c>
      <c r="D33" s="83" t="str">
        <f>VLOOKUP(C33,'Personal File'!$A$10:$C$15,3,FALSE)</f>
        <v>+1</v>
      </c>
      <c r="E33" s="84" t="str">
        <f t="shared" si="0"/>
        <v>Cha (+1)</v>
      </c>
      <c r="F33" s="73" t="s">
        <v>50</v>
      </c>
      <c r="G33" s="73">
        <f t="shared" si="1"/>
        <v>1</v>
      </c>
      <c r="H33" s="79">
        <f t="shared" ca="1" si="2"/>
        <v>7</v>
      </c>
      <c r="I33" s="73">
        <f t="shared" ca="1" si="5"/>
        <v>8</v>
      </c>
      <c r="J33" s="74"/>
    </row>
    <row r="34" spans="1:10" ht="16.8">
      <c r="A34" s="237" t="s">
        <v>372</v>
      </c>
      <c r="B34" s="87">
        <v>3</v>
      </c>
      <c r="C34" s="107" t="s">
        <v>300</v>
      </c>
      <c r="D34" s="108" t="str">
        <f>VLOOKUP(C34,'Personal File'!$A$10:$C$15,3,FALSE)</f>
        <v>+3</v>
      </c>
      <c r="E34" s="109" t="str">
        <f t="shared" si="0"/>
        <v>Wis (+3)</v>
      </c>
      <c r="F34" s="91" t="s">
        <v>50</v>
      </c>
      <c r="G34" s="91">
        <f t="shared" si="1"/>
        <v>6</v>
      </c>
      <c r="H34" s="79">
        <f t="shared" ca="1" si="2"/>
        <v>1</v>
      </c>
      <c r="I34" s="91">
        <f t="shared" ca="1" si="5"/>
        <v>7</v>
      </c>
      <c r="J34" s="92" t="s">
        <v>153</v>
      </c>
    </row>
    <row r="35" spans="1:10" ht="16.8">
      <c r="A35" s="118" t="s">
        <v>12</v>
      </c>
      <c r="B35" s="87">
        <v>4</v>
      </c>
      <c r="C35" s="119" t="s">
        <v>297</v>
      </c>
      <c r="D35" s="120" t="str">
        <f>VLOOKUP(C35,'Personal File'!$A$10:$C$15,3,FALSE)</f>
        <v>+1</v>
      </c>
      <c r="E35" s="121" t="str">
        <f t="shared" si="0"/>
        <v>Dex (+1)</v>
      </c>
      <c r="F35" s="91" t="s">
        <v>50</v>
      </c>
      <c r="G35" s="91">
        <f t="shared" si="1"/>
        <v>5</v>
      </c>
      <c r="H35" s="79">
        <f t="shared" ca="1" si="2"/>
        <v>4</v>
      </c>
      <c r="I35" s="91">
        <f t="shared" ca="1" si="5"/>
        <v>9</v>
      </c>
      <c r="J35" s="92"/>
    </row>
    <row r="36" spans="1:10" ht="16.8">
      <c r="A36" s="94" t="s">
        <v>13</v>
      </c>
      <c r="B36" s="87">
        <v>4</v>
      </c>
      <c r="C36" s="95" t="s">
        <v>299</v>
      </c>
      <c r="D36" s="96" t="str">
        <f>VLOOKUP(C36,'Personal File'!$A$10:$C$15,3,FALSE)</f>
        <v>+3</v>
      </c>
      <c r="E36" s="97" t="str">
        <f t="shared" si="0"/>
        <v>Int (+3)</v>
      </c>
      <c r="F36" s="91" t="s">
        <v>72</v>
      </c>
      <c r="G36" s="91">
        <f t="shared" si="1"/>
        <v>8</v>
      </c>
      <c r="H36" s="79">
        <f t="shared" ca="1" si="2"/>
        <v>16</v>
      </c>
      <c r="I36" s="91">
        <f t="shared" ca="1" si="5"/>
        <v>24</v>
      </c>
      <c r="J36" s="92"/>
    </row>
    <row r="37" spans="1:10" ht="16.8">
      <c r="A37" s="106" t="s">
        <v>43</v>
      </c>
      <c r="B37" s="87">
        <v>6</v>
      </c>
      <c r="C37" s="107" t="s">
        <v>300</v>
      </c>
      <c r="D37" s="108" t="str">
        <f>VLOOKUP(C37,'Personal File'!$A$10:$C$15,3,FALSE)</f>
        <v>+3</v>
      </c>
      <c r="E37" s="109" t="str">
        <f t="shared" si="0"/>
        <v>Wis (+3)</v>
      </c>
      <c r="F37" s="91" t="s">
        <v>50</v>
      </c>
      <c r="G37" s="91">
        <f t="shared" si="1"/>
        <v>9</v>
      </c>
      <c r="H37" s="79">
        <f t="shared" ca="1" si="2"/>
        <v>2</v>
      </c>
      <c r="I37" s="91">
        <f t="shared" ca="1" si="5"/>
        <v>11</v>
      </c>
      <c r="J37" s="92"/>
    </row>
    <row r="38" spans="1:10" ht="16.8">
      <c r="A38" s="114" t="s">
        <v>66</v>
      </c>
      <c r="B38" s="99">
        <v>0</v>
      </c>
      <c r="C38" s="115" t="s">
        <v>297</v>
      </c>
      <c r="D38" s="116" t="str">
        <f>VLOOKUP(C38,'Personal File'!$A$10:$C$15,3,FALSE)</f>
        <v>+1</v>
      </c>
      <c r="E38" s="117" t="str">
        <f t="shared" si="0"/>
        <v>Dex (+1)</v>
      </c>
      <c r="F38" s="583">
        <f>SUM(Martial!$D$36:$D$42)</f>
        <v>-1</v>
      </c>
      <c r="G38" s="103">
        <f t="shared" si="1"/>
        <v>0</v>
      </c>
      <c r="H38" s="79">
        <f t="shared" ca="1" si="2"/>
        <v>1</v>
      </c>
      <c r="I38" s="103">
        <f t="shared" ca="1" si="5"/>
        <v>1</v>
      </c>
      <c r="J38" s="104"/>
    </row>
    <row r="39" spans="1:10" ht="16.8">
      <c r="A39" s="98" t="s">
        <v>101</v>
      </c>
      <c r="B39" s="99">
        <v>0</v>
      </c>
      <c r="C39" s="100" t="s">
        <v>299</v>
      </c>
      <c r="D39" s="101" t="str">
        <f>VLOOKUP(C39,'Personal File'!$A$10:$C$15,3,FALSE)</f>
        <v>+3</v>
      </c>
      <c r="E39" s="102" t="str">
        <f t="shared" si="0"/>
        <v>Int (+3)</v>
      </c>
      <c r="F39" s="103" t="s">
        <v>50</v>
      </c>
      <c r="G39" s="103">
        <f t="shared" ref="G39" si="10">B39+D39+F39</f>
        <v>3</v>
      </c>
      <c r="H39" s="79">
        <f t="shared" ca="1" si="2"/>
        <v>14</v>
      </c>
      <c r="I39" s="103">
        <f t="shared" ref="I39" ca="1" si="11">SUM(G39:H39)</f>
        <v>17</v>
      </c>
      <c r="J39" s="190"/>
    </row>
    <row r="40" spans="1:10" ht="16.8">
      <c r="A40" s="94" t="s">
        <v>44</v>
      </c>
      <c r="B40" s="87">
        <v>8</v>
      </c>
      <c r="C40" s="95" t="s">
        <v>299</v>
      </c>
      <c r="D40" s="96" t="str">
        <f>VLOOKUP(C40,'Personal File'!$A$10:$C$15,3,FALSE)</f>
        <v>+3</v>
      </c>
      <c r="E40" s="97" t="str">
        <f t="shared" si="0"/>
        <v>Int (+3)</v>
      </c>
      <c r="F40" s="91" t="s">
        <v>50</v>
      </c>
      <c r="G40" s="91">
        <f t="shared" ref="G40" si="12">B40+D40+F40</f>
        <v>11</v>
      </c>
      <c r="H40" s="79">
        <f t="shared" ca="1" si="2"/>
        <v>19</v>
      </c>
      <c r="I40" s="91">
        <f t="shared" ref="I40" ca="1" si="13">SUM(G40:H40)</f>
        <v>30</v>
      </c>
      <c r="J40" s="126"/>
    </row>
    <row r="41" spans="1:10" ht="16.8">
      <c r="A41" s="106" t="s">
        <v>45</v>
      </c>
      <c r="B41" s="87">
        <v>4</v>
      </c>
      <c r="C41" s="107" t="s">
        <v>300</v>
      </c>
      <c r="D41" s="108" t="str">
        <f>VLOOKUP(C41,'Personal File'!$A$10:$C$15,3,FALSE)</f>
        <v>+3</v>
      </c>
      <c r="E41" s="109" t="str">
        <f t="shared" si="0"/>
        <v>Wis (+3)</v>
      </c>
      <c r="F41" s="91" t="s">
        <v>72</v>
      </c>
      <c r="G41" s="91">
        <f t="shared" si="1"/>
        <v>8</v>
      </c>
      <c r="H41" s="79">
        <f t="shared" ca="1" si="2"/>
        <v>10</v>
      </c>
      <c r="I41" s="91">
        <f t="shared" ca="1" si="5"/>
        <v>18</v>
      </c>
      <c r="J41" s="126"/>
    </row>
    <row r="42" spans="1:10" ht="16.8">
      <c r="A42" s="106" t="s">
        <v>67</v>
      </c>
      <c r="B42" s="87">
        <v>4</v>
      </c>
      <c r="C42" s="107" t="s">
        <v>300</v>
      </c>
      <c r="D42" s="108" t="str">
        <f>VLOOKUP(C42,'Personal File'!$A$10:$C$15,3,FALSE)</f>
        <v>+3</v>
      </c>
      <c r="E42" s="109" t="str">
        <f t="shared" si="0"/>
        <v>Wis (+3)</v>
      </c>
      <c r="F42" s="91" t="s">
        <v>50</v>
      </c>
      <c r="G42" s="91">
        <f t="shared" si="1"/>
        <v>7</v>
      </c>
      <c r="H42" s="79">
        <f t="shared" ca="1" si="2"/>
        <v>2</v>
      </c>
      <c r="I42" s="91">
        <f t="shared" ca="1" si="5"/>
        <v>9</v>
      </c>
      <c r="J42" s="92"/>
    </row>
    <row r="43" spans="1:10" ht="16.8">
      <c r="A43" s="86" t="s">
        <v>14</v>
      </c>
      <c r="B43" s="87">
        <v>2</v>
      </c>
      <c r="C43" s="88" t="s">
        <v>296</v>
      </c>
      <c r="D43" s="89" t="str">
        <f>VLOOKUP(C43,'Personal File'!$A$10:$C$15,3,FALSE)</f>
        <v>+2</v>
      </c>
      <c r="E43" s="90" t="str">
        <f t="shared" si="0"/>
        <v>Str (+2)</v>
      </c>
      <c r="F43" s="91" t="s">
        <v>50</v>
      </c>
      <c r="G43" s="91">
        <f t="shared" si="1"/>
        <v>4</v>
      </c>
      <c r="H43" s="79">
        <f t="shared" ca="1" si="2"/>
        <v>4</v>
      </c>
      <c r="I43" s="91">
        <f t="shared" ca="1" si="5"/>
        <v>8</v>
      </c>
      <c r="J43" s="92"/>
    </row>
    <row r="44" spans="1:10" ht="16.8">
      <c r="A44" s="114" t="s">
        <v>46</v>
      </c>
      <c r="B44" s="99">
        <v>0</v>
      </c>
      <c r="C44" s="115" t="s">
        <v>297</v>
      </c>
      <c r="D44" s="116" t="str">
        <f>VLOOKUP(C44,'Personal File'!$A$10:$C$15,3,FALSE)</f>
        <v>+1</v>
      </c>
      <c r="E44" s="117" t="str">
        <f t="shared" si="0"/>
        <v>Dex (+1)</v>
      </c>
      <c r="F44" s="583">
        <f>SUM(Martial!$D$36:$D$42)</f>
        <v>-1</v>
      </c>
      <c r="G44" s="103">
        <f t="shared" si="1"/>
        <v>0</v>
      </c>
      <c r="H44" s="79">
        <f t="shared" ca="1" si="2"/>
        <v>15</v>
      </c>
      <c r="I44" s="103">
        <f t="shared" ca="1" si="5"/>
        <v>15</v>
      </c>
      <c r="J44" s="104"/>
    </row>
    <row r="45" spans="1:10" ht="16.8">
      <c r="A45" s="237" t="s">
        <v>47</v>
      </c>
      <c r="B45" s="87">
        <v>3</v>
      </c>
      <c r="C45" s="524" t="s">
        <v>301</v>
      </c>
      <c r="D45" s="525" t="str">
        <f>VLOOKUP(C45,'Personal File'!$A$10:$C$15,3,FALSE)</f>
        <v>+1</v>
      </c>
      <c r="E45" s="526" t="str">
        <f t="shared" si="0"/>
        <v>Cha (+1)</v>
      </c>
      <c r="F45" s="91" t="s">
        <v>50</v>
      </c>
      <c r="G45" s="91">
        <f t="shared" si="1"/>
        <v>4</v>
      </c>
      <c r="H45" s="79">
        <f t="shared" ca="1" si="2"/>
        <v>14</v>
      </c>
      <c r="I45" s="91">
        <f t="shared" ca="1" si="5"/>
        <v>18</v>
      </c>
      <c r="J45" s="92"/>
    </row>
    <row r="46" spans="1:10" ht="17.399999999999999" thickBot="1">
      <c r="A46" s="191" t="s">
        <v>48</v>
      </c>
      <c r="B46" s="192">
        <v>0</v>
      </c>
      <c r="C46" s="193" t="s">
        <v>297</v>
      </c>
      <c r="D46" s="194" t="str">
        <f>VLOOKUP(C46,'Personal File'!$A$10:$C$15,3,FALSE)</f>
        <v>+1</v>
      </c>
      <c r="E46" s="195" t="str">
        <f t="shared" si="0"/>
        <v>Dex (+1)</v>
      </c>
      <c r="F46" s="196" t="s">
        <v>50</v>
      </c>
      <c r="G46" s="196">
        <f t="shared" si="1"/>
        <v>1</v>
      </c>
      <c r="H46" s="127">
        <f t="shared" ca="1" si="2"/>
        <v>11</v>
      </c>
      <c r="I46" s="196">
        <f t="shared" ca="1" si="5"/>
        <v>12</v>
      </c>
      <c r="J46" s="197"/>
    </row>
    <row r="47" spans="1:10" ht="16.2" thickTop="1">
      <c r="B47" s="250">
        <f>SUM(B6:B46,B13,B34)</f>
        <v>100</v>
      </c>
      <c r="E47" s="250">
        <f>SUM(E48:E64)</f>
        <v>100</v>
      </c>
      <c r="F47" s="129" t="s">
        <v>51</v>
      </c>
    </row>
    <row r="48" spans="1:10">
      <c r="E48" s="175">
        <f>4*(2+'Personal File'!$C$13)</f>
        <v>20</v>
      </c>
      <c r="F48" s="132" t="s">
        <v>103</v>
      </c>
    </row>
    <row r="49" spans="2:6">
      <c r="B49" s="128"/>
      <c r="E49" s="175">
        <f>2+'Personal File'!$C$13</f>
        <v>5</v>
      </c>
      <c r="F49" s="132" t="s">
        <v>104</v>
      </c>
    </row>
    <row r="50" spans="2:6">
      <c r="B50" s="128"/>
      <c r="E50" s="175">
        <f>2+'Personal File'!$C$13</f>
        <v>5</v>
      </c>
      <c r="F50" s="132" t="s">
        <v>105</v>
      </c>
    </row>
    <row r="51" spans="2:6">
      <c r="B51" s="128"/>
      <c r="E51" s="175">
        <f>2+'Personal File'!$C$13</f>
        <v>5</v>
      </c>
      <c r="F51" s="132" t="s">
        <v>106</v>
      </c>
    </row>
    <row r="52" spans="2:6">
      <c r="E52" s="175">
        <f>2+'Personal File'!$C$13</f>
        <v>5</v>
      </c>
      <c r="F52" s="132" t="s">
        <v>165</v>
      </c>
    </row>
    <row r="53" spans="2:6">
      <c r="E53" s="175">
        <f>2+'Personal File'!$C$13</f>
        <v>5</v>
      </c>
      <c r="F53" s="132" t="s">
        <v>166</v>
      </c>
    </row>
    <row r="54" spans="2:6">
      <c r="E54" s="175">
        <f>2+'Personal File'!$C$13</f>
        <v>5</v>
      </c>
      <c r="F54" s="132" t="s">
        <v>167</v>
      </c>
    </row>
    <row r="55" spans="2:6">
      <c r="E55" s="175">
        <f>2+'Personal File'!$C$13</f>
        <v>5</v>
      </c>
      <c r="F55" s="132" t="s">
        <v>168</v>
      </c>
    </row>
    <row r="56" spans="2:6">
      <c r="E56" s="175">
        <f>2+'Personal File'!$C$13</f>
        <v>5</v>
      </c>
      <c r="F56" s="132" t="s">
        <v>206</v>
      </c>
    </row>
    <row r="57" spans="2:6">
      <c r="E57" s="175">
        <f>2+'Personal File'!$C$13</f>
        <v>5</v>
      </c>
      <c r="F57" s="132" t="s">
        <v>222</v>
      </c>
    </row>
    <row r="58" spans="2:6">
      <c r="E58" s="175">
        <f>2+'Personal File'!$C$13</f>
        <v>5</v>
      </c>
      <c r="F58" s="132" t="s">
        <v>242</v>
      </c>
    </row>
    <row r="59" spans="2:6">
      <c r="E59" s="175">
        <f>2+'Personal File'!$C$13</f>
        <v>5</v>
      </c>
      <c r="F59" s="132" t="s">
        <v>243</v>
      </c>
    </row>
    <row r="60" spans="2:6">
      <c r="E60" s="175">
        <f>2+'Personal File'!$C$13</f>
        <v>5</v>
      </c>
      <c r="F60" s="132" t="s">
        <v>287</v>
      </c>
    </row>
    <row r="61" spans="2:6">
      <c r="E61" s="175">
        <f>2+'Personal File'!$C$13</f>
        <v>5</v>
      </c>
      <c r="F61" s="132" t="s">
        <v>333</v>
      </c>
    </row>
    <row r="62" spans="2:6">
      <c r="E62" s="175">
        <f>2+'Personal File'!$C$13</f>
        <v>5</v>
      </c>
      <c r="F62" s="132" t="s">
        <v>334</v>
      </c>
    </row>
    <row r="63" spans="2:6">
      <c r="E63" s="175">
        <f>2+'Personal File'!$C$13</f>
        <v>5</v>
      </c>
      <c r="F63" s="132" t="s">
        <v>370</v>
      </c>
    </row>
    <row r="64" spans="2:6">
      <c r="E64" s="175">
        <f>2+'Personal File'!$C$13</f>
        <v>5</v>
      </c>
      <c r="F64" s="132" t="s">
        <v>377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5"/>
  <sheetViews>
    <sheetView showGridLines="0" zoomScaleNormal="100" workbookViewId="0">
      <pane ySplit="2" topLeftCell="A3" activePane="bottomLeft" state="frozen"/>
      <selection pane="bottomLeft" activeCell="A3" sqref="A3"/>
    </sheetView>
  </sheetViews>
  <sheetFormatPr defaultColWidth="18.19921875" defaultRowHeight="15.6"/>
  <cols>
    <col min="1" max="1" width="23.69921875" style="216" bestFit="1" customWidth="1"/>
    <col min="2" max="2" width="6.19921875" style="216" bestFit="1" customWidth="1"/>
    <col min="3" max="3" width="13.59765625" style="217" bestFit="1" customWidth="1"/>
    <col min="4" max="4" width="11.296875" style="217" bestFit="1" customWidth="1"/>
    <col min="5" max="5" width="7.296875" style="218" bestFit="1" customWidth="1"/>
    <col min="6" max="6" width="13.19921875" style="217" bestFit="1" customWidth="1"/>
    <col min="7" max="7" width="9.796875" style="217" bestFit="1" customWidth="1"/>
    <col min="8" max="8" width="21.69921875" style="216" bestFit="1" customWidth="1"/>
    <col min="9" max="9" width="5.5" style="215" bestFit="1" customWidth="1"/>
    <col min="10" max="10" width="4.8984375" style="215" bestFit="1" customWidth="1"/>
    <col min="11" max="16384" width="18.19921875" style="215"/>
  </cols>
  <sheetData>
    <row r="1" spans="1:10" ht="23.4" thickBot="1">
      <c r="A1" s="395" t="s">
        <v>143</v>
      </c>
      <c r="B1" s="229"/>
      <c r="C1" s="229"/>
      <c r="D1" s="229"/>
      <c r="E1" s="230"/>
      <c r="F1" s="229"/>
      <c r="G1" s="229"/>
      <c r="H1" s="229"/>
    </row>
    <row r="2" spans="1:10" s="258" customFormat="1" ht="16.8">
      <c r="A2" s="389" t="s">
        <v>142</v>
      </c>
      <c r="B2" s="390" t="s">
        <v>89</v>
      </c>
      <c r="C2" s="390" t="s">
        <v>141</v>
      </c>
      <c r="D2" s="391" t="s">
        <v>140</v>
      </c>
      <c r="E2" s="392" t="s">
        <v>139</v>
      </c>
      <c r="F2" s="390" t="s">
        <v>138</v>
      </c>
      <c r="G2" s="390" t="s">
        <v>137</v>
      </c>
      <c r="H2" s="393" t="s">
        <v>147</v>
      </c>
      <c r="I2" s="394" t="s">
        <v>148</v>
      </c>
      <c r="J2" s="577" t="s">
        <v>321</v>
      </c>
    </row>
    <row r="3" spans="1:10" s="228" customFormat="1" ht="16.8">
      <c r="A3" s="396" t="s">
        <v>178</v>
      </c>
      <c r="B3" s="227">
        <v>0</v>
      </c>
      <c r="C3" s="259" t="s">
        <v>136</v>
      </c>
      <c r="D3" s="221" t="s">
        <v>126</v>
      </c>
      <c r="E3" s="260" t="s">
        <v>125</v>
      </c>
      <c r="F3" s="231" t="s">
        <v>134</v>
      </c>
      <c r="G3" s="231" t="s">
        <v>123</v>
      </c>
      <c r="H3" s="231" t="s">
        <v>145</v>
      </c>
      <c r="I3" s="232">
        <v>196</v>
      </c>
    </row>
    <row r="4" spans="1:10" ht="16.8">
      <c r="A4" s="396" t="s">
        <v>150</v>
      </c>
      <c r="B4" s="227">
        <v>0</v>
      </c>
      <c r="C4" s="226" t="s">
        <v>151</v>
      </c>
      <c r="D4" s="221" t="s">
        <v>130</v>
      </c>
      <c r="E4" s="224" t="s">
        <v>125</v>
      </c>
      <c r="F4" s="224" t="s">
        <v>134</v>
      </c>
      <c r="G4" s="224" t="s">
        <v>128</v>
      </c>
      <c r="H4" s="231" t="s">
        <v>145</v>
      </c>
      <c r="I4" s="232">
        <v>217</v>
      </c>
    </row>
    <row r="5" spans="1:10" ht="16.8">
      <c r="A5" s="396" t="s">
        <v>135</v>
      </c>
      <c r="B5" s="227">
        <v>0</v>
      </c>
      <c r="C5" s="226" t="s">
        <v>160</v>
      </c>
      <c r="D5" s="225" t="s">
        <v>126</v>
      </c>
      <c r="E5" s="224" t="s">
        <v>125</v>
      </c>
      <c r="F5" s="224" t="s">
        <v>134</v>
      </c>
      <c r="G5" s="224" t="s">
        <v>123</v>
      </c>
      <c r="H5" s="231" t="s">
        <v>145</v>
      </c>
      <c r="I5" s="232">
        <v>223</v>
      </c>
    </row>
    <row r="6" spans="1:10" ht="16.8">
      <c r="A6" s="396" t="s">
        <v>207</v>
      </c>
      <c r="B6" s="227">
        <v>0</v>
      </c>
      <c r="C6" s="262" t="s">
        <v>184</v>
      </c>
      <c r="D6" s="221" t="s">
        <v>126</v>
      </c>
      <c r="E6" s="260" t="s">
        <v>125</v>
      </c>
      <c r="F6" s="231" t="s">
        <v>182</v>
      </c>
      <c r="G6" s="231" t="s">
        <v>123</v>
      </c>
      <c r="H6" s="231" t="s">
        <v>145</v>
      </c>
      <c r="I6" s="232">
        <v>246</v>
      </c>
    </row>
    <row r="7" spans="1:10" ht="16.8">
      <c r="A7" s="397" t="s">
        <v>179</v>
      </c>
      <c r="B7" s="219">
        <v>0</v>
      </c>
      <c r="C7" s="334" t="s">
        <v>160</v>
      </c>
      <c r="D7" s="335" t="s">
        <v>130</v>
      </c>
      <c r="E7" s="337" t="s">
        <v>125</v>
      </c>
      <c r="F7" s="337" t="s">
        <v>132</v>
      </c>
      <c r="G7" s="337" t="s">
        <v>131</v>
      </c>
      <c r="H7" s="233" t="s">
        <v>145</v>
      </c>
      <c r="I7" s="234">
        <v>294</v>
      </c>
    </row>
    <row r="8" spans="1:10" ht="16.8">
      <c r="A8" s="396" t="s">
        <v>208</v>
      </c>
      <c r="B8" s="227">
        <v>1</v>
      </c>
      <c r="C8" s="262" t="s">
        <v>160</v>
      </c>
      <c r="D8" s="221" t="s">
        <v>126</v>
      </c>
      <c r="E8" s="260" t="s">
        <v>125</v>
      </c>
      <c r="F8" s="231" t="s">
        <v>132</v>
      </c>
      <c r="G8" s="231" t="s">
        <v>123</v>
      </c>
      <c r="H8" s="231" t="s">
        <v>145</v>
      </c>
      <c r="I8" s="306">
        <v>209</v>
      </c>
    </row>
    <row r="9" spans="1:10" ht="16.8">
      <c r="A9" s="396" t="s">
        <v>209</v>
      </c>
      <c r="B9" s="227">
        <v>1</v>
      </c>
      <c r="C9" s="262" t="s">
        <v>152</v>
      </c>
      <c r="D9" s="221" t="s">
        <v>155</v>
      </c>
      <c r="E9" s="260" t="s">
        <v>211</v>
      </c>
      <c r="F9" s="231" t="s">
        <v>134</v>
      </c>
      <c r="G9" s="231" t="s">
        <v>131</v>
      </c>
      <c r="H9" s="231" t="s">
        <v>145</v>
      </c>
      <c r="I9" s="306">
        <v>229</v>
      </c>
    </row>
    <row r="10" spans="1:10" ht="16.8">
      <c r="A10" s="396" t="s">
        <v>246</v>
      </c>
      <c r="B10" s="227">
        <v>1</v>
      </c>
      <c r="C10" s="262" t="s">
        <v>184</v>
      </c>
      <c r="D10" s="221" t="s">
        <v>155</v>
      </c>
      <c r="E10" s="260" t="s">
        <v>125</v>
      </c>
      <c r="F10" s="231" t="s">
        <v>182</v>
      </c>
      <c r="G10" s="231" t="s">
        <v>128</v>
      </c>
      <c r="H10" s="231" t="s">
        <v>183</v>
      </c>
      <c r="I10" s="232">
        <v>145</v>
      </c>
    </row>
    <row r="11" spans="1:10" ht="16.8">
      <c r="A11" s="396" t="s">
        <v>247</v>
      </c>
      <c r="B11" s="227">
        <v>1</v>
      </c>
      <c r="C11" s="262" t="s">
        <v>152</v>
      </c>
      <c r="D11" s="221" t="s">
        <v>126</v>
      </c>
      <c r="E11" s="260" t="s">
        <v>125</v>
      </c>
      <c r="F11" s="231" t="s">
        <v>182</v>
      </c>
      <c r="G11" s="231" t="s">
        <v>248</v>
      </c>
      <c r="H11" s="231" t="s">
        <v>249</v>
      </c>
      <c r="I11" s="232">
        <v>72</v>
      </c>
    </row>
    <row r="12" spans="1:10" ht="16.8">
      <c r="A12" s="396" t="s">
        <v>133</v>
      </c>
      <c r="B12" s="227">
        <v>1</v>
      </c>
      <c r="C12" s="262" t="s">
        <v>127</v>
      </c>
      <c r="D12" s="221" t="s">
        <v>126</v>
      </c>
      <c r="E12" s="260" t="s">
        <v>125</v>
      </c>
      <c r="F12" s="231" t="s">
        <v>132</v>
      </c>
      <c r="G12" s="231" t="s">
        <v>123</v>
      </c>
      <c r="H12" s="231" t="s">
        <v>145</v>
      </c>
      <c r="I12" s="306">
        <v>279</v>
      </c>
      <c r="J12" s="577" t="s">
        <v>417</v>
      </c>
    </row>
    <row r="13" spans="1:10" ht="16.8">
      <c r="A13" s="396" t="s">
        <v>210</v>
      </c>
      <c r="B13" s="227">
        <v>1</v>
      </c>
      <c r="C13" s="226" t="s">
        <v>151</v>
      </c>
      <c r="D13" s="221" t="s">
        <v>187</v>
      </c>
      <c r="E13" s="224" t="s">
        <v>125</v>
      </c>
      <c r="F13" s="224" t="s">
        <v>124</v>
      </c>
      <c r="G13" s="224" t="s">
        <v>181</v>
      </c>
      <c r="H13" s="231" t="s">
        <v>145</v>
      </c>
      <c r="I13" s="232">
        <v>280</v>
      </c>
    </row>
    <row r="14" spans="1:10" ht="16.8">
      <c r="A14" s="396" t="s">
        <v>177</v>
      </c>
      <c r="B14" s="227">
        <v>1</v>
      </c>
      <c r="C14" s="262" t="s">
        <v>152</v>
      </c>
      <c r="D14" s="221" t="s">
        <v>155</v>
      </c>
      <c r="E14" s="260" t="s">
        <v>129</v>
      </c>
      <c r="F14" s="231" t="s">
        <v>182</v>
      </c>
      <c r="G14" s="231" t="s">
        <v>128</v>
      </c>
      <c r="H14" s="231" t="s">
        <v>183</v>
      </c>
      <c r="I14" s="232">
        <v>149</v>
      </c>
      <c r="J14" s="577"/>
    </row>
    <row r="15" spans="1:10" ht="16.8">
      <c r="A15" s="397" t="s">
        <v>176</v>
      </c>
      <c r="B15" s="219">
        <v>1</v>
      </c>
      <c r="C15" s="334" t="s">
        <v>184</v>
      </c>
      <c r="D15" s="335" t="s">
        <v>185</v>
      </c>
      <c r="E15" s="337" t="s">
        <v>125</v>
      </c>
      <c r="F15" s="337" t="s">
        <v>182</v>
      </c>
      <c r="G15" s="337" t="s">
        <v>186</v>
      </c>
      <c r="H15" s="233" t="s">
        <v>145</v>
      </c>
      <c r="I15" s="234">
        <v>296</v>
      </c>
    </row>
    <row r="16" spans="1:10" ht="16.8">
      <c r="A16" s="396" t="s">
        <v>212</v>
      </c>
      <c r="B16" s="227">
        <v>2</v>
      </c>
      <c r="C16" s="262" t="s">
        <v>152</v>
      </c>
      <c r="D16" s="221" t="s">
        <v>219</v>
      </c>
      <c r="E16" s="260" t="s">
        <v>125</v>
      </c>
      <c r="F16" s="231" t="s">
        <v>132</v>
      </c>
      <c r="G16" s="231" t="s">
        <v>188</v>
      </c>
      <c r="H16" s="231" t="s">
        <v>145</v>
      </c>
      <c r="I16" s="232">
        <v>203</v>
      </c>
      <c r="J16" s="577"/>
    </row>
    <row r="17" spans="1:10" ht="16.8">
      <c r="A17" s="396" t="s">
        <v>250</v>
      </c>
      <c r="B17" s="227">
        <v>2</v>
      </c>
      <c r="C17" s="262" t="s">
        <v>251</v>
      </c>
      <c r="D17" s="221" t="s">
        <v>155</v>
      </c>
      <c r="E17" s="260" t="s">
        <v>129</v>
      </c>
      <c r="F17" s="231" t="s">
        <v>182</v>
      </c>
      <c r="G17" s="231" t="s">
        <v>131</v>
      </c>
      <c r="H17" s="231" t="s">
        <v>183</v>
      </c>
      <c r="I17" s="232">
        <v>144</v>
      </c>
    </row>
    <row r="18" spans="1:10" ht="16.8">
      <c r="A18" s="396" t="s">
        <v>180</v>
      </c>
      <c r="B18" s="227">
        <v>2</v>
      </c>
      <c r="C18" s="262" t="s">
        <v>152</v>
      </c>
      <c r="D18" s="221" t="s">
        <v>187</v>
      </c>
      <c r="E18" s="260" t="s">
        <v>125</v>
      </c>
      <c r="F18" s="231" t="s">
        <v>132</v>
      </c>
      <c r="G18" s="231" t="s">
        <v>181</v>
      </c>
      <c r="H18" s="231" t="s">
        <v>145</v>
      </c>
      <c r="I18" s="232">
        <v>207</v>
      </c>
      <c r="J18" s="577"/>
    </row>
    <row r="19" spans="1:10" ht="16.8">
      <c r="A19" s="396" t="s">
        <v>154</v>
      </c>
      <c r="B19" s="227">
        <v>2</v>
      </c>
      <c r="C19" s="262" t="s">
        <v>136</v>
      </c>
      <c r="D19" s="221" t="s">
        <v>155</v>
      </c>
      <c r="E19" s="260" t="s">
        <v>125</v>
      </c>
      <c r="F19" s="231" t="s">
        <v>132</v>
      </c>
      <c r="G19" s="231" t="s">
        <v>123</v>
      </c>
      <c r="H19" s="231" t="s">
        <v>146</v>
      </c>
      <c r="I19" s="232">
        <v>110</v>
      </c>
    </row>
    <row r="20" spans="1:10" ht="16.8">
      <c r="A20" s="396" t="s">
        <v>213</v>
      </c>
      <c r="B20" s="227">
        <v>2</v>
      </c>
      <c r="C20" s="262" t="s">
        <v>218</v>
      </c>
      <c r="D20" s="221" t="s">
        <v>219</v>
      </c>
      <c r="E20" s="260" t="s">
        <v>125</v>
      </c>
      <c r="F20" s="231" t="s">
        <v>132</v>
      </c>
      <c r="G20" s="231" t="s">
        <v>188</v>
      </c>
      <c r="H20" s="231" t="s">
        <v>145</v>
      </c>
      <c r="I20" s="232">
        <v>272</v>
      </c>
    </row>
    <row r="21" spans="1:10" ht="16.8">
      <c r="A21" s="396" t="s">
        <v>252</v>
      </c>
      <c r="B21" s="223">
        <v>2</v>
      </c>
      <c r="C21" s="222" t="s">
        <v>152</v>
      </c>
      <c r="D21" s="221" t="s">
        <v>155</v>
      </c>
      <c r="E21" s="244" t="s">
        <v>129</v>
      </c>
      <c r="F21" s="220" t="s">
        <v>182</v>
      </c>
      <c r="G21" s="220" t="s">
        <v>128</v>
      </c>
      <c r="H21" s="231" t="s">
        <v>183</v>
      </c>
      <c r="I21" s="232">
        <v>149</v>
      </c>
      <c r="J21" s="577"/>
    </row>
    <row r="22" spans="1:10" ht="16.8">
      <c r="A22" s="396" t="s">
        <v>214</v>
      </c>
      <c r="B22" s="223">
        <v>2</v>
      </c>
      <c r="C22" s="222" t="s">
        <v>151</v>
      </c>
      <c r="D22" s="221" t="s">
        <v>126</v>
      </c>
      <c r="E22" s="244" t="s">
        <v>125</v>
      </c>
      <c r="F22" s="220" t="s">
        <v>132</v>
      </c>
      <c r="G22" s="220" t="s">
        <v>188</v>
      </c>
      <c r="H22" s="231" t="s">
        <v>145</v>
      </c>
      <c r="I22" s="232">
        <v>294</v>
      </c>
    </row>
    <row r="23" spans="1:10" ht="16.8">
      <c r="A23" s="396" t="s">
        <v>215</v>
      </c>
      <c r="B23" s="223">
        <v>2</v>
      </c>
      <c r="C23" s="222" t="s">
        <v>160</v>
      </c>
      <c r="D23" s="221" t="s">
        <v>126</v>
      </c>
      <c r="E23" s="244" t="s">
        <v>125</v>
      </c>
      <c r="F23" s="220" t="s">
        <v>132</v>
      </c>
      <c r="G23" s="220" t="s">
        <v>123</v>
      </c>
      <c r="H23" s="231" t="s">
        <v>183</v>
      </c>
      <c r="I23" s="232">
        <v>158</v>
      </c>
    </row>
    <row r="24" spans="1:10" ht="16.8">
      <c r="A24" s="397" t="s">
        <v>223</v>
      </c>
      <c r="B24" s="219">
        <v>2</v>
      </c>
      <c r="C24" s="307" t="s">
        <v>152</v>
      </c>
      <c r="D24" s="336" t="s">
        <v>126</v>
      </c>
      <c r="E24" s="308" t="s">
        <v>129</v>
      </c>
      <c r="F24" s="338" t="s">
        <v>182</v>
      </c>
      <c r="G24" s="233" t="s">
        <v>128</v>
      </c>
      <c r="H24" s="233" t="s">
        <v>183</v>
      </c>
      <c r="I24" s="339">
        <v>158</v>
      </c>
    </row>
    <row r="25" spans="1:10" ht="16.8">
      <c r="A25" s="396" t="s">
        <v>239</v>
      </c>
      <c r="B25" s="223">
        <v>3</v>
      </c>
      <c r="C25" s="222" t="s">
        <v>152</v>
      </c>
      <c r="D25" s="221" t="s">
        <v>130</v>
      </c>
      <c r="E25" s="244" t="s">
        <v>125</v>
      </c>
      <c r="F25" s="220" t="s">
        <v>134</v>
      </c>
      <c r="G25" s="220" t="s">
        <v>131</v>
      </c>
      <c r="H25" s="231" t="s">
        <v>145</v>
      </c>
      <c r="I25" s="232">
        <v>239</v>
      </c>
      <c r="J25" s="577"/>
    </row>
    <row r="26" spans="1:10" ht="16.8">
      <c r="A26" s="396" t="s">
        <v>216</v>
      </c>
      <c r="B26" s="223">
        <v>3</v>
      </c>
      <c r="C26" s="222" t="s">
        <v>160</v>
      </c>
      <c r="D26" s="221" t="s">
        <v>126</v>
      </c>
      <c r="E26" s="244" t="s">
        <v>125</v>
      </c>
      <c r="F26" s="220" t="s">
        <v>132</v>
      </c>
      <c r="G26" s="220" t="s">
        <v>217</v>
      </c>
      <c r="H26" s="231" t="s">
        <v>145</v>
      </c>
      <c r="I26" s="232">
        <v>244</v>
      </c>
    </row>
    <row r="27" spans="1:10" ht="16.8">
      <c r="A27" s="396" t="s">
        <v>224</v>
      </c>
      <c r="B27" s="223">
        <v>3</v>
      </c>
      <c r="C27" s="262" t="s">
        <v>152</v>
      </c>
      <c r="D27" s="221" t="s">
        <v>126</v>
      </c>
      <c r="E27" s="260" t="s">
        <v>125</v>
      </c>
      <c r="F27" s="231" t="s">
        <v>134</v>
      </c>
      <c r="G27" s="231" t="s">
        <v>188</v>
      </c>
      <c r="H27" s="231" t="s">
        <v>145</v>
      </c>
      <c r="I27" s="232">
        <v>246</v>
      </c>
    </row>
    <row r="28" spans="1:10" ht="16.8">
      <c r="A28" s="396" t="s">
        <v>202</v>
      </c>
      <c r="B28" s="227">
        <v>3</v>
      </c>
      <c r="C28" s="226" t="s">
        <v>160</v>
      </c>
      <c r="D28" s="225" t="s">
        <v>126</v>
      </c>
      <c r="E28" s="224" t="s">
        <v>125</v>
      </c>
      <c r="F28" s="224" t="s">
        <v>132</v>
      </c>
      <c r="G28" s="224" t="s">
        <v>186</v>
      </c>
      <c r="H28" s="231" t="s">
        <v>145</v>
      </c>
      <c r="I28" s="232">
        <v>298</v>
      </c>
      <c r="J28" s="577" t="s">
        <v>417</v>
      </c>
    </row>
    <row r="29" spans="1:10" ht="16.8">
      <c r="A29" s="396" t="s">
        <v>230</v>
      </c>
      <c r="B29" s="227">
        <v>3</v>
      </c>
      <c r="C29" s="226" t="s">
        <v>151</v>
      </c>
      <c r="D29" s="225" t="s">
        <v>155</v>
      </c>
      <c r="E29" s="224" t="s">
        <v>125</v>
      </c>
      <c r="F29" s="224" t="s">
        <v>86</v>
      </c>
      <c r="G29" s="224" t="s">
        <v>123</v>
      </c>
      <c r="H29" s="231" t="s">
        <v>233</v>
      </c>
      <c r="I29" s="232">
        <v>111</v>
      </c>
    </row>
    <row r="30" spans="1:10" ht="16.8">
      <c r="A30" s="396" t="s">
        <v>253</v>
      </c>
      <c r="B30" s="227">
        <v>3</v>
      </c>
      <c r="C30" s="262" t="s">
        <v>152</v>
      </c>
      <c r="D30" s="221" t="s">
        <v>254</v>
      </c>
      <c r="E30" s="260" t="s">
        <v>125</v>
      </c>
      <c r="F30" s="231" t="s">
        <v>182</v>
      </c>
      <c r="G30" s="261" t="s">
        <v>188</v>
      </c>
      <c r="H30" s="261" t="s">
        <v>232</v>
      </c>
      <c r="I30" s="232">
        <v>73</v>
      </c>
    </row>
    <row r="31" spans="1:10" ht="16.8">
      <c r="A31" s="396" t="s">
        <v>255</v>
      </c>
      <c r="B31" s="227">
        <v>3</v>
      </c>
      <c r="C31" s="262" t="s">
        <v>136</v>
      </c>
      <c r="D31" s="221" t="s">
        <v>126</v>
      </c>
      <c r="E31" s="260" t="s">
        <v>125</v>
      </c>
      <c r="F31" s="231" t="s">
        <v>134</v>
      </c>
      <c r="G31" s="231" t="s">
        <v>123</v>
      </c>
      <c r="H31" s="231" t="s">
        <v>146</v>
      </c>
      <c r="I31" s="232">
        <v>122</v>
      </c>
    </row>
    <row r="32" spans="1:10" ht="16.8">
      <c r="A32" s="397" t="s">
        <v>256</v>
      </c>
      <c r="B32" s="219">
        <v>3</v>
      </c>
      <c r="C32" s="334" t="s">
        <v>218</v>
      </c>
      <c r="D32" s="335" t="s">
        <v>219</v>
      </c>
      <c r="E32" s="337" t="s">
        <v>125</v>
      </c>
      <c r="F32" s="337" t="s">
        <v>132</v>
      </c>
      <c r="G32" s="337" t="s">
        <v>188</v>
      </c>
      <c r="H32" s="233" t="s">
        <v>145</v>
      </c>
      <c r="I32" s="234">
        <v>266</v>
      </c>
    </row>
    <row r="33" spans="1:10" ht="16.8">
      <c r="A33" s="396" t="s">
        <v>257</v>
      </c>
      <c r="B33" s="223">
        <v>4</v>
      </c>
      <c r="C33" s="222" t="s">
        <v>127</v>
      </c>
      <c r="D33" s="435" t="s">
        <v>126</v>
      </c>
      <c r="E33" s="220" t="s">
        <v>265</v>
      </c>
      <c r="F33" s="220" t="s">
        <v>124</v>
      </c>
      <c r="G33" s="220" t="s">
        <v>123</v>
      </c>
      <c r="H33" s="231" t="s">
        <v>146</v>
      </c>
      <c r="I33" s="232">
        <v>106</v>
      </c>
    </row>
    <row r="34" spans="1:10" ht="16.8">
      <c r="A34" s="396" t="s">
        <v>258</v>
      </c>
      <c r="B34" s="223">
        <v>4</v>
      </c>
      <c r="C34" s="222" t="s">
        <v>152</v>
      </c>
      <c r="D34" s="435" t="s">
        <v>155</v>
      </c>
      <c r="E34" s="220" t="s">
        <v>125</v>
      </c>
      <c r="F34" s="220" t="s">
        <v>231</v>
      </c>
      <c r="G34" s="220" t="s">
        <v>123</v>
      </c>
      <c r="H34" s="231" t="s">
        <v>145</v>
      </c>
      <c r="I34" s="232">
        <v>221</v>
      </c>
    </row>
    <row r="35" spans="1:10" ht="16.8">
      <c r="A35" s="396" t="s">
        <v>259</v>
      </c>
      <c r="B35" s="223">
        <v>4</v>
      </c>
      <c r="C35" s="222" t="s">
        <v>218</v>
      </c>
      <c r="D35" s="435" t="s">
        <v>126</v>
      </c>
      <c r="E35" s="220" t="s">
        <v>125</v>
      </c>
      <c r="F35" s="220" t="s">
        <v>124</v>
      </c>
      <c r="G35" s="220" t="s">
        <v>123</v>
      </c>
      <c r="H35" s="231" t="s">
        <v>145</v>
      </c>
      <c r="I35" s="232">
        <v>223</v>
      </c>
    </row>
    <row r="36" spans="1:10" ht="16.8">
      <c r="A36" s="397" t="s">
        <v>260</v>
      </c>
      <c r="B36" s="447">
        <v>4</v>
      </c>
      <c r="C36" s="448" t="s">
        <v>127</v>
      </c>
      <c r="D36" s="449" t="s">
        <v>187</v>
      </c>
      <c r="E36" s="450" t="s">
        <v>125</v>
      </c>
      <c r="F36" s="450" t="s">
        <v>182</v>
      </c>
      <c r="G36" s="450" t="s">
        <v>131</v>
      </c>
      <c r="H36" s="233" t="s">
        <v>145</v>
      </c>
      <c r="I36" s="234">
        <v>230</v>
      </c>
    </row>
    <row r="37" spans="1:10" ht="16.8">
      <c r="A37" s="396" t="s">
        <v>261</v>
      </c>
      <c r="B37" s="223">
        <v>5</v>
      </c>
      <c r="C37" s="222" t="s">
        <v>127</v>
      </c>
      <c r="D37" s="435" t="s">
        <v>262</v>
      </c>
      <c r="E37" s="220" t="s">
        <v>125</v>
      </c>
      <c r="F37" s="220" t="s">
        <v>231</v>
      </c>
      <c r="G37" s="220" t="s">
        <v>123</v>
      </c>
      <c r="H37" s="231" t="s">
        <v>145</v>
      </c>
      <c r="I37" s="232">
        <v>203</v>
      </c>
    </row>
    <row r="38" spans="1:10" ht="16.8">
      <c r="A38" s="396" t="s">
        <v>378</v>
      </c>
      <c r="B38" s="223">
        <v>5</v>
      </c>
      <c r="C38" s="262" t="s">
        <v>127</v>
      </c>
      <c r="D38" s="221" t="s">
        <v>383</v>
      </c>
      <c r="E38" s="556" t="s">
        <v>125</v>
      </c>
      <c r="F38" s="261" t="s">
        <v>124</v>
      </c>
      <c r="G38" s="231" t="s">
        <v>131</v>
      </c>
      <c r="H38" s="231" t="s">
        <v>145</v>
      </c>
      <c r="I38" s="557">
        <v>203</v>
      </c>
    </row>
    <row r="39" spans="1:10" ht="16.8">
      <c r="A39" s="396" t="s">
        <v>379</v>
      </c>
      <c r="B39" s="223">
        <v>5</v>
      </c>
      <c r="C39" s="262" t="s">
        <v>151</v>
      </c>
      <c r="D39" s="221" t="s">
        <v>383</v>
      </c>
      <c r="E39" s="556" t="s">
        <v>125</v>
      </c>
      <c r="F39" s="231" t="s">
        <v>124</v>
      </c>
      <c r="G39" s="231" t="s">
        <v>131</v>
      </c>
      <c r="H39" s="231" t="s">
        <v>145</v>
      </c>
      <c r="I39" s="557">
        <v>241</v>
      </c>
    </row>
    <row r="40" spans="1:10" ht="16.8">
      <c r="A40" s="396" t="s">
        <v>380</v>
      </c>
      <c r="B40" s="223">
        <v>5</v>
      </c>
      <c r="C40" s="262" t="s">
        <v>127</v>
      </c>
      <c r="D40" s="221" t="s">
        <v>262</v>
      </c>
      <c r="E40" s="556" t="s">
        <v>125</v>
      </c>
      <c r="F40" s="231" t="s">
        <v>134</v>
      </c>
      <c r="G40" s="231" t="s">
        <v>123</v>
      </c>
      <c r="H40" s="231" t="s">
        <v>145</v>
      </c>
      <c r="I40" s="557">
        <v>262</v>
      </c>
    </row>
    <row r="41" spans="1:10" ht="16.8">
      <c r="A41" s="396" t="s">
        <v>381</v>
      </c>
      <c r="B41" s="223">
        <v>5</v>
      </c>
      <c r="C41" s="262" t="s">
        <v>127</v>
      </c>
      <c r="D41" s="221" t="s">
        <v>126</v>
      </c>
      <c r="E41" s="556" t="s">
        <v>125</v>
      </c>
      <c r="F41" s="261" t="s">
        <v>124</v>
      </c>
      <c r="G41" s="231" t="s">
        <v>123</v>
      </c>
      <c r="H41" s="231" t="s">
        <v>146</v>
      </c>
      <c r="I41" s="557">
        <v>125</v>
      </c>
    </row>
    <row r="42" spans="1:10" ht="16.8">
      <c r="A42" s="396" t="s">
        <v>382</v>
      </c>
      <c r="B42" s="223">
        <v>5</v>
      </c>
      <c r="C42" s="222" t="s">
        <v>127</v>
      </c>
      <c r="D42" s="435" t="s">
        <v>126</v>
      </c>
      <c r="E42" s="220" t="s">
        <v>125</v>
      </c>
      <c r="F42" s="220" t="s">
        <v>182</v>
      </c>
      <c r="G42" s="220" t="s">
        <v>131</v>
      </c>
      <c r="H42" s="231" t="s">
        <v>146</v>
      </c>
      <c r="I42" s="232">
        <v>125</v>
      </c>
    </row>
    <row r="43" spans="1:10" ht="16.8">
      <c r="A43" s="396" t="s">
        <v>263</v>
      </c>
      <c r="B43" s="223">
        <v>5</v>
      </c>
      <c r="C43" s="222" t="s">
        <v>152</v>
      </c>
      <c r="D43" s="435" t="s">
        <v>187</v>
      </c>
      <c r="E43" s="220" t="s">
        <v>125</v>
      </c>
      <c r="F43" s="220" t="s">
        <v>124</v>
      </c>
      <c r="G43" s="220" t="s">
        <v>123</v>
      </c>
      <c r="H43" s="231" t="s">
        <v>145</v>
      </c>
      <c r="I43" s="232">
        <v>222</v>
      </c>
      <c r="J43" s="577" t="s">
        <v>417</v>
      </c>
    </row>
    <row r="44" spans="1:10" ht="17.399999999999999" thickBot="1">
      <c r="A44" s="550" t="s">
        <v>264</v>
      </c>
      <c r="B44" s="551">
        <v>5</v>
      </c>
      <c r="C44" s="552" t="s">
        <v>160</v>
      </c>
      <c r="D44" s="553" t="s">
        <v>126</v>
      </c>
      <c r="E44" s="554" t="s">
        <v>125</v>
      </c>
      <c r="F44" s="554" t="s">
        <v>86</v>
      </c>
      <c r="G44" s="554" t="s">
        <v>123</v>
      </c>
      <c r="H44" s="554" t="s">
        <v>145</v>
      </c>
      <c r="I44" s="555">
        <v>301</v>
      </c>
    </row>
    <row r="45" spans="1:10" ht="16.2" thickTop="1"/>
  </sheetData>
  <sortState xmlns:xlrd2="http://schemas.microsoft.com/office/spreadsheetml/2017/richdata2" ref="A3:I28">
    <sortCondition ref="B3:B28"/>
    <sortCondition ref="A3:A28"/>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4"/>
  <sheetViews>
    <sheetView showGridLines="0" workbookViewId="0"/>
  </sheetViews>
  <sheetFormatPr defaultColWidth="9.59765625" defaultRowHeight="16.8"/>
  <cols>
    <col min="1" max="1" width="28.796875" style="136" bestFit="1" customWidth="1"/>
    <col min="2" max="2" width="2.19921875" style="134" customWidth="1"/>
    <col min="3" max="3" width="29.09765625" style="134" bestFit="1" customWidth="1"/>
    <col min="4" max="4" width="2.3984375" style="134" customWidth="1"/>
    <col min="5" max="5" width="16.3984375" style="134" bestFit="1" customWidth="1"/>
    <col min="6" max="11" width="3.796875" style="134" customWidth="1"/>
    <col min="12" max="16384" width="9.59765625" style="134"/>
  </cols>
  <sheetData>
    <row r="1" spans="1:11" ht="22.2" thickTop="1" thickBot="1">
      <c r="A1" s="263" t="s">
        <v>69</v>
      </c>
      <c r="C1" s="264" t="s">
        <v>108</v>
      </c>
      <c r="E1" s="368"/>
      <c r="F1" s="369" t="s">
        <v>272</v>
      </c>
      <c r="G1" s="370"/>
      <c r="H1" s="371"/>
      <c r="I1" s="371"/>
      <c r="J1" s="371"/>
      <c r="K1" s="372"/>
    </row>
    <row r="2" spans="1:11" ht="17.399999999999999" thickBot="1">
      <c r="A2" s="497" t="s">
        <v>205</v>
      </c>
      <c r="C2" s="461" t="s">
        <v>110</v>
      </c>
      <c r="E2" s="368"/>
      <c r="F2" s="373" t="s">
        <v>266</v>
      </c>
      <c r="G2" s="374" t="s">
        <v>171</v>
      </c>
      <c r="H2" s="374" t="s">
        <v>172</v>
      </c>
      <c r="I2" s="374" t="s">
        <v>173</v>
      </c>
      <c r="J2" s="374" t="s">
        <v>174</v>
      </c>
      <c r="K2" s="375" t="s">
        <v>175</v>
      </c>
    </row>
    <row r="3" spans="1:11" ht="17.399999999999999" thickTop="1">
      <c r="A3" s="135" t="s">
        <v>189</v>
      </c>
      <c r="C3" s="462" t="str">
        <f>CONCATENATE("Spell-Like Abilities, CL ",'Personal File'!E3)</f>
        <v>Spell-Like Abilities, CL 17</v>
      </c>
      <c r="E3" s="376" t="s">
        <v>278</v>
      </c>
      <c r="F3" s="377">
        <v>6</v>
      </c>
      <c r="G3" s="378">
        <v>10</v>
      </c>
      <c r="H3" s="378">
        <v>9</v>
      </c>
      <c r="I3" s="378">
        <v>8</v>
      </c>
      <c r="J3" s="378">
        <v>6</v>
      </c>
      <c r="K3" s="548">
        <v>2</v>
      </c>
    </row>
    <row r="4" spans="1:11">
      <c r="A4" s="135" t="s">
        <v>190</v>
      </c>
      <c r="C4" s="463" t="s">
        <v>283</v>
      </c>
      <c r="E4" s="379" t="s">
        <v>271</v>
      </c>
      <c r="F4" s="380">
        <v>0</v>
      </c>
      <c r="G4" s="380">
        <v>1</v>
      </c>
      <c r="H4" s="380">
        <v>1</v>
      </c>
      <c r="I4" s="380">
        <v>1</v>
      </c>
      <c r="J4" s="380">
        <v>0</v>
      </c>
      <c r="K4" s="549">
        <v>0</v>
      </c>
    </row>
    <row r="5" spans="1:11" ht="17.399999999999999" thickBot="1">
      <c r="A5" s="318" t="s">
        <v>203</v>
      </c>
      <c r="C5" s="464" t="s">
        <v>112</v>
      </c>
      <c r="E5" s="381" t="s">
        <v>267</v>
      </c>
      <c r="F5" s="382">
        <f t="shared" ref="F5:I5" si="0">SUM(F3:F4)</f>
        <v>6</v>
      </c>
      <c r="G5" s="564">
        <f>2*SUM(G3:G4)</f>
        <v>22</v>
      </c>
      <c r="H5" s="382">
        <f t="shared" si="0"/>
        <v>10</v>
      </c>
      <c r="I5" s="382">
        <f t="shared" si="0"/>
        <v>9</v>
      </c>
      <c r="J5" s="382">
        <f t="shared" ref="J5:K5" si="1">SUM(J3:J4)</f>
        <v>6</v>
      </c>
      <c r="K5" s="547">
        <f t="shared" si="1"/>
        <v>2</v>
      </c>
    </row>
    <row r="6" spans="1:11">
      <c r="A6" s="318" t="s">
        <v>238</v>
      </c>
      <c r="C6" s="464" t="s">
        <v>109</v>
      </c>
      <c r="E6" s="383" t="s">
        <v>121</v>
      </c>
      <c r="F6" s="384">
        <f>10+LEFT(F2,1)+'Personal File'!$C$13</f>
        <v>13</v>
      </c>
      <c r="G6" s="384">
        <f>10+LEFT(G2,1)+'Personal File'!$C$13</f>
        <v>14</v>
      </c>
      <c r="H6" s="384">
        <f>10+LEFT(H2,1)+'Personal File'!$C$13</f>
        <v>15</v>
      </c>
      <c r="I6" s="384">
        <f>10+LEFT(I2,1)+'Personal File'!$C$13</f>
        <v>16</v>
      </c>
      <c r="J6" s="384">
        <f>10+LEFT(J2,1)+'Personal File'!$C$13</f>
        <v>17</v>
      </c>
      <c r="K6" s="385">
        <f>10+LEFT(K2,1)+'Personal File'!$C$13</f>
        <v>18</v>
      </c>
    </row>
    <row r="7" spans="1:11" ht="17.399999999999999" thickBot="1">
      <c r="A7" s="135" t="s">
        <v>384</v>
      </c>
      <c r="C7" s="465" t="s">
        <v>111</v>
      </c>
      <c r="E7" s="386" t="s">
        <v>122</v>
      </c>
      <c r="F7" s="387">
        <v>0</v>
      </c>
      <c r="G7" s="387">
        <v>8</v>
      </c>
      <c r="H7" s="387">
        <v>9</v>
      </c>
      <c r="I7" s="387">
        <v>9</v>
      </c>
      <c r="J7" s="387">
        <v>6</v>
      </c>
      <c r="K7" s="546">
        <v>2</v>
      </c>
    </row>
    <row r="8" spans="1:11" ht="18" thickTop="1" thickBot="1">
      <c r="A8" s="460" t="s">
        <v>274</v>
      </c>
      <c r="E8" s="388"/>
      <c r="F8" s="388">
        <f t="shared" ref="F8:K8" si="2">F5-F7</f>
        <v>6</v>
      </c>
      <c r="G8" s="388">
        <f t="shared" si="2"/>
        <v>14</v>
      </c>
      <c r="H8" s="388">
        <f t="shared" si="2"/>
        <v>1</v>
      </c>
      <c r="I8" s="388">
        <f t="shared" si="2"/>
        <v>0</v>
      </c>
      <c r="J8" s="388">
        <f t="shared" si="2"/>
        <v>0</v>
      </c>
      <c r="K8" s="388">
        <f t="shared" si="2"/>
        <v>0</v>
      </c>
    </row>
    <row r="9" spans="1:11" ht="22.2" thickTop="1" thickBot="1">
      <c r="A9" s="319" t="s">
        <v>317</v>
      </c>
      <c r="C9" s="266" t="s">
        <v>57</v>
      </c>
      <c r="E9" s="466" t="s">
        <v>268</v>
      </c>
      <c r="F9" s="467" t="s">
        <v>269</v>
      </c>
      <c r="G9" s="467"/>
      <c r="H9" s="468" t="s">
        <v>270</v>
      </c>
      <c r="I9" s="468"/>
      <c r="J9" s="469"/>
      <c r="K9" s="388"/>
    </row>
    <row r="10" spans="1:11" ht="18" thickTop="1" thickBot="1">
      <c r="C10" s="137" t="s">
        <v>107</v>
      </c>
      <c r="E10" s="470" t="s">
        <v>91</v>
      </c>
      <c r="F10" s="471">
        <f>'Personal File'!E3</f>
        <v>17</v>
      </c>
      <c r="G10" s="471"/>
      <c r="H10" s="472">
        <f>'Personal File'!E3</f>
        <v>17</v>
      </c>
      <c r="I10" s="473"/>
      <c r="J10" s="474"/>
      <c r="K10" s="388"/>
    </row>
    <row r="11" spans="1:11" ht="22.2" thickTop="1" thickBot="1">
      <c r="A11" s="263" t="s">
        <v>88</v>
      </c>
    </row>
    <row r="12" spans="1:11" ht="24" thickTop="1" thickBot="1">
      <c r="A12" s="462" t="s">
        <v>116</v>
      </c>
      <c r="C12" s="265" t="s">
        <v>118</v>
      </c>
      <c r="E12" s="534" t="s">
        <v>362</v>
      </c>
      <c r="F12" s="257"/>
      <c r="G12" s="257"/>
      <c r="H12" s="257"/>
      <c r="I12" s="257"/>
      <c r="J12" s="257"/>
      <c r="K12" s="257"/>
    </row>
    <row r="13" spans="1:11" ht="18" thickTop="1" thickBot="1">
      <c r="A13" s="495" t="s">
        <v>284</v>
      </c>
      <c r="C13" s="476" t="s">
        <v>119</v>
      </c>
      <c r="E13" s="477" t="s">
        <v>89</v>
      </c>
      <c r="F13" s="478">
        <v>0</v>
      </c>
      <c r="G13" s="479" t="s">
        <v>171</v>
      </c>
      <c r="H13" s="479" t="s">
        <v>172</v>
      </c>
      <c r="I13" s="479" t="s">
        <v>173</v>
      </c>
      <c r="J13" s="479" t="s">
        <v>174</v>
      </c>
      <c r="K13" s="480" t="s">
        <v>175</v>
      </c>
    </row>
    <row r="14" spans="1:11">
      <c r="A14" s="475" t="s">
        <v>117</v>
      </c>
      <c r="C14" s="481" t="s">
        <v>120</v>
      </c>
      <c r="E14" s="482">
        <v>1</v>
      </c>
      <c r="F14" s="483">
        <f>2+'Personal File'!C13</f>
        <v>5</v>
      </c>
      <c r="G14" s="542">
        <v>1</v>
      </c>
      <c r="H14" s="485"/>
      <c r="I14" s="485"/>
      <c r="J14" s="485"/>
      <c r="K14" s="486"/>
    </row>
    <row r="15" spans="1:11" ht="17.399999999999999" thickBot="1">
      <c r="A15" s="475" t="s">
        <v>164</v>
      </c>
      <c r="C15" s="137" t="s">
        <v>70</v>
      </c>
      <c r="E15" s="487">
        <v>2</v>
      </c>
      <c r="F15" s="488">
        <f t="shared" ref="F15" si="3">F14</f>
        <v>5</v>
      </c>
      <c r="G15" s="542">
        <v>2</v>
      </c>
      <c r="H15" s="489"/>
      <c r="I15" s="489"/>
      <c r="J15" s="489"/>
      <c r="K15" s="490"/>
    </row>
    <row r="16" spans="1:11" ht="17.399999999999999" thickTop="1">
      <c r="A16" s="475" t="s">
        <v>286</v>
      </c>
      <c r="E16" s="487">
        <v>3</v>
      </c>
      <c r="F16" s="488">
        <f t="shared" ref="F16" si="4">F15</f>
        <v>5</v>
      </c>
      <c r="G16" s="542">
        <v>3</v>
      </c>
      <c r="H16" s="489"/>
      <c r="I16" s="489"/>
      <c r="J16" s="489"/>
      <c r="K16" s="490"/>
    </row>
    <row r="17" spans="1:11">
      <c r="A17" s="475" t="s">
        <v>204</v>
      </c>
      <c r="E17" s="487">
        <v>4</v>
      </c>
      <c r="F17" s="488">
        <v>6</v>
      </c>
      <c r="G17" s="542">
        <v>4</v>
      </c>
      <c r="H17" s="489"/>
      <c r="I17" s="489"/>
      <c r="J17" s="489"/>
      <c r="K17" s="490"/>
    </row>
    <row r="18" spans="1:11">
      <c r="A18" s="475" t="s">
        <v>371</v>
      </c>
      <c r="E18" s="487">
        <v>5</v>
      </c>
      <c r="F18" s="488">
        <f t="shared" ref="F18:F32" si="5">F17</f>
        <v>6</v>
      </c>
      <c r="G18" s="542">
        <f t="shared" ref="G18:G20" si="6">F18-1</f>
        <v>5</v>
      </c>
      <c r="H18" s="484">
        <v>2</v>
      </c>
      <c r="I18" s="489"/>
      <c r="J18" s="489"/>
      <c r="K18" s="490"/>
    </row>
    <row r="19" spans="1:11" ht="17.399999999999999" thickBot="1">
      <c r="A19" s="491" t="s">
        <v>332</v>
      </c>
      <c r="E19" s="487">
        <v>6</v>
      </c>
      <c r="F19" s="488">
        <f t="shared" si="5"/>
        <v>6</v>
      </c>
      <c r="G19" s="488">
        <f t="shared" si="6"/>
        <v>5</v>
      </c>
      <c r="H19" s="488">
        <v>3</v>
      </c>
      <c r="I19" s="489"/>
      <c r="J19" s="489"/>
      <c r="K19" s="490"/>
    </row>
    <row r="20" spans="1:11" ht="17.399999999999999" thickTop="1">
      <c r="E20" s="487">
        <v>7</v>
      </c>
      <c r="F20" s="488">
        <f t="shared" si="5"/>
        <v>6</v>
      </c>
      <c r="G20" s="542">
        <f t="shared" si="6"/>
        <v>5</v>
      </c>
      <c r="H20" s="484">
        <v>4</v>
      </c>
      <c r="I20" s="489"/>
      <c r="J20" s="489"/>
      <c r="K20" s="490"/>
    </row>
    <row r="21" spans="1:11">
      <c r="E21" s="487">
        <v>8</v>
      </c>
      <c r="F21" s="488">
        <f t="shared" si="5"/>
        <v>6</v>
      </c>
      <c r="G21" s="542">
        <f t="shared" ref="G21:G24" si="7">F21</f>
        <v>6</v>
      </c>
      <c r="H21" s="542">
        <f t="shared" ref="H21:J33" si="8">G21-1</f>
        <v>5</v>
      </c>
      <c r="I21" s="489"/>
      <c r="J21" s="489"/>
      <c r="K21" s="490"/>
    </row>
    <row r="22" spans="1:11">
      <c r="E22" s="487">
        <v>9</v>
      </c>
      <c r="F22" s="488">
        <f t="shared" si="5"/>
        <v>6</v>
      </c>
      <c r="G22" s="542">
        <f t="shared" si="7"/>
        <v>6</v>
      </c>
      <c r="H22" s="542">
        <f t="shared" si="8"/>
        <v>5</v>
      </c>
      <c r="I22" s="484">
        <v>1</v>
      </c>
      <c r="J22" s="489"/>
      <c r="K22" s="490"/>
    </row>
    <row r="23" spans="1:11">
      <c r="E23" s="487">
        <v>10</v>
      </c>
      <c r="F23" s="488">
        <f t="shared" si="5"/>
        <v>6</v>
      </c>
      <c r="G23" s="542">
        <f t="shared" si="7"/>
        <v>6</v>
      </c>
      <c r="H23" s="542">
        <f t="shared" si="8"/>
        <v>5</v>
      </c>
      <c r="I23" s="484">
        <v>2</v>
      </c>
      <c r="J23" s="489"/>
      <c r="K23" s="490"/>
    </row>
    <row r="24" spans="1:11">
      <c r="E24" s="487">
        <v>11</v>
      </c>
      <c r="F24" s="488">
        <f t="shared" si="5"/>
        <v>6</v>
      </c>
      <c r="G24" s="542">
        <f t="shared" si="7"/>
        <v>6</v>
      </c>
      <c r="H24" s="542">
        <f t="shared" si="8"/>
        <v>5</v>
      </c>
      <c r="I24" s="484">
        <v>3</v>
      </c>
      <c r="J24" s="489"/>
      <c r="K24" s="490"/>
    </row>
    <row r="25" spans="1:11">
      <c r="E25" s="487">
        <v>12</v>
      </c>
      <c r="F25" s="488">
        <f t="shared" si="5"/>
        <v>6</v>
      </c>
      <c r="G25" s="542">
        <f t="shared" ref="G25:G33" si="9">F25+1</f>
        <v>7</v>
      </c>
      <c r="H25" s="542">
        <f t="shared" si="8"/>
        <v>6</v>
      </c>
      <c r="I25" s="484">
        <f t="shared" si="8"/>
        <v>5</v>
      </c>
      <c r="J25" s="489"/>
      <c r="K25" s="490"/>
    </row>
    <row r="26" spans="1:11">
      <c r="E26" s="487">
        <v>13</v>
      </c>
      <c r="F26" s="488">
        <f t="shared" si="5"/>
        <v>6</v>
      </c>
      <c r="G26" s="542">
        <f t="shared" si="9"/>
        <v>7</v>
      </c>
      <c r="H26" s="542">
        <f t="shared" si="8"/>
        <v>6</v>
      </c>
      <c r="I26" s="484">
        <f t="shared" si="8"/>
        <v>5</v>
      </c>
      <c r="J26" s="484">
        <v>1</v>
      </c>
      <c r="K26" s="490"/>
    </row>
    <row r="27" spans="1:11">
      <c r="E27" s="487">
        <v>14</v>
      </c>
      <c r="F27" s="488">
        <f t="shared" si="5"/>
        <v>6</v>
      </c>
      <c r="G27" s="542">
        <f t="shared" si="9"/>
        <v>7</v>
      </c>
      <c r="H27" s="542">
        <f t="shared" si="8"/>
        <v>6</v>
      </c>
      <c r="I27" s="484">
        <f t="shared" si="8"/>
        <v>5</v>
      </c>
      <c r="J27" s="484">
        <v>2</v>
      </c>
      <c r="K27" s="490"/>
    </row>
    <row r="28" spans="1:11">
      <c r="E28" s="487">
        <v>15</v>
      </c>
      <c r="F28" s="488">
        <f t="shared" si="5"/>
        <v>6</v>
      </c>
      <c r="G28" s="542">
        <f t="shared" si="9"/>
        <v>7</v>
      </c>
      <c r="H28" s="542">
        <f t="shared" si="8"/>
        <v>6</v>
      </c>
      <c r="I28" s="484">
        <f t="shared" si="8"/>
        <v>5</v>
      </c>
      <c r="J28" s="484">
        <v>3</v>
      </c>
      <c r="K28" s="541"/>
    </row>
    <row r="29" spans="1:11">
      <c r="E29" s="487">
        <v>16</v>
      </c>
      <c r="F29" s="488">
        <f t="shared" si="5"/>
        <v>6</v>
      </c>
      <c r="G29" s="542">
        <f t="shared" si="9"/>
        <v>7</v>
      </c>
      <c r="H29" s="542">
        <f t="shared" si="8"/>
        <v>6</v>
      </c>
      <c r="I29" s="484">
        <f t="shared" si="8"/>
        <v>5</v>
      </c>
      <c r="J29" s="484">
        <f t="shared" si="8"/>
        <v>4</v>
      </c>
      <c r="K29" s="538"/>
    </row>
    <row r="30" spans="1:11">
      <c r="E30" s="535">
        <v>17</v>
      </c>
      <c r="F30" s="536">
        <f t="shared" si="5"/>
        <v>6</v>
      </c>
      <c r="G30" s="543">
        <f t="shared" si="9"/>
        <v>7</v>
      </c>
      <c r="H30" s="543">
        <f t="shared" si="8"/>
        <v>6</v>
      </c>
      <c r="I30" s="537">
        <f t="shared" si="8"/>
        <v>5</v>
      </c>
      <c r="J30" s="537">
        <f t="shared" si="8"/>
        <v>4</v>
      </c>
      <c r="K30" s="582">
        <v>1</v>
      </c>
    </row>
    <row r="31" spans="1:11">
      <c r="E31" s="487">
        <v>18</v>
      </c>
      <c r="F31" s="488">
        <f t="shared" si="5"/>
        <v>6</v>
      </c>
      <c r="G31" s="542">
        <f t="shared" si="9"/>
        <v>7</v>
      </c>
      <c r="H31" s="542">
        <f t="shared" si="8"/>
        <v>6</v>
      </c>
      <c r="I31" s="484">
        <f t="shared" si="8"/>
        <v>5</v>
      </c>
      <c r="J31" s="484">
        <f t="shared" ref="J31" si="10">I31-1</f>
        <v>4</v>
      </c>
      <c r="K31" s="539">
        <v>2</v>
      </c>
    </row>
    <row r="32" spans="1:11">
      <c r="E32" s="487">
        <v>19</v>
      </c>
      <c r="F32" s="488">
        <f t="shared" si="5"/>
        <v>6</v>
      </c>
      <c r="G32" s="542">
        <f t="shared" si="9"/>
        <v>7</v>
      </c>
      <c r="H32" s="542">
        <f t="shared" si="8"/>
        <v>6</v>
      </c>
      <c r="I32" s="484">
        <f t="shared" si="8"/>
        <v>5</v>
      </c>
      <c r="J32" s="484">
        <f t="shared" ref="J32" si="11">I32-1</f>
        <v>4</v>
      </c>
      <c r="K32" s="539">
        <v>3</v>
      </c>
    </row>
    <row r="33" spans="5:11" ht="17.399999999999999" thickBot="1">
      <c r="E33" s="492">
        <v>20</v>
      </c>
      <c r="F33" s="493">
        <f>F27</f>
        <v>6</v>
      </c>
      <c r="G33" s="544">
        <f t="shared" si="9"/>
        <v>7</v>
      </c>
      <c r="H33" s="544">
        <f t="shared" si="8"/>
        <v>6</v>
      </c>
      <c r="I33" s="494">
        <f t="shared" si="8"/>
        <v>5</v>
      </c>
      <c r="J33" s="494">
        <f t="shared" ref="J33:K33" si="12">I33-1</f>
        <v>4</v>
      </c>
      <c r="K33" s="540">
        <f t="shared" si="12"/>
        <v>3</v>
      </c>
    </row>
    <row r="34" spans="5:11" ht="17.399999999999999" thickTop="1"/>
  </sheetData>
  <sortState xmlns:xlrd2="http://schemas.microsoft.com/office/spreadsheetml/2017/richdata2"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0"/>
  <sheetViews>
    <sheetView showGridLines="0" workbookViewId="0"/>
  </sheetViews>
  <sheetFormatPr defaultColWidth="13" defaultRowHeight="15.6"/>
  <cols>
    <col min="1" max="1" width="31.59765625" style="133" bestFit="1" customWidth="1"/>
    <col min="2" max="2" width="14.59765625" style="133" bestFit="1" customWidth="1"/>
    <col min="3" max="3" width="5.59765625" style="133" bestFit="1" customWidth="1"/>
    <col min="4" max="4" width="6.5" style="133" bestFit="1" customWidth="1"/>
    <col min="5" max="5" width="7" style="133" bestFit="1" customWidth="1"/>
    <col min="6" max="6" width="6" style="133" bestFit="1" customWidth="1"/>
    <col min="7" max="7" width="9.3984375" style="133" bestFit="1" customWidth="1"/>
    <col min="8" max="8" width="4" style="133" bestFit="1" customWidth="1"/>
    <col min="9" max="9" width="4.69921875" style="133" bestFit="1" customWidth="1"/>
    <col min="10" max="10" width="5.69921875" style="133" bestFit="1" customWidth="1"/>
    <col min="11" max="11" width="6.296875" style="133" bestFit="1" customWidth="1"/>
    <col min="12" max="12" width="20" style="133" bestFit="1" customWidth="1"/>
    <col min="13" max="13" width="2.8984375" style="14" customWidth="1"/>
    <col min="14" max="14" width="5.8984375" style="14" bestFit="1" customWidth="1"/>
    <col min="15" max="16384" width="13" style="14"/>
  </cols>
  <sheetData>
    <row r="1" spans="1:14" ht="23.4" thickBot="1">
      <c r="A1" s="138" t="s">
        <v>15</v>
      </c>
      <c r="B1" s="138"/>
      <c r="C1" s="138"/>
      <c r="D1" s="138"/>
      <c r="E1" s="138"/>
      <c r="F1" s="138"/>
      <c r="G1" s="138"/>
      <c r="H1" s="138"/>
      <c r="I1" s="138"/>
      <c r="J1" s="138"/>
      <c r="K1" s="138"/>
      <c r="L1" s="138"/>
    </row>
    <row r="2" spans="1:14" ht="16.8" thickTop="1" thickBot="1">
      <c r="A2" s="139" t="s">
        <v>1</v>
      </c>
      <c r="B2" s="140" t="s">
        <v>2</v>
      </c>
      <c r="C2" s="140" t="s">
        <v>18</v>
      </c>
      <c r="D2" s="140" t="s">
        <v>19</v>
      </c>
      <c r="E2" s="141" t="s">
        <v>416</v>
      </c>
      <c r="F2" s="141" t="s">
        <v>408</v>
      </c>
      <c r="G2" s="140" t="s">
        <v>16</v>
      </c>
      <c r="H2" s="140" t="s">
        <v>20</v>
      </c>
      <c r="I2" s="142" t="s">
        <v>68</v>
      </c>
      <c r="J2" s="143" t="s">
        <v>77</v>
      </c>
      <c r="K2" s="142" t="s">
        <v>63</v>
      </c>
      <c r="L2" s="144" t="s">
        <v>0</v>
      </c>
      <c r="N2" s="145" t="s">
        <v>87</v>
      </c>
    </row>
    <row r="3" spans="1:14">
      <c r="A3" s="238" t="s">
        <v>335</v>
      </c>
      <c r="B3" s="7" t="s">
        <v>191</v>
      </c>
      <c r="C3" s="8" t="str">
        <f>CONCATENATE('Personal File'!$C$10," +3")</f>
        <v>+2 +3</v>
      </c>
      <c r="D3" s="9" t="s">
        <v>277</v>
      </c>
      <c r="E3" s="9" t="s">
        <v>409</v>
      </c>
      <c r="F3" s="9" t="s">
        <v>71</v>
      </c>
      <c r="G3" s="10" t="s">
        <v>73</v>
      </c>
      <c r="H3" s="11">
        <v>8</v>
      </c>
      <c r="I3" s="13" t="str">
        <f>CONCATENATE("+",'Personal File'!$B$7+'Personal File'!$C$10+D3)</f>
        <v>+18</v>
      </c>
      <c r="J3" s="12">
        <f t="shared" ref="J3:J22" ca="1" si="0">RANDBETWEEN(1,20)</f>
        <v>8</v>
      </c>
      <c r="K3" s="6">
        <f t="shared" ref="K3:K23" ca="1" si="1">J3+I3</f>
        <v>26</v>
      </c>
      <c r="L3" s="352" t="s">
        <v>339</v>
      </c>
      <c r="N3" s="252">
        <v>50000</v>
      </c>
    </row>
    <row r="4" spans="1:14">
      <c r="A4" s="245" t="s">
        <v>336</v>
      </c>
      <c r="B4" s="246" t="s">
        <v>191</v>
      </c>
      <c r="C4" s="247" t="str">
        <f>CONCATENATE('Personal File'!$C$10," +3")</f>
        <v>+2 +3</v>
      </c>
      <c r="D4" s="248" t="s">
        <v>277</v>
      </c>
      <c r="E4" s="248" t="s">
        <v>409</v>
      </c>
      <c r="F4" s="248" t="s">
        <v>71</v>
      </c>
      <c r="G4" s="10" t="s">
        <v>73</v>
      </c>
      <c r="H4" s="249" t="s">
        <v>90</v>
      </c>
      <c r="I4" s="13" t="str">
        <f>CONCATENATE("+",'Personal File'!$B$7+'Personal File'!$C$10+D4-5)</f>
        <v>+13</v>
      </c>
      <c r="J4" s="12">
        <f t="shared" ca="1" si="0"/>
        <v>17</v>
      </c>
      <c r="K4" s="6">
        <f t="shared" ref="K4" ca="1" si="2">J4+I4</f>
        <v>30</v>
      </c>
      <c r="L4" s="353"/>
      <c r="N4" s="254" t="s">
        <v>90</v>
      </c>
    </row>
    <row r="5" spans="1:14">
      <c r="A5" s="245" t="s">
        <v>337</v>
      </c>
      <c r="B5" s="246" t="s">
        <v>191</v>
      </c>
      <c r="C5" s="247" t="str">
        <f>CONCATENATE('Personal File'!$C$10," +3")</f>
        <v>+2 +3</v>
      </c>
      <c r="D5" s="248" t="s">
        <v>277</v>
      </c>
      <c r="E5" s="248" t="s">
        <v>409</v>
      </c>
      <c r="F5" s="248" t="s">
        <v>71</v>
      </c>
      <c r="G5" s="10" t="s">
        <v>73</v>
      </c>
      <c r="H5" s="249" t="s">
        <v>90</v>
      </c>
      <c r="I5" s="13" t="str">
        <f>CONCATENATE("+",'Personal File'!$B$7+'Personal File'!$C$10+D5-10)</f>
        <v>+8</v>
      </c>
      <c r="J5" s="12">
        <f t="shared" ca="1" si="0"/>
        <v>12</v>
      </c>
      <c r="K5" s="6">
        <f t="shared" ref="K5:K7" ca="1" si="3">J5+I5</f>
        <v>20</v>
      </c>
      <c r="L5" s="353"/>
      <c r="N5" s="254" t="s">
        <v>90</v>
      </c>
    </row>
    <row r="6" spans="1:14">
      <c r="A6" s="245" t="s">
        <v>431</v>
      </c>
      <c r="B6" s="246" t="s">
        <v>191</v>
      </c>
      <c r="C6" s="247" t="str">
        <f>CONCATENATE('Personal File'!$C$10," +3")</f>
        <v>+2 +3</v>
      </c>
      <c r="D6" s="248" t="s">
        <v>277</v>
      </c>
      <c r="E6" s="248" t="s">
        <v>409</v>
      </c>
      <c r="F6" s="248" t="s">
        <v>71</v>
      </c>
      <c r="G6" s="10" t="s">
        <v>73</v>
      </c>
      <c r="H6" s="249" t="s">
        <v>90</v>
      </c>
      <c r="I6" s="13" t="str">
        <f>CONCATENATE("+",'Personal File'!$B$7+'Personal File'!$C$10+D6-15)</f>
        <v>+3</v>
      </c>
      <c r="J6" s="12">
        <f t="shared" ca="1" si="0"/>
        <v>19</v>
      </c>
      <c r="K6" s="6">
        <f t="shared" ref="K6" ca="1" si="4">J6+I6</f>
        <v>22</v>
      </c>
      <c r="L6" s="353"/>
      <c r="N6" s="351"/>
    </row>
    <row r="7" spans="1:14">
      <c r="A7" s="245" t="s">
        <v>338</v>
      </c>
      <c r="B7" s="7" t="s">
        <v>191</v>
      </c>
      <c r="C7" s="8" t="str">
        <f>CONCATENATE('Personal File'!$C$10," +3")</f>
        <v>+2 +3</v>
      </c>
      <c r="D7" s="9" t="s">
        <v>277</v>
      </c>
      <c r="E7" s="9" t="s">
        <v>409</v>
      </c>
      <c r="F7" s="9" t="s">
        <v>71</v>
      </c>
      <c r="G7" s="10" t="s">
        <v>73</v>
      </c>
      <c r="H7" s="249" t="s">
        <v>90</v>
      </c>
      <c r="I7" s="13" t="str">
        <f>CONCATENATE("+",'Personal File'!$B$7+'Personal File'!$C$10+D7)</f>
        <v>+18</v>
      </c>
      <c r="J7" s="12">
        <f t="shared" ca="1" si="0"/>
        <v>3</v>
      </c>
      <c r="K7" s="6">
        <f t="shared" ca="1" si="3"/>
        <v>21</v>
      </c>
      <c r="L7" s="353"/>
      <c r="N7" s="351" t="s">
        <v>90</v>
      </c>
    </row>
    <row r="8" spans="1:14">
      <c r="A8" s="320" t="s">
        <v>342</v>
      </c>
      <c r="B8" s="321" t="s">
        <v>85</v>
      </c>
      <c r="C8" s="322" t="s">
        <v>228</v>
      </c>
      <c r="D8" s="323" t="s">
        <v>229</v>
      </c>
      <c r="E8" s="324" t="s">
        <v>90</v>
      </c>
      <c r="F8" s="324" t="s">
        <v>90</v>
      </c>
      <c r="G8" s="324" t="s">
        <v>90</v>
      </c>
      <c r="H8" s="324" t="s">
        <v>90</v>
      </c>
      <c r="I8" s="324" t="s">
        <v>90</v>
      </c>
      <c r="J8" s="324" t="s">
        <v>90</v>
      </c>
      <c r="K8" s="324" t="s">
        <v>90</v>
      </c>
      <c r="L8" s="528"/>
      <c r="N8" s="349">
        <v>10000</v>
      </c>
    </row>
    <row r="9" spans="1:14" ht="31.2">
      <c r="A9" s="320" t="s">
        <v>340</v>
      </c>
      <c r="B9" s="322" t="s">
        <v>331</v>
      </c>
      <c r="C9" s="322">
        <v>1</v>
      </c>
      <c r="D9" s="322" t="s">
        <v>330</v>
      </c>
      <c r="E9" s="324" t="s">
        <v>90</v>
      </c>
      <c r="F9" s="324" t="s">
        <v>90</v>
      </c>
      <c r="G9" s="324" t="s">
        <v>90</v>
      </c>
      <c r="H9" s="324" t="s">
        <v>90</v>
      </c>
      <c r="I9" s="324" t="s">
        <v>90</v>
      </c>
      <c r="J9" s="324" t="s">
        <v>90</v>
      </c>
      <c r="K9" s="324" t="s">
        <v>90</v>
      </c>
      <c r="L9" s="529" t="s">
        <v>341</v>
      </c>
      <c r="N9" s="349">
        <v>6000</v>
      </c>
    </row>
    <row r="10" spans="1:14">
      <c r="A10" s="344" t="s">
        <v>412</v>
      </c>
      <c r="B10" s="345" t="s">
        <v>226</v>
      </c>
      <c r="C10" s="346" t="str">
        <f>'Personal File'!$C$10</f>
        <v>+2</v>
      </c>
      <c r="D10" s="347" t="s">
        <v>72</v>
      </c>
      <c r="E10" s="347" t="s">
        <v>410</v>
      </c>
      <c r="F10" s="347" t="s">
        <v>71</v>
      </c>
      <c r="G10" s="436" t="s">
        <v>279</v>
      </c>
      <c r="H10" s="279">
        <v>0.5</v>
      </c>
      <c r="I10" s="341" t="str">
        <f>CONCATENATE("+",'Personal File'!$B$7+'Personal File'!$C$10+D10)</f>
        <v>+16</v>
      </c>
      <c r="J10" s="342">
        <f t="shared" ca="1" si="0"/>
        <v>17</v>
      </c>
      <c r="K10" s="343">
        <f t="shared" ref="K10:K18" ca="1" si="5">J10+I10</f>
        <v>33</v>
      </c>
      <c r="L10" s="355"/>
      <c r="N10" s="431">
        <v>300</v>
      </c>
    </row>
    <row r="11" spans="1:14">
      <c r="A11" s="238" t="s">
        <v>413</v>
      </c>
      <c r="B11" s="7" t="s">
        <v>226</v>
      </c>
      <c r="C11" s="8" t="str">
        <f>'Personal File'!$C$10</f>
        <v>+2</v>
      </c>
      <c r="D11" s="9" t="s">
        <v>72</v>
      </c>
      <c r="E11" s="9" t="s">
        <v>410</v>
      </c>
      <c r="F11" s="9" t="s">
        <v>71</v>
      </c>
      <c r="G11" s="10" t="s">
        <v>279</v>
      </c>
      <c r="H11" s="348" t="s">
        <v>90</v>
      </c>
      <c r="I11" s="13" t="str">
        <f>CONCATENATE("+",'Personal File'!$B$7+'Personal File'!$C$10+D11-5)</f>
        <v>+11</v>
      </c>
      <c r="J11" s="12">
        <f t="shared" ca="1" si="0"/>
        <v>16</v>
      </c>
      <c r="K11" s="6">
        <f t="shared" ca="1" si="5"/>
        <v>27</v>
      </c>
      <c r="L11" s="356"/>
      <c r="N11" s="254" t="s">
        <v>90</v>
      </c>
    </row>
    <row r="12" spans="1:14">
      <c r="A12" s="238" t="s">
        <v>414</v>
      </c>
      <c r="B12" s="7" t="s">
        <v>226</v>
      </c>
      <c r="C12" s="8" t="str">
        <f>'Personal File'!$C$10</f>
        <v>+2</v>
      </c>
      <c r="D12" s="9" t="s">
        <v>72</v>
      </c>
      <c r="E12" s="9" t="s">
        <v>410</v>
      </c>
      <c r="F12" s="9" t="s">
        <v>71</v>
      </c>
      <c r="G12" s="10" t="s">
        <v>279</v>
      </c>
      <c r="H12" s="348" t="s">
        <v>90</v>
      </c>
      <c r="I12" s="13" t="str">
        <f>CONCATENATE("+",'Personal File'!$B$7+'Personal File'!$C$10+D12-10)</f>
        <v>+6</v>
      </c>
      <c r="J12" s="12">
        <f t="shared" ca="1" si="0"/>
        <v>7</v>
      </c>
      <c r="K12" s="6">
        <f t="shared" ca="1" si="5"/>
        <v>13</v>
      </c>
      <c r="L12" s="356"/>
      <c r="N12" s="254" t="s">
        <v>90</v>
      </c>
    </row>
    <row r="13" spans="1:14">
      <c r="A13" s="238" t="s">
        <v>415</v>
      </c>
      <c r="B13" s="7" t="s">
        <v>226</v>
      </c>
      <c r="C13" s="8" t="str">
        <f>'Personal File'!$C$10</f>
        <v>+2</v>
      </c>
      <c r="D13" s="9" t="s">
        <v>72</v>
      </c>
      <c r="E13" s="9" t="s">
        <v>410</v>
      </c>
      <c r="F13" s="9" t="s">
        <v>71</v>
      </c>
      <c r="G13" s="10" t="s">
        <v>279</v>
      </c>
      <c r="H13" s="348" t="s">
        <v>90</v>
      </c>
      <c r="I13" s="13" t="str">
        <f>CONCATENATE("+",'Personal File'!$B$7+'Personal File'!$C$10+D13)</f>
        <v>+16</v>
      </c>
      <c r="J13" s="12">
        <f t="shared" ca="1" si="0"/>
        <v>16</v>
      </c>
      <c r="K13" s="6">
        <f t="shared" ca="1" si="5"/>
        <v>32</v>
      </c>
      <c r="L13" s="356"/>
      <c r="N13" s="254" t="s">
        <v>90</v>
      </c>
    </row>
    <row r="14" spans="1:14">
      <c r="A14" s="320" t="s">
        <v>342</v>
      </c>
      <c r="B14" s="321" t="s">
        <v>85</v>
      </c>
      <c r="C14" s="322" t="s">
        <v>228</v>
      </c>
      <c r="D14" s="323" t="s">
        <v>229</v>
      </c>
      <c r="E14" s="437" t="s">
        <v>90</v>
      </c>
      <c r="F14" s="325" t="s">
        <v>90</v>
      </c>
      <c r="G14" s="325" t="s">
        <v>90</v>
      </c>
      <c r="H14" s="325" t="s">
        <v>90</v>
      </c>
      <c r="I14" s="325" t="s">
        <v>90</v>
      </c>
      <c r="J14" s="325" t="s">
        <v>90</v>
      </c>
      <c r="K14" s="325" t="s">
        <v>90</v>
      </c>
      <c r="L14" s="576"/>
      <c r="M14" s="305"/>
      <c r="N14" s="349">
        <v>10000</v>
      </c>
    </row>
    <row r="15" spans="1:14">
      <c r="A15" s="344" t="s">
        <v>281</v>
      </c>
      <c r="B15" s="345" t="s">
        <v>282</v>
      </c>
      <c r="C15" s="346" t="str">
        <f>CONCATENATE('Personal File'!$C$10," +2")</f>
        <v>+2 +2</v>
      </c>
      <c r="D15" s="347" t="s">
        <v>71</v>
      </c>
      <c r="E15" s="347" t="s">
        <v>409</v>
      </c>
      <c r="F15" s="347" t="s">
        <v>71</v>
      </c>
      <c r="G15" s="436" t="s">
        <v>73</v>
      </c>
      <c r="H15" s="279">
        <v>2</v>
      </c>
      <c r="I15" s="341" t="str">
        <f>CONCATENATE("+",'Personal File'!$B$7+'Personal File'!$C$10+D15)</f>
        <v>+17</v>
      </c>
      <c r="J15" s="342">
        <f t="shared" ca="1" si="0"/>
        <v>16</v>
      </c>
      <c r="K15" s="343">
        <f t="shared" ca="1" si="5"/>
        <v>33</v>
      </c>
      <c r="L15" s="432"/>
      <c r="N15" s="431">
        <v>8000</v>
      </c>
    </row>
    <row r="16" spans="1:14">
      <c r="A16" s="238" t="s">
        <v>314</v>
      </c>
      <c r="B16" s="7" t="s">
        <v>282</v>
      </c>
      <c r="C16" s="8" t="str">
        <f>CONCATENATE('Personal File'!$C$10," +2")</f>
        <v>+2 +2</v>
      </c>
      <c r="D16" s="9" t="s">
        <v>71</v>
      </c>
      <c r="E16" s="9" t="s">
        <v>409</v>
      </c>
      <c r="F16" s="9" t="s">
        <v>71</v>
      </c>
      <c r="G16" s="10" t="s">
        <v>73</v>
      </c>
      <c r="H16" s="348" t="s">
        <v>90</v>
      </c>
      <c r="I16" s="13" t="str">
        <f>CONCATENATE("+",'Personal File'!$B$7+'Personal File'!$C$10+D16-5)</f>
        <v>+12</v>
      </c>
      <c r="J16" s="12">
        <f t="shared" ca="1" si="0"/>
        <v>20</v>
      </c>
      <c r="K16" s="6">
        <f t="shared" ca="1" si="5"/>
        <v>32</v>
      </c>
      <c r="L16" s="356"/>
      <c r="N16" s="254" t="s">
        <v>90</v>
      </c>
    </row>
    <row r="17" spans="1:14">
      <c r="A17" s="238" t="s">
        <v>315</v>
      </c>
      <c r="B17" s="7" t="s">
        <v>282</v>
      </c>
      <c r="C17" s="8" t="str">
        <f>CONCATENATE('Personal File'!$C$10," +2")</f>
        <v>+2 +2</v>
      </c>
      <c r="D17" s="9" t="s">
        <v>71</v>
      </c>
      <c r="E17" s="9" t="s">
        <v>409</v>
      </c>
      <c r="F17" s="9" t="s">
        <v>71</v>
      </c>
      <c r="G17" s="10" t="s">
        <v>73</v>
      </c>
      <c r="H17" s="348" t="s">
        <v>90</v>
      </c>
      <c r="I17" s="13" t="str">
        <f>CONCATENATE("+",'Personal File'!$B$7+'Personal File'!$C$10+D17-10)</f>
        <v>+7</v>
      </c>
      <c r="J17" s="12">
        <f t="shared" ca="1" si="0"/>
        <v>7</v>
      </c>
      <c r="K17" s="6">
        <f t="shared" ca="1" si="5"/>
        <v>14</v>
      </c>
      <c r="L17" s="356"/>
      <c r="N17" s="254" t="s">
        <v>90</v>
      </c>
    </row>
    <row r="18" spans="1:14">
      <c r="A18" s="320" t="s">
        <v>329</v>
      </c>
      <c r="B18" s="321" t="s">
        <v>282</v>
      </c>
      <c r="C18" s="322" t="str">
        <f>CONCATENATE('Personal File'!$C$10," +2")</f>
        <v>+2 +2</v>
      </c>
      <c r="D18" s="323" t="s">
        <v>71</v>
      </c>
      <c r="E18" s="323" t="s">
        <v>409</v>
      </c>
      <c r="F18" s="323" t="s">
        <v>71</v>
      </c>
      <c r="G18" s="437" t="s">
        <v>73</v>
      </c>
      <c r="H18" s="325" t="s">
        <v>90</v>
      </c>
      <c r="I18" s="433" t="str">
        <f>CONCATENATE("+",'Personal File'!$B$7+'Personal File'!$C$10+D18)</f>
        <v>+17</v>
      </c>
      <c r="J18" s="429">
        <f t="shared" ca="1" si="0"/>
        <v>10</v>
      </c>
      <c r="K18" s="430">
        <f t="shared" ca="1" si="5"/>
        <v>27</v>
      </c>
      <c r="L18" s="354"/>
      <c r="N18" s="349" t="s">
        <v>90</v>
      </c>
    </row>
    <row r="19" spans="1:14">
      <c r="A19" s="344" t="s">
        <v>225</v>
      </c>
      <c r="B19" s="345" t="s">
        <v>226</v>
      </c>
      <c r="C19" s="346" t="str">
        <f>'Personal File'!$C$10</f>
        <v>+2</v>
      </c>
      <c r="D19" s="347" t="s">
        <v>50</v>
      </c>
      <c r="E19" s="347" t="s">
        <v>411</v>
      </c>
      <c r="F19" s="347" t="s">
        <v>71</v>
      </c>
      <c r="G19" s="277" t="s">
        <v>227</v>
      </c>
      <c r="H19" s="340" t="s">
        <v>90</v>
      </c>
      <c r="I19" s="341" t="str">
        <f>CONCATENATE("+",'Personal File'!$B$7+'Personal File'!$C$10+D19)</f>
        <v>+15</v>
      </c>
      <c r="J19" s="342">
        <f t="shared" ca="1" si="0"/>
        <v>5</v>
      </c>
      <c r="K19" s="343">
        <f t="shared" ref="K19" ca="1" si="6">J19+I19</f>
        <v>20</v>
      </c>
      <c r="L19" s="355"/>
      <c r="N19" s="350" t="s">
        <v>90</v>
      </c>
    </row>
    <row r="20" spans="1:14">
      <c r="A20" s="238" t="s">
        <v>235</v>
      </c>
      <c r="B20" s="7" t="s">
        <v>226</v>
      </c>
      <c r="C20" s="8" t="s">
        <v>234</v>
      </c>
      <c r="D20" s="9" t="s">
        <v>50</v>
      </c>
      <c r="E20" s="9" t="s">
        <v>411</v>
      </c>
      <c r="F20" s="9" t="s">
        <v>71</v>
      </c>
      <c r="G20" s="285" t="s">
        <v>227</v>
      </c>
      <c r="H20" s="348" t="s">
        <v>90</v>
      </c>
      <c r="I20" s="13" t="str">
        <f>CONCATENATE("+",'Personal File'!$B$7+'Personal File'!$C$10+D20-5)</f>
        <v>+10</v>
      </c>
      <c r="J20" s="12">
        <f t="shared" ca="1" si="0"/>
        <v>2</v>
      </c>
      <c r="K20" s="6">
        <f t="shared" ref="K20" ca="1" si="7">J20+I20</f>
        <v>12</v>
      </c>
      <c r="L20" s="356"/>
      <c r="N20" s="254" t="s">
        <v>90</v>
      </c>
    </row>
    <row r="21" spans="1:14">
      <c r="A21" s="238" t="s">
        <v>236</v>
      </c>
      <c r="B21" s="7" t="s">
        <v>226</v>
      </c>
      <c r="C21" s="8" t="str">
        <f>'Personal File'!$C$10</f>
        <v>+2</v>
      </c>
      <c r="D21" s="9" t="s">
        <v>50</v>
      </c>
      <c r="E21" s="9" t="s">
        <v>411</v>
      </c>
      <c r="F21" s="9" t="s">
        <v>71</v>
      </c>
      <c r="G21" s="285" t="s">
        <v>227</v>
      </c>
      <c r="H21" s="348" t="s">
        <v>90</v>
      </c>
      <c r="I21" s="13" t="str">
        <f>CONCATENATE("+",'Personal File'!$B$7+'Personal File'!$C$10+D21-10)</f>
        <v>+5</v>
      </c>
      <c r="J21" s="12">
        <f t="shared" ca="1" si="0"/>
        <v>1</v>
      </c>
      <c r="K21" s="6">
        <f t="shared" ref="K21" ca="1" si="8">J21+I21</f>
        <v>6</v>
      </c>
      <c r="L21" s="356"/>
      <c r="N21" s="254" t="s">
        <v>90</v>
      </c>
    </row>
    <row r="22" spans="1:14">
      <c r="A22" s="320" t="s">
        <v>237</v>
      </c>
      <c r="B22" s="321" t="s">
        <v>226</v>
      </c>
      <c r="C22" s="322" t="str">
        <f>'Personal File'!$C$10</f>
        <v>+2</v>
      </c>
      <c r="D22" s="323" t="s">
        <v>50</v>
      </c>
      <c r="E22" s="323" t="s">
        <v>411</v>
      </c>
      <c r="F22" s="323" t="s">
        <v>71</v>
      </c>
      <c r="G22" s="331" t="s">
        <v>227</v>
      </c>
      <c r="H22" s="325" t="s">
        <v>90</v>
      </c>
      <c r="I22" s="332" t="str">
        <f>CONCATENATE("+",'Personal File'!$B$7+'Personal File'!$C$10+D22)</f>
        <v>+15</v>
      </c>
      <c r="J22" s="429">
        <f t="shared" ca="1" si="0"/>
        <v>15</v>
      </c>
      <c r="K22" s="430">
        <f t="shared" ref="K22" ca="1" si="9">J22+I22</f>
        <v>30</v>
      </c>
      <c r="L22" s="354"/>
      <c r="N22" s="349" t="s">
        <v>90</v>
      </c>
    </row>
    <row r="23" spans="1:14" ht="16.2" thickBot="1">
      <c r="A23" s="239" t="s">
        <v>163</v>
      </c>
      <c r="B23" s="240" t="s">
        <v>163</v>
      </c>
      <c r="C23" s="326" t="str">
        <f>CONCATENATE('Personal File'!$C$10," +2")</f>
        <v>+2 +2</v>
      </c>
      <c r="D23" s="327" t="s">
        <v>50</v>
      </c>
      <c r="E23" s="327" t="s">
        <v>90</v>
      </c>
      <c r="F23" s="327"/>
      <c r="G23" s="328" t="s">
        <v>90</v>
      </c>
      <c r="H23" s="241" t="s">
        <v>90</v>
      </c>
      <c r="I23" s="329" t="str">
        <f>CONCATENATE("+",'Personal File'!$B$7+'Personal File'!$C$10+D23)</f>
        <v>+15</v>
      </c>
      <c r="J23" s="242">
        <f ca="1">RANDBETWEEN(1,20)</f>
        <v>5</v>
      </c>
      <c r="K23" s="146">
        <f t="shared" ca="1" si="1"/>
        <v>20</v>
      </c>
      <c r="L23" s="330"/>
      <c r="N23" s="251" t="s">
        <v>90</v>
      </c>
    </row>
    <row r="24" spans="1:14" ht="6" customHeight="1" thickTop="1" thickBot="1">
      <c r="J24" s="131"/>
      <c r="K24" s="131"/>
    </row>
    <row r="25" spans="1:14" ht="16.8" thickTop="1" thickBot="1">
      <c r="A25" s="139" t="s">
        <v>4</v>
      </c>
      <c r="B25" s="140" t="s">
        <v>5</v>
      </c>
      <c r="C25" s="140" t="s">
        <v>18</v>
      </c>
      <c r="D25" s="140" t="s">
        <v>19</v>
      </c>
      <c r="E25" s="141" t="s">
        <v>416</v>
      </c>
      <c r="F25" s="141" t="s">
        <v>408</v>
      </c>
      <c r="G25" s="140" t="s">
        <v>6</v>
      </c>
      <c r="H25" s="140" t="s">
        <v>20</v>
      </c>
      <c r="I25" s="142" t="s">
        <v>68</v>
      </c>
      <c r="J25" s="143" t="s">
        <v>77</v>
      </c>
      <c r="K25" s="142" t="s">
        <v>63</v>
      </c>
      <c r="L25" s="144" t="s">
        <v>0</v>
      </c>
      <c r="N25" s="145" t="s">
        <v>87</v>
      </c>
    </row>
    <row r="26" spans="1:14">
      <c r="A26" s="405" t="s">
        <v>157</v>
      </c>
      <c r="B26" s="406" t="s">
        <v>158</v>
      </c>
      <c r="C26" s="407" t="s">
        <v>90</v>
      </c>
      <c r="D26" s="407" t="s">
        <v>50</v>
      </c>
      <c r="E26" s="408" t="s">
        <v>90</v>
      </c>
      <c r="F26" s="408" t="s">
        <v>90</v>
      </c>
      <c r="G26" s="408" t="s">
        <v>90</v>
      </c>
      <c r="H26" s="409" t="s">
        <v>90</v>
      </c>
      <c r="I26" s="410" t="str">
        <f>CONCATENATE("+",'Personal File'!$B$7+'Personal File'!$C$11+D26)</f>
        <v>+14</v>
      </c>
      <c r="J26" s="243">
        <f t="shared" ref="J26:J33" ca="1" si="10">RANDBETWEEN(1,20)</f>
        <v>4</v>
      </c>
      <c r="K26" s="403">
        <f t="shared" ref="K26:K30" ca="1" si="11">J26+I26</f>
        <v>18</v>
      </c>
      <c r="L26" s="404"/>
      <c r="N26" s="401" t="s">
        <v>90</v>
      </c>
    </row>
    <row r="27" spans="1:14">
      <c r="A27" s="405" t="s">
        <v>319</v>
      </c>
      <c r="B27" s="406" t="s">
        <v>273</v>
      </c>
      <c r="C27" s="407" t="s">
        <v>90</v>
      </c>
      <c r="D27" s="407" t="s">
        <v>71</v>
      </c>
      <c r="E27" s="408" t="s">
        <v>90</v>
      </c>
      <c r="F27" s="408" t="s">
        <v>90</v>
      </c>
      <c r="G27" s="408" t="s">
        <v>90</v>
      </c>
      <c r="H27" s="409" t="s">
        <v>90</v>
      </c>
      <c r="I27" s="410" t="str">
        <f>CONCATENATE("+",'Personal File'!$E$3+D27)</f>
        <v>+19</v>
      </c>
      <c r="J27" s="12">
        <f t="shared" ca="1" si="10"/>
        <v>8</v>
      </c>
      <c r="K27" s="403">
        <f t="shared" ca="1" si="11"/>
        <v>27</v>
      </c>
      <c r="L27" s="404"/>
      <c r="N27" s="402" t="s">
        <v>90</v>
      </c>
    </row>
    <row r="28" spans="1:14">
      <c r="A28" s="405" t="s">
        <v>320</v>
      </c>
      <c r="B28" s="406" t="s">
        <v>90</v>
      </c>
      <c r="C28" s="407" t="s">
        <v>90</v>
      </c>
      <c r="D28" s="411">
        <f>2+2</f>
        <v>4</v>
      </c>
      <c r="E28" s="408" t="s">
        <v>90</v>
      </c>
      <c r="F28" s="408" t="s">
        <v>90</v>
      </c>
      <c r="G28" s="408" t="s">
        <v>90</v>
      </c>
      <c r="H28" s="409" t="s">
        <v>90</v>
      </c>
      <c r="I28" s="410" t="str">
        <f>CONCATENATE("+",'Personal File'!$E$3+D28)</f>
        <v>+21</v>
      </c>
      <c r="J28" s="12">
        <f t="shared" ca="1" si="10"/>
        <v>18</v>
      </c>
      <c r="K28" s="403">
        <f t="shared" ref="K28" ca="1" si="12">J28+I28</f>
        <v>39</v>
      </c>
      <c r="L28" s="404"/>
      <c r="N28" s="402" t="s">
        <v>90</v>
      </c>
    </row>
    <row r="29" spans="1:14">
      <c r="A29" s="405" t="s">
        <v>259</v>
      </c>
      <c r="B29" s="406" t="s">
        <v>90</v>
      </c>
      <c r="C29" s="407" t="s">
        <v>90</v>
      </c>
      <c r="D29" s="411" t="s">
        <v>50</v>
      </c>
      <c r="E29" s="408" t="s">
        <v>90</v>
      </c>
      <c r="F29" s="408" t="s">
        <v>90</v>
      </c>
      <c r="G29" s="408" t="s">
        <v>90</v>
      </c>
      <c r="H29" s="409" t="s">
        <v>90</v>
      </c>
      <c r="I29" s="410" t="str">
        <f>CONCATENATE("+",'Personal File'!E3+D29)</f>
        <v>+17</v>
      </c>
      <c r="J29" s="12">
        <f t="shared" ca="1" si="10"/>
        <v>19</v>
      </c>
      <c r="K29" s="403">
        <f t="shared" ref="K29" ca="1" si="13">J29+I29</f>
        <v>36</v>
      </c>
      <c r="L29" s="404"/>
      <c r="N29" s="402" t="s">
        <v>90</v>
      </c>
    </row>
    <row r="30" spans="1:14">
      <c r="A30" s="238" t="s">
        <v>343</v>
      </c>
      <c r="B30" s="7" t="s">
        <v>85</v>
      </c>
      <c r="C30" s="8">
        <v>2</v>
      </c>
      <c r="D30" s="9">
        <v>2</v>
      </c>
      <c r="E30" s="9" t="s">
        <v>71</v>
      </c>
      <c r="F30" s="9" t="s">
        <v>277</v>
      </c>
      <c r="G30" s="285" t="s">
        <v>113</v>
      </c>
      <c r="H30" s="11">
        <v>2</v>
      </c>
      <c r="I30" s="13" t="str">
        <f>CONCATENATE("+",'Personal File'!$B$7+'Personal File'!$C$11+D30)</f>
        <v>+16</v>
      </c>
      <c r="J30" s="12">
        <f t="shared" ca="1" si="10"/>
        <v>9</v>
      </c>
      <c r="K30" s="6">
        <f t="shared" ca="1" si="11"/>
        <v>25</v>
      </c>
      <c r="L30" s="356"/>
      <c r="N30" s="254">
        <v>8000</v>
      </c>
    </row>
    <row r="31" spans="1:14">
      <c r="A31" s="238" t="s">
        <v>344</v>
      </c>
      <c r="B31" s="7" t="s">
        <v>85</v>
      </c>
      <c r="C31" s="8">
        <v>2</v>
      </c>
      <c r="D31" s="9">
        <v>2</v>
      </c>
      <c r="E31" s="9" t="s">
        <v>71</v>
      </c>
      <c r="F31" s="9" t="s">
        <v>277</v>
      </c>
      <c r="G31" s="285" t="s">
        <v>113</v>
      </c>
      <c r="H31" s="348" t="s">
        <v>90</v>
      </c>
      <c r="I31" s="13" t="str">
        <f>CONCATENATE("+",'Personal File'!$B$7+'Personal File'!$C$11+D31-5)</f>
        <v>+11</v>
      </c>
      <c r="J31" s="12">
        <f t="shared" ca="1" si="10"/>
        <v>6</v>
      </c>
      <c r="K31" s="6">
        <f t="shared" ref="K31:K33" ca="1" si="14">J31+I31</f>
        <v>17</v>
      </c>
      <c r="L31" s="356"/>
      <c r="N31" s="254" t="s">
        <v>90</v>
      </c>
    </row>
    <row r="32" spans="1:14">
      <c r="A32" s="238" t="s">
        <v>345</v>
      </c>
      <c r="B32" s="7" t="s">
        <v>85</v>
      </c>
      <c r="C32" s="8">
        <v>2</v>
      </c>
      <c r="D32" s="9">
        <v>2</v>
      </c>
      <c r="E32" s="9" t="s">
        <v>71</v>
      </c>
      <c r="F32" s="9" t="s">
        <v>277</v>
      </c>
      <c r="G32" s="285" t="s">
        <v>113</v>
      </c>
      <c r="H32" s="348" t="s">
        <v>90</v>
      </c>
      <c r="I32" s="13" t="str">
        <f>CONCATENATE("+",'Personal File'!$B$7+'Personal File'!$C$11+D32-10)</f>
        <v>+6</v>
      </c>
      <c r="J32" s="12">
        <f t="shared" ca="1" si="10"/>
        <v>2</v>
      </c>
      <c r="K32" s="6">
        <f t="shared" ca="1" si="14"/>
        <v>8</v>
      </c>
      <c r="L32" s="356"/>
      <c r="N32" s="254" t="s">
        <v>90</v>
      </c>
    </row>
    <row r="33" spans="1:14" ht="16.2" thickBot="1">
      <c r="A33" s="358" t="s">
        <v>346</v>
      </c>
      <c r="B33" s="359" t="s">
        <v>85</v>
      </c>
      <c r="C33" s="360">
        <v>2</v>
      </c>
      <c r="D33" s="360">
        <v>2</v>
      </c>
      <c r="E33" s="359" t="s">
        <v>71</v>
      </c>
      <c r="F33" s="359" t="s">
        <v>277</v>
      </c>
      <c r="G33" s="360" t="s">
        <v>113</v>
      </c>
      <c r="H33" s="361" t="s">
        <v>90</v>
      </c>
      <c r="I33" s="362" t="str">
        <f>CONCATENATE("+",'Personal File'!$B$7+'Personal File'!$C$11+D33)</f>
        <v>+16</v>
      </c>
      <c r="J33" s="363">
        <f t="shared" ca="1" si="10"/>
        <v>1</v>
      </c>
      <c r="K33" s="364">
        <f t="shared" ca="1" si="14"/>
        <v>17</v>
      </c>
      <c r="L33" s="357"/>
      <c r="N33" s="251" t="s">
        <v>90</v>
      </c>
    </row>
    <row r="34" spans="1:14" ht="6" customHeight="1" thickTop="1" thickBot="1">
      <c r="D34" s="147"/>
      <c r="E34" s="147"/>
      <c r="F34" s="147"/>
      <c r="H34" s="148"/>
      <c r="I34" s="148"/>
      <c r="J34" s="148"/>
      <c r="K34" s="148"/>
    </row>
    <row r="35" spans="1:14" ht="16.8" thickTop="1" thickBot="1">
      <c r="A35" s="139" t="s">
        <v>55</v>
      </c>
      <c r="B35" s="140" t="s">
        <v>9</v>
      </c>
      <c r="C35" s="140" t="s">
        <v>23</v>
      </c>
      <c r="D35" s="140" t="s">
        <v>63</v>
      </c>
      <c r="E35" s="140" t="s">
        <v>64</v>
      </c>
      <c r="F35" s="140" t="s">
        <v>65</v>
      </c>
      <c r="G35" s="140" t="s">
        <v>20</v>
      </c>
      <c r="H35" s="149" t="s">
        <v>0</v>
      </c>
      <c r="I35" s="150"/>
      <c r="J35" s="150"/>
      <c r="K35" s="150"/>
      <c r="L35" s="151"/>
      <c r="N35" s="145" t="s">
        <v>87</v>
      </c>
    </row>
    <row r="36" spans="1:14">
      <c r="A36" s="275" t="s">
        <v>347</v>
      </c>
      <c r="B36" s="276">
        <v>7</v>
      </c>
      <c r="C36" s="277">
        <v>6</v>
      </c>
      <c r="D36" s="276">
        <v>0</v>
      </c>
      <c r="E36" s="292">
        <v>0.1</v>
      </c>
      <c r="F36" s="278" t="s">
        <v>86</v>
      </c>
      <c r="G36" s="279">
        <v>12.5</v>
      </c>
      <c r="H36" s="280" t="s">
        <v>193</v>
      </c>
      <c r="I36" s="281"/>
      <c r="J36" s="281"/>
      <c r="K36" s="281"/>
      <c r="L36" s="282"/>
      <c r="N36" s="252">
        <v>16000</v>
      </c>
    </row>
    <row r="37" spans="1:14">
      <c r="A37" s="501" t="s">
        <v>324</v>
      </c>
      <c r="B37" s="502">
        <v>0</v>
      </c>
      <c r="C37" s="503" t="s">
        <v>90</v>
      </c>
      <c r="D37" s="502" t="s">
        <v>90</v>
      </c>
      <c r="E37" s="504" t="s">
        <v>90</v>
      </c>
      <c r="F37" s="505" t="s">
        <v>90</v>
      </c>
      <c r="G37" s="506">
        <v>0</v>
      </c>
      <c r="H37" s="507"/>
      <c r="I37" s="508"/>
      <c r="J37" s="508"/>
      <c r="K37" s="508"/>
      <c r="L37" s="509"/>
      <c r="N37" s="431">
        <v>500</v>
      </c>
    </row>
    <row r="38" spans="1:14">
      <c r="A38" s="501" t="s">
        <v>325</v>
      </c>
      <c r="B38" s="502">
        <v>5</v>
      </c>
      <c r="C38" s="503" t="s">
        <v>90</v>
      </c>
      <c r="D38" s="502" t="s">
        <v>90</v>
      </c>
      <c r="E38" s="504" t="s">
        <v>90</v>
      </c>
      <c r="F38" s="505" t="s">
        <v>90</v>
      </c>
      <c r="G38" s="506">
        <v>1</v>
      </c>
      <c r="H38" s="507"/>
      <c r="I38" s="508"/>
      <c r="J38" s="508"/>
      <c r="K38" s="508"/>
      <c r="L38" s="509"/>
      <c r="N38" s="431">
        <v>25000</v>
      </c>
    </row>
    <row r="39" spans="1:14">
      <c r="A39" s="283" t="s">
        <v>348</v>
      </c>
      <c r="B39" s="284">
        <v>3</v>
      </c>
      <c r="C39" s="285" t="s">
        <v>90</v>
      </c>
      <c r="D39" s="286" t="s">
        <v>90</v>
      </c>
      <c r="E39" s="287" t="s">
        <v>90</v>
      </c>
      <c r="F39" s="285" t="s">
        <v>90</v>
      </c>
      <c r="G39" s="288">
        <v>0</v>
      </c>
      <c r="H39" s="289"/>
      <c r="I39" s="573"/>
      <c r="J39" s="290"/>
      <c r="K39" s="290"/>
      <c r="L39" s="291"/>
      <c r="N39" s="254">
        <v>18000</v>
      </c>
    </row>
    <row r="40" spans="1:14">
      <c r="A40" s="283" t="s">
        <v>349</v>
      </c>
      <c r="B40" s="284">
        <f>1+3</f>
        <v>4</v>
      </c>
      <c r="C40" s="285" t="s">
        <v>90</v>
      </c>
      <c r="D40" s="286">
        <v>-1</v>
      </c>
      <c r="E40" s="287">
        <v>0.05</v>
      </c>
      <c r="F40" s="285" t="s">
        <v>90</v>
      </c>
      <c r="G40" s="288">
        <v>6</v>
      </c>
      <c r="H40" s="289"/>
      <c r="I40" s="573"/>
      <c r="J40" s="290"/>
      <c r="K40" s="290"/>
      <c r="L40" s="291"/>
      <c r="N40" s="254">
        <v>9000</v>
      </c>
    </row>
    <row r="41" spans="1:14">
      <c r="A41" s="438" t="s">
        <v>253</v>
      </c>
      <c r="B41" s="439" t="s">
        <v>363</v>
      </c>
      <c r="C41" s="440" t="s">
        <v>90</v>
      </c>
      <c r="D41" s="439" t="s">
        <v>90</v>
      </c>
      <c r="E41" s="441" t="s">
        <v>90</v>
      </c>
      <c r="F41" s="440" t="s">
        <v>90</v>
      </c>
      <c r="G41" s="442" t="s">
        <v>90</v>
      </c>
      <c r="H41" s="443"/>
      <c r="I41" s="574"/>
      <c r="J41" s="444"/>
      <c r="K41" s="444"/>
      <c r="L41" s="445"/>
      <c r="N41" s="446" t="s">
        <v>90</v>
      </c>
    </row>
    <row r="42" spans="1:14" ht="16.2" thickBot="1">
      <c r="A42" s="310" t="s">
        <v>212</v>
      </c>
      <c r="B42" s="311">
        <v>5</v>
      </c>
      <c r="C42" s="312" t="s">
        <v>90</v>
      </c>
      <c r="D42" s="311" t="s">
        <v>90</v>
      </c>
      <c r="E42" s="313" t="s">
        <v>90</v>
      </c>
      <c r="F42" s="312" t="s">
        <v>90</v>
      </c>
      <c r="G42" s="314" t="s">
        <v>90</v>
      </c>
      <c r="H42" s="315"/>
      <c r="I42" s="575"/>
      <c r="J42" s="316"/>
      <c r="K42" s="316"/>
      <c r="L42" s="317"/>
      <c r="M42" s="305"/>
      <c r="N42" s="309" t="s">
        <v>90</v>
      </c>
    </row>
    <row r="43" spans="1:14" ht="6.75" customHeight="1" thickTop="1" thickBot="1"/>
    <row r="44" spans="1:14" ht="16.8" thickTop="1" thickBot="1">
      <c r="A44" s="131"/>
      <c r="B44" s="131"/>
      <c r="E44" s="204" t="s">
        <v>56</v>
      </c>
      <c r="F44" s="205"/>
      <c r="G44" s="205" t="s">
        <v>3</v>
      </c>
      <c r="H44" s="206" t="s">
        <v>20</v>
      </c>
      <c r="I44" s="206" t="s">
        <v>68</v>
      </c>
      <c r="J44" s="210" t="s">
        <v>0</v>
      </c>
      <c r="K44" s="211"/>
      <c r="L44" s="212"/>
      <c r="N44" s="145" t="s">
        <v>87</v>
      </c>
    </row>
    <row r="45" spans="1:14" ht="16.2" thickBot="1">
      <c r="A45" s="131"/>
      <c r="B45" s="131"/>
      <c r="E45" s="207" t="s">
        <v>114</v>
      </c>
      <c r="F45" s="208"/>
      <c r="G45" s="208">
        <v>36</v>
      </c>
      <c r="H45" s="152">
        <f t="shared" ref="H45" si="15">(G45*3)/20</f>
        <v>5.4</v>
      </c>
      <c r="I45" s="209" t="s">
        <v>115</v>
      </c>
      <c r="J45" s="213"/>
      <c r="K45" s="214"/>
      <c r="L45" s="203"/>
      <c r="N45" s="253">
        <v>0</v>
      </c>
    </row>
    <row r="46" spans="1:14" ht="16.8" thickTop="1" thickBot="1">
      <c r="A46" s="131"/>
      <c r="B46" s="131"/>
      <c r="N46" s="187"/>
    </row>
    <row r="47" spans="1:14" ht="16.8" thickTop="1" thickBot="1">
      <c r="A47" s="131"/>
      <c r="B47" s="131"/>
      <c r="E47" s="412" t="s">
        <v>275</v>
      </c>
      <c r="F47" s="150"/>
      <c r="G47" s="150"/>
      <c r="H47" s="150"/>
      <c r="I47" s="413" t="s">
        <v>3</v>
      </c>
      <c r="J47" s="413" t="s">
        <v>89</v>
      </c>
      <c r="K47" s="413" t="s">
        <v>276</v>
      </c>
      <c r="L47" s="151" t="s">
        <v>61</v>
      </c>
      <c r="M47" s="256"/>
      <c r="N47" s="414" t="s">
        <v>87</v>
      </c>
    </row>
    <row r="48" spans="1:14">
      <c r="A48" s="131"/>
      <c r="B48" s="131"/>
      <c r="E48" s="415" t="s">
        <v>398</v>
      </c>
      <c r="F48" s="416"/>
      <c r="G48" s="416"/>
      <c r="H48" s="417"/>
      <c r="I48" s="418">
        <v>2</v>
      </c>
      <c r="J48" s="419">
        <v>2</v>
      </c>
      <c r="K48" s="419">
        <v>10</v>
      </c>
      <c r="L48" s="420"/>
      <c r="M48" s="256"/>
      <c r="N48" s="421">
        <f t="shared" ref="N48:N49" si="16">25*I48*J48*K48</f>
        <v>1000</v>
      </c>
    </row>
    <row r="49" spans="1:14">
      <c r="A49" s="131"/>
      <c r="B49" s="131"/>
      <c r="E49" s="565" t="s">
        <v>399</v>
      </c>
      <c r="F49" s="566"/>
      <c r="G49" s="566"/>
      <c r="H49" s="567"/>
      <c r="I49" s="568">
        <v>3</v>
      </c>
      <c r="J49" s="569">
        <v>6</v>
      </c>
      <c r="K49" s="569">
        <v>11</v>
      </c>
      <c r="L49" s="570"/>
      <c r="M49" s="256"/>
      <c r="N49" s="421">
        <f t="shared" si="16"/>
        <v>4950</v>
      </c>
    </row>
    <row r="50" spans="1:14">
      <c r="A50" s="131"/>
      <c r="B50" s="131"/>
      <c r="E50" s="565" t="s">
        <v>400</v>
      </c>
      <c r="F50" s="566"/>
      <c r="G50" s="566"/>
      <c r="H50" s="567"/>
      <c r="I50" s="568">
        <v>1</v>
      </c>
      <c r="J50" s="569">
        <v>5</v>
      </c>
      <c r="K50" s="569">
        <v>9</v>
      </c>
      <c r="L50" s="570" t="s">
        <v>430</v>
      </c>
      <c r="M50" s="256"/>
      <c r="N50" s="421">
        <f>25*I50*J50*K50*LEFT(L50,2)</f>
        <v>16875</v>
      </c>
    </row>
    <row r="51" spans="1:14" ht="16.2" thickBot="1">
      <c r="A51" s="131"/>
      <c r="B51" s="131"/>
      <c r="E51" s="422" t="s">
        <v>395</v>
      </c>
      <c r="F51" s="423"/>
      <c r="G51" s="423"/>
      <c r="H51" s="424"/>
      <c r="I51" s="425" t="s">
        <v>277</v>
      </c>
      <c r="J51" s="426" t="s">
        <v>396</v>
      </c>
      <c r="K51" s="426" t="s">
        <v>397</v>
      </c>
      <c r="L51" s="427"/>
      <c r="M51" s="256"/>
      <c r="N51" s="428">
        <f t="shared" ref="N51" si="17">25*I51*J51*K51</f>
        <v>3000</v>
      </c>
    </row>
    <row r="52" spans="1:14" ht="16.2" thickTop="1">
      <c r="A52" s="131"/>
      <c r="B52" s="131"/>
      <c r="N52" s="187"/>
    </row>
    <row r="53" spans="1:14">
      <c r="N53" s="187"/>
    </row>
    <row r="54" spans="1:14">
      <c r="N54" s="187"/>
    </row>
    <row r="55" spans="1:14">
      <c r="N55" s="187"/>
    </row>
    <row r="56" spans="1:14">
      <c r="N56" s="187"/>
    </row>
    <row r="57" spans="1:14">
      <c r="N57" s="187"/>
    </row>
    <row r="58" spans="1:14">
      <c r="N58" s="187"/>
    </row>
    <row r="59" spans="1:14">
      <c r="N59" s="187"/>
    </row>
    <row r="60" spans="1:14">
      <c r="N60" s="187"/>
    </row>
  </sheetData>
  <sortState xmlns:xlrd2="http://schemas.microsoft.com/office/spreadsheetml/2017/richdata2" ref="A12:I13">
    <sortCondition ref="A12:A13"/>
  </sortState>
  <phoneticPr fontId="0" type="noConversion"/>
  <conditionalFormatting sqref="J26">
    <cfRule type="cellIs" dxfId="30" priority="61" operator="equal">
      <formula>20</formula>
    </cfRule>
    <cfRule type="cellIs" dxfId="29" priority="62" operator="equal">
      <formula>1</formula>
    </cfRule>
  </conditionalFormatting>
  <conditionalFormatting sqref="B42">
    <cfRule type="cellIs" dxfId="28" priority="53" operator="greaterThan">
      <formula>0</formula>
    </cfRule>
  </conditionalFormatting>
  <conditionalFormatting sqref="J33">
    <cfRule type="cellIs" dxfId="27" priority="41" operator="equal">
      <formula>20</formula>
    </cfRule>
    <cfRule type="cellIs" dxfId="26" priority="42" operator="equal">
      <formula>1</formula>
    </cfRule>
  </conditionalFormatting>
  <conditionalFormatting sqref="J30">
    <cfRule type="cellIs" dxfId="25" priority="39" operator="equal">
      <formula>20</formula>
    </cfRule>
    <cfRule type="cellIs" dxfId="24" priority="40" operator="equal">
      <formula>1</formula>
    </cfRule>
  </conditionalFormatting>
  <conditionalFormatting sqref="J30">
    <cfRule type="cellIs" dxfId="23" priority="37" operator="equal">
      <formula>20</formula>
    </cfRule>
    <cfRule type="cellIs" dxfId="22" priority="38" operator="equal">
      <formula>1</formula>
    </cfRule>
  </conditionalFormatting>
  <conditionalFormatting sqref="J31:J32">
    <cfRule type="cellIs" dxfId="21" priority="35" operator="equal">
      <formula>20</formula>
    </cfRule>
    <cfRule type="cellIs" dxfId="20" priority="36" operator="equal">
      <formula>1</formula>
    </cfRule>
  </conditionalFormatting>
  <conditionalFormatting sqref="J31:J32">
    <cfRule type="cellIs" dxfId="19" priority="33" operator="equal">
      <formula>20</formula>
    </cfRule>
    <cfRule type="cellIs" dxfId="18" priority="34" operator="equal">
      <formula>1</formula>
    </cfRule>
  </conditionalFormatting>
  <conditionalFormatting sqref="J27">
    <cfRule type="cellIs" dxfId="17" priority="31" operator="equal">
      <formula>20</formula>
    </cfRule>
    <cfRule type="cellIs" dxfId="16" priority="32" operator="equal">
      <formula>1</formula>
    </cfRule>
  </conditionalFormatting>
  <conditionalFormatting sqref="J27">
    <cfRule type="cellIs" dxfId="15" priority="29" operator="equal">
      <formula>20</formula>
    </cfRule>
    <cfRule type="cellIs" dxfId="14" priority="30" operator="equal">
      <formula>1</formula>
    </cfRule>
  </conditionalFormatting>
  <conditionalFormatting sqref="J28">
    <cfRule type="cellIs" dxfId="13" priority="25" operator="equal">
      <formula>20</formula>
    </cfRule>
    <cfRule type="cellIs" dxfId="12" priority="26" operator="equal">
      <formula>1</formula>
    </cfRule>
  </conditionalFormatting>
  <conditionalFormatting sqref="J28">
    <cfRule type="cellIs" dxfId="11" priority="23" operator="equal">
      <formula>20</formula>
    </cfRule>
    <cfRule type="cellIs" dxfId="10" priority="24" operator="equal">
      <formula>1</formula>
    </cfRule>
  </conditionalFormatting>
  <conditionalFormatting sqref="A3:A5 A7">
    <cfRule type="cellIs" dxfId="9" priority="22" operator="notEqual">
      <formula>0</formula>
    </cfRule>
  </conditionalFormatting>
  <conditionalFormatting sqref="J29">
    <cfRule type="cellIs" dxfId="8" priority="4" operator="equal">
      <formula>20</formula>
    </cfRule>
    <cfRule type="cellIs" dxfId="7" priority="5" operator="equal">
      <formula>1</formula>
    </cfRule>
  </conditionalFormatting>
  <conditionalFormatting sqref="J29">
    <cfRule type="cellIs" dxfId="6" priority="2" operator="equal">
      <formula>20</formula>
    </cfRule>
    <cfRule type="cellIs" dxfId="5" priority="3" operator="equal">
      <formula>1</formula>
    </cfRule>
  </conditionalFormatting>
  <conditionalFormatting sqref="A6">
    <cfRule type="cellIs" dxfId="0" priority="1" operator="not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7"/>
  <sheetViews>
    <sheetView showGridLines="0" workbookViewId="0"/>
  </sheetViews>
  <sheetFormatPr defaultColWidth="13" defaultRowHeight="15.6"/>
  <cols>
    <col min="1" max="1" width="38.19921875" style="133" bestFit="1" customWidth="1"/>
    <col min="2" max="2" width="5.59765625" style="133" bestFit="1" customWidth="1"/>
    <col min="3" max="3" width="5.3984375" style="148" bestFit="1" customWidth="1"/>
    <col min="4" max="4" width="42.8984375" style="14" customWidth="1"/>
    <col min="5" max="5" width="38.5" style="14" customWidth="1"/>
    <col min="6" max="6" width="2.09765625" style="133" customWidth="1"/>
    <col min="7" max="7" width="9.296875" style="14" bestFit="1" customWidth="1"/>
    <col min="8" max="16384" width="13" style="14"/>
  </cols>
  <sheetData>
    <row r="1" spans="1:7" ht="23.4" thickBot="1">
      <c r="A1" s="138" t="s">
        <v>58</v>
      </c>
      <c r="B1" s="138"/>
      <c r="C1" s="153"/>
      <c r="D1" s="138"/>
      <c r="E1" s="138"/>
    </row>
    <row r="2" spans="1:7" s="133" customFormat="1" ht="16.8" thickTop="1" thickBot="1">
      <c r="A2" s="154" t="s">
        <v>59</v>
      </c>
      <c r="B2" s="154" t="s">
        <v>3</v>
      </c>
      <c r="C2" s="155" t="s">
        <v>20</v>
      </c>
      <c r="D2" s="156" t="s">
        <v>60</v>
      </c>
      <c r="E2" s="157" t="s">
        <v>61</v>
      </c>
      <c r="G2" s="158" t="s">
        <v>87</v>
      </c>
    </row>
    <row r="3" spans="1:7">
      <c r="A3" s="159" t="s">
        <v>74</v>
      </c>
      <c r="B3" s="160">
        <v>2</v>
      </c>
      <c r="C3" s="161">
        <v>2</v>
      </c>
      <c r="D3" s="162"/>
      <c r="E3" s="163"/>
      <c r="F3" s="131"/>
      <c r="G3" s="267">
        <v>0</v>
      </c>
    </row>
    <row r="4" spans="1:7">
      <c r="A4" s="159" t="s">
        <v>82</v>
      </c>
      <c r="B4" s="160">
        <v>1</v>
      </c>
      <c r="C4" s="161">
        <v>0.5</v>
      </c>
      <c r="D4" s="510"/>
      <c r="E4" s="274"/>
      <c r="F4"/>
      <c r="G4" s="269">
        <v>0</v>
      </c>
    </row>
    <row r="5" spans="1:7">
      <c r="A5" s="159" t="s">
        <v>240</v>
      </c>
      <c r="B5" s="160">
        <v>1</v>
      </c>
      <c r="C5" s="161">
        <v>0</v>
      </c>
      <c r="D5" s="510"/>
      <c r="E5" s="274"/>
      <c r="F5"/>
      <c r="G5" s="269">
        <v>2200</v>
      </c>
    </row>
    <row r="6" spans="1:7">
      <c r="A6" s="561" t="s">
        <v>393</v>
      </c>
      <c r="B6" s="562">
        <v>1</v>
      </c>
      <c r="C6" s="161">
        <v>0</v>
      </c>
      <c r="D6" s="563"/>
      <c r="E6" s="274"/>
      <c r="F6" s="294"/>
      <c r="G6" s="269">
        <v>20000</v>
      </c>
    </row>
    <row r="7" spans="1:7">
      <c r="A7" s="159" t="s">
        <v>241</v>
      </c>
      <c r="B7" s="160">
        <v>1</v>
      </c>
      <c r="C7" s="161">
        <v>1</v>
      </c>
      <c r="D7" s="510"/>
      <c r="E7" s="274"/>
      <c r="F7"/>
      <c r="G7" s="269">
        <v>2000</v>
      </c>
    </row>
    <row r="8" spans="1:7">
      <c r="A8" s="159" t="s">
        <v>192</v>
      </c>
      <c r="B8" s="160">
        <v>1</v>
      </c>
      <c r="C8" s="161">
        <v>1</v>
      </c>
      <c r="D8" s="510"/>
      <c r="E8" s="274"/>
      <c r="F8"/>
      <c r="G8" s="269">
        <v>750</v>
      </c>
    </row>
    <row r="9" spans="1:7">
      <c r="A9" s="159" t="s">
        <v>401</v>
      </c>
      <c r="B9" s="531">
        <v>1</v>
      </c>
      <c r="C9" s="173">
        <v>0</v>
      </c>
      <c r="D9" s="510" t="s">
        <v>402</v>
      </c>
      <c r="E9" s="274"/>
      <c r="F9"/>
      <c r="G9" s="269">
        <v>62000</v>
      </c>
    </row>
    <row r="10" spans="1:7">
      <c r="A10" s="159" t="s">
        <v>80</v>
      </c>
      <c r="B10" s="160">
        <v>1</v>
      </c>
      <c r="C10" s="161" t="s">
        <v>84</v>
      </c>
      <c r="D10" s="510"/>
      <c r="E10" s="274"/>
      <c r="F10"/>
      <c r="G10" s="269">
        <v>0</v>
      </c>
    </row>
    <row r="11" spans="1:7">
      <c r="A11" s="159" t="s">
        <v>322</v>
      </c>
      <c r="B11" s="160">
        <v>1</v>
      </c>
      <c r="C11" s="161">
        <v>0</v>
      </c>
      <c r="D11" s="510"/>
      <c r="E11" s="274"/>
      <c r="F11"/>
      <c r="G11" s="269">
        <v>4000</v>
      </c>
    </row>
    <row r="12" spans="1:7">
      <c r="A12" s="159" t="s">
        <v>323</v>
      </c>
      <c r="B12" s="160">
        <v>1</v>
      </c>
      <c r="C12" s="161">
        <v>1</v>
      </c>
      <c r="D12" s="510"/>
      <c r="E12" s="274"/>
      <c r="F12"/>
      <c r="G12" s="269">
        <v>24000</v>
      </c>
    </row>
    <row r="13" spans="1:7">
      <c r="A13" s="159" t="s">
        <v>161</v>
      </c>
      <c r="B13" s="160">
        <v>1</v>
      </c>
      <c r="C13" s="161">
        <v>0</v>
      </c>
      <c r="D13" s="510"/>
      <c r="E13" s="274"/>
      <c r="F13"/>
      <c r="G13" s="269">
        <v>2300</v>
      </c>
    </row>
    <row r="14" spans="1:7">
      <c r="A14" s="530" t="s">
        <v>350</v>
      </c>
      <c r="B14" s="531">
        <v>1</v>
      </c>
      <c r="C14" s="173">
        <v>0</v>
      </c>
      <c r="D14" s="532" t="s">
        <v>351</v>
      </c>
      <c r="E14" s="367"/>
      <c r="F14"/>
      <c r="G14" s="533">
        <v>6000</v>
      </c>
    </row>
    <row r="15" spans="1:7" ht="16.2" thickBot="1">
      <c r="A15" s="166" t="s">
        <v>386</v>
      </c>
      <c r="B15" s="167">
        <v>1</v>
      </c>
      <c r="C15" s="168">
        <v>1</v>
      </c>
      <c r="D15" s="169"/>
      <c r="E15" s="170"/>
      <c r="G15" s="270">
        <v>9000</v>
      </c>
    </row>
    <row r="16" spans="1:7" ht="24" thickTop="1" thickBot="1">
      <c r="A16" s="138" t="s">
        <v>62</v>
      </c>
      <c r="B16" s="171"/>
      <c r="C16" s="171"/>
      <c r="D16" s="138"/>
      <c r="E16" s="172"/>
    </row>
    <row r="17" spans="1:7" ht="16.8" thickTop="1" thickBot="1">
      <c r="A17" s="154" t="s">
        <v>59</v>
      </c>
      <c r="B17" s="154" t="s">
        <v>3</v>
      </c>
      <c r="C17" s="155" t="s">
        <v>20</v>
      </c>
      <c r="D17" s="156" t="s">
        <v>60</v>
      </c>
      <c r="E17" s="157" t="s">
        <v>61</v>
      </c>
      <c r="G17" s="158" t="s">
        <v>87</v>
      </c>
    </row>
    <row r="18" spans="1:7">
      <c r="A18" s="558" t="s">
        <v>245</v>
      </c>
      <c r="B18" s="531">
        <v>1</v>
      </c>
      <c r="C18" s="173">
        <v>0</v>
      </c>
      <c r="D18" s="510"/>
      <c r="E18" s="274"/>
      <c r="F18"/>
      <c r="G18" s="269" t="s">
        <v>90</v>
      </c>
    </row>
    <row r="19" spans="1:7">
      <c r="A19" s="558" t="s">
        <v>405</v>
      </c>
      <c r="B19" s="531">
        <v>1</v>
      </c>
      <c r="C19" s="173">
        <v>10</v>
      </c>
      <c r="D19" s="510" t="s">
        <v>406</v>
      </c>
      <c r="E19" s="274"/>
      <c r="F19"/>
      <c r="G19" s="269">
        <v>60000</v>
      </c>
    </row>
    <row r="20" spans="1:7">
      <c r="A20" s="159" t="s">
        <v>83</v>
      </c>
      <c r="B20" s="160">
        <v>1</v>
      </c>
      <c r="C20" s="161">
        <v>0</v>
      </c>
      <c r="D20" s="510"/>
      <c r="E20" s="274"/>
      <c r="F20"/>
      <c r="G20" s="269">
        <v>0</v>
      </c>
    </row>
    <row r="21" spans="1:7">
      <c r="A21" s="558" t="s">
        <v>403</v>
      </c>
      <c r="B21" s="531">
        <v>1</v>
      </c>
      <c r="C21" s="173">
        <v>0</v>
      </c>
      <c r="D21" s="510"/>
      <c r="E21" s="274"/>
      <c r="F21"/>
      <c r="G21" s="269">
        <v>200</v>
      </c>
    </row>
    <row r="22" spans="1:7" ht="16.2" thickBot="1">
      <c r="A22" s="166" t="s">
        <v>81</v>
      </c>
      <c r="B22" s="167">
        <v>0.5</v>
      </c>
      <c r="C22" s="168">
        <v>4</v>
      </c>
      <c r="D22" s="174"/>
      <c r="E22" s="170"/>
      <c r="F22" s="131"/>
      <c r="G22" s="270">
        <v>0</v>
      </c>
    </row>
    <row r="23" spans="1:7" ht="22.8" thickTop="1" thickBot="1">
      <c r="A23" s="271"/>
      <c r="B23" s="271"/>
      <c r="C23" s="271"/>
      <c r="D23" s="272" t="s">
        <v>418</v>
      </c>
      <c r="E23" s="273"/>
      <c r="F23" s="131"/>
      <c r="G23" s="131">
        <v>2000</v>
      </c>
    </row>
    <row r="24" spans="1:7" ht="16.8" thickTop="1" thickBot="1">
      <c r="A24" s="154" t="s">
        <v>59</v>
      </c>
      <c r="B24" s="154" t="s">
        <v>3</v>
      </c>
      <c r="C24" s="155" t="s">
        <v>20</v>
      </c>
      <c r="D24" s="156" t="s">
        <v>60</v>
      </c>
      <c r="E24" s="157" t="s">
        <v>61</v>
      </c>
      <c r="F24" s="131"/>
      <c r="G24" s="158" t="s">
        <v>87</v>
      </c>
    </row>
    <row r="25" spans="1:7">
      <c r="A25" s="159" t="s">
        <v>390</v>
      </c>
      <c r="B25" s="160" t="s">
        <v>389</v>
      </c>
      <c r="C25" s="161">
        <f>82-61</f>
        <v>21</v>
      </c>
      <c r="D25" s="510" t="s">
        <v>391</v>
      </c>
      <c r="E25" s="274"/>
      <c r="F25"/>
      <c r="G25" s="269" t="s">
        <v>376</v>
      </c>
    </row>
    <row r="26" spans="1:7">
      <c r="A26" s="159" t="s">
        <v>352</v>
      </c>
      <c r="B26" s="160">
        <v>1</v>
      </c>
      <c r="C26" s="161">
        <v>5</v>
      </c>
      <c r="D26" s="510"/>
      <c r="E26" s="274"/>
      <c r="F26"/>
      <c r="G26" s="269">
        <v>0</v>
      </c>
    </row>
    <row r="27" spans="1:7">
      <c r="A27" s="159" t="s">
        <v>359</v>
      </c>
      <c r="B27" s="160">
        <v>10</v>
      </c>
      <c r="C27" s="161">
        <f>B27/2</f>
        <v>5</v>
      </c>
      <c r="D27" s="510"/>
      <c r="E27" s="274"/>
      <c r="F27"/>
      <c r="G27" s="269">
        <v>0</v>
      </c>
    </row>
    <row r="28" spans="1:7">
      <c r="A28" s="159" t="s">
        <v>373</v>
      </c>
      <c r="B28" s="160">
        <v>10</v>
      </c>
      <c r="C28" s="161">
        <f>2*B28</f>
        <v>20</v>
      </c>
      <c r="D28" s="510"/>
      <c r="E28" s="274"/>
      <c r="F28"/>
      <c r="G28" s="269" t="s">
        <v>90</v>
      </c>
    </row>
    <row r="29" spans="1:7" ht="16.2" thickBot="1">
      <c r="A29" s="166" t="s">
        <v>360</v>
      </c>
      <c r="B29" s="559">
        <v>1</v>
      </c>
      <c r="C29" s="168">
        <v>5</v>
      </c>
      <c r="D29" s="174"/>
      <c r="E29" s="560"/>
      <c r="F29" s="131"/>
      <c r="G29" s="270">
        <v>0</v>
      </c>
    </row>
    <row r="30" spans="1:7" ht="22.8" thickTop="1" thickBot="1">
      <c r="A30" s="54" t="s">
        <v>326</v>
      </c>
      <c r="B30" s="511">
        <f>C30/500</f>
        <v>0.112</v>
      </c>
      <c r="C30" s="148">
        <f>SUM(C25:C29)</f>
        <v>56</v>
      </c>
      <c r="D30" s="272" t="s">
        <v>387</v>
      </c>
      <c r="E30" s="273"/>
      <c r="F30" s="131"/>
      <c r="G30" s="131">
        <v>5000</v>
      </c>
    </row>
    <row r="31" spans="1:7" ht="16.8" thickTop="1" thickBot="1">
      <c r="A31" s="154" t="s">
        <v>59</v>
      </c>
      <c r="B31" s="154" t="s">
        <v>3</v>
      </c>
      <c r="C31" s="155" t="s">
        <v>20</v>
      </c>
      <c r="D31" s="156" t="s">
        <v>60</v>
      </c>
      <c r="E31" s="157" t="s">
        <v>61</v>
      </c>
      <c r="F31" s="131"/>
      <c r="G31" s="158" t="s">
        <v>87</v>
      </c>
    </row>
    <row r="32" spans="1:7">
      <c r="A32" s="159" t="s">
        <v>388</v>
      </c>
      <c r="B32" s="160" t="s">
        <v>389</v>
      </c>
      <c r="C32" s="161">
        <v>40</v>
      </c>
      <c r="D32" s="510"/>
      <c r="E32" s="274"/>
      <c r="F32"/>
      <c r="G32" s="269">
        <v>0</v>
      </c>
    </row>
    <row r="33" spans="1:7">
      <c r="A33" s="159" t="s">
        <v>392</v>
      </c>
      <c r="B33" s="160" t="s">
        <v>389</v>
      </c>
      <c r="C33" s="161">
        <v>41</v>
      </c>
      <c r="D33" s="510"/>
      <c r="E33" s="274"/>
      <c r="F33"/>
      <c r="G33" s="269" t="s">
        <v>376</v>
      </c>
    </row>
    <row r="34" spans="1:7">
      <c r="A34" s="159" t="s">
        <v>374</v>
      </c>
      <c r="B34" s="160">
        <v>3</v>
      </c>
      <c r="C34" s="161">
        <v>3.5</v>
      </c>
      <c r="D34" s="510" t="s">
        <v>375</v>
      </c>
      <c r="E34" s="274"/>
      <c r="F34"/>
      <c r="G34" s="269" t="s">
        <v>376</v>
      </c>
    </row>
    <row r="35" spans="1:7">
      <c r="A35" s="159" t="s">
        <v>394</v>
      </c>
      <c r="B35" s="160">
        <v>1</v>
      </c>
      <c r="C35" s="161">
        <v>8</v>
      </c>
      <c r="D35" s="510"/>
      <c r="E35" s="274"/>
      <c r="F35"/>
      <c r="G35" s="269">
        <v>50000</v>
      </c>
    </row>
    <row r="36" spans="1:7">
      <c r="A36" s="159" t="s">
        <v>358</v>
      </c>
      <c r="B36" s="160">
        <v>1</v>
      </c>
      <c r="C36" s="161">
        <v>5</v>
      </c>
      <c r="D36" s="510"/>
      <c r="E36" s="274"/>
      <c r="F36"/>
      <c r="G36" s="269">
        <v>0</v>
      </c>
    </row>
    <row r="37" spans="1:7">
      <c r="A37" s="159" t="s">
        <v>353</v>
      </c>
      <c r="B37" s="160">
        <v>1</v>
      </c>
      <c r="C37" s="161">
        <v>5</v>
      </c>
      <c r="D37" s="510"/>
      <c r="E37" s="274"/>
      <c r="F37"/>
      <c r="G37" s="269">
        <v>0</v>
      </c>
    </row>
    <row r="38" spans="1:7">
      <c r="A38" s="159" t="s">
        <v>354</v>
      </c>
      <c r="B38" s="160">
        <v>1</v>
      </c>
      <c r="C38" s="161">
        <v>8</v>
      </c>
      <c r="D38" s="510"/>
      <c r="E38" s="274"/>
      <c r="F38"/>
      <c r="G38" s="269">
        <v>0</v>
      </c>
    </row>
    <row r="39" spans="1:7">
      <c r="A39" s="159" t="s">
        <v>419</v>
      </c>
      <c r="B39" s="160">
        <v>1</v>
      </c>
      <c r="C39" s="161">
        <v>0</v>
      </c>
      <c r="D39" s="510" t="s">
        <v>420</v>
      </c>
      <c r="E39" s="579" t="s">
        <v>429</v>
      </c>
      <c r="F39"/>
      <c r="G39" s="269" t="s">
        <v>376</v>
      </c>
    </row>
    <row r="40" spans="1:7">
      <c r="A40" s="159" t="s">
        <v>360</v>
      </c>
      <c r="B40" s="160">
        <v>1</v>
      </c>
      <c r="C40" s="161">
        <v>5</v>
      </c>
      <c r="D40" s="510" t="s">
        <v>421</v>
      </c>
      <c r="E40" s="274"/>
      <c r="F40"/>
      <c r="G40" s="269">
        <v>0</v>
      </c>
    </row>
    <row r="41" spans="1:7">
      <c r="A41" s="159" t="s">
        <v>422</v>
      </c>
      <c r="B41" s="160">
        <v>1</v>
      </c>
      <c r="C41" s="161">
        <v>2.5</v>
      </c>
      <c r="D41" s="510" t="s">
        <v>423</v>
      </c>
      <c r="E41" s="274"/>
      <c r="F41"/>
      <c r="G41" s="269">
        <v>0</v>
      </c>
    </row>
    <row r="42" spans="1:7">
      <c r="A42" s="159" t="s">
        <v>424</v>
      </c>
      <c r="B42" s="160">
        <v>1</v>
      </c>
      <c r="C42" s="161">
        <v>2</v>
      </c>
      <c r="D42" s="510"/>
      <c r="E42" s="274"/>
      <c r="F42"/>
      <c r="G42" s="269">
        <v>800</v>
      </c>
    </row>
    <row r="43" spans="1:7">
      <c r="A43" s="159" t="s">
        <v>425</v>
      </c>
      <c r="B43" s="160">
        <v>1</v>
      </c>
      <c r="C43" s="161">
        <v>2</v>
      </c>
      <c r="D43" s="510" t="s">
        <v>426</v>
      </c>
      <c r="E43" s="274"/>
      <c r="F43"/>
      <c r="G43" s="269">
        <v>300</v>
      </c>
    </row>
    <row r="44" spans="1:7">
      <c r="A44" s="159" t="s">
        <v>427</v>
      </c>
      <c r="B44" s="160">
        <v>2</v>
      </c>
      <c r="C44" s="161">
        <f>B44/10</f>
        <v>0.2</v>
      </c>
      <c r="D44" s="510"/>
      <c r="E44" s="274"/>
      <c r="F44"/>
      <c r="G44" s="269">
        <v>0</v>
      </c>
    </row>
    <row r="45" spans="1:7">
      <c r="A45" s="159" t="s">
        <v>428</v>
      </c>
      <c r="B45" s="160">
        <v>1</v>
      </c>
      <c r="C45" s="161">
        <v>0.5</v>
      </c>
      <c r="D45" s="510"/>
      <c r="E45" s="274"/>
      <c r="F45"/>
      <c r="G45" s="269" t="s">
        <v>376</v>
      </c>
    </row>
    <row r="46" spans="1:7">
      <c r="A46" s="159" t="s">
        <v>355</v>
      </c>
      <c r="B46" s="160">
        <v>1</v>
      </c>
      <c r="C46" s="161">
        <v>4</v>
      </c>
      <c r="D46" s="510" t="s">
        <v>356</v>
      </c>
      <c r="E46" s="274"/>
      <c r="F46"/>
      <c r="G46" s="269">
        <v>0</v>
      </c>
    </row>
    <row r="47" spans="1:7">
      <c r="A47" s="159" t="s">
        <v>357</v>
      </c>
      <c r="B47" s="160">
        <v>1</v>
      </c>
      <c r="C47" s="161">
        <v>0.5</v>
      </c>
      <c r="D47" s="510"/>
      <c r="E47" s="274"/>
      <c r="F47"/>
      <c r="G47" s="269">
        <v>0</v>
      </c>
    </row>
    <row r="48" spans="1:7">
      <c r="A48" s="159" t="s">
        <v>221</v>
      </c>
      <c r="B48" s="160">
        <v>1</v>
      </c>
      <c r="C48" s="161">
        <v>5</v>
      </c>
      <c r="D48" s="510"/>
      <c r="E48" s="274"/>
      <c r="F48"/>
      <c r="G48" s="269">
        <v>0</v>
      </c>
    </row>
    <row r="49" spans="1:7">
      <c r="A49" s="159" t="s">
        <v>76</v>
      </c>
      <c r="B49" s="160">
        <v>10</v>
      </c>
      <c r="C49" s="161">
        <f>B49</f>
        <v>10</v>
      </c>
      <c r="D49" s="510"/>
      <c r="E49" s="274"/>
      <c r="F49"/>
      <c r="G49" s="269">
        <v>0</v>
      </c>
    </row>
    <row r="50" spans="1:7">
      <c r="A50" s="159" t="s">
        <v>75</v>
      </c>
      <c r="B50" s="160">
        <v>1</v>
      </c>
      <c r="C50" s="161">
        <v>5</v>
      </c>
      <c r="D50" s="510"/>
      <c r="E50" s="274"/>
      <c r="F50"/>
      <c r="G50" s="269">
        <v>0</v>
      </c>
    </row>
    <row r="51" spans="1:7" ht="16.2" thickBot="1">
      <c r="A51" s="166" t="s">
        <v>220</v>
      </c>
      <c r="B51" s="559">
        <v>1</v>
      </c>
      <c r="C51" s="168">
        <v>0</v>
      </c>
      <c r="D51" s="174"/>
      <c r="E51" s="170"/>
      <c r="F51" s="131"/>
      <c r="G51" s="270">
        <v>0</v>
      </c>
    </row>
    <row r="52" spans="1:7" ht="24" thickTop="1" thickBot="1">
      <c r="A52" s="54" t="s">
        <v>326</v>
      </c>
      <c r="B52" s="511">
        <f>C52/500</f>
        <v>0.2944</v>
      </c>
      <c r="C52" s="148">
        <f>SUM(C32:C51)</f>
        <v>147.19999999999999</v>
      </c>
      <c r="D52" s="176" t="s">
        <v>244</v>
      </c>
      <c r="E52" s="172"/>
    </row>
    <row r="53" spans="1:7" s="133" customFormat="1" ht="16.8" thickTop="1" thickBot="1">
      <c r="A53" s="154" t="s">
        <v>59</v>
      </c>
      <c r="B53" s="177" t="s">
        <v>3</v>
      </c>
      <c r="C53" s="155" t="s">
        <v>20</v>
      </c>
      <c r="D53" s="154" t="s">
        <v>327</v>
      </c>
      <c r="E53" s="157" t="s">
        <v>61</v>
      </c>
      <c r="G53" s="158" t="s">
        <v>87</v>
      </c>
    </row>
    <row r="54" spans="1:7">
      <c r="A54" s="178"/>
      <c r="B54" s="179"/>
      <c r="C54" s="180"/>
      <c r="D54" s="512" t="s">
        <v>328</v>
      </c>
      <c r="E54" s="274"/>
      <c r="G54" s="267"/>
    </row>
    <row r="55" spans="1:7">
      <c r="A55" s="178"/>
      <c r="B55" s="181"/>
      <c r="C55" s="182"/>
      <c r="D55" s="512"/>
      <c r="E55" s="274"/>
      <c r="G55" s="268"/>
    </row>
    <row r="56" spans="1:7">
      <c r="A56" s="186"/>
      <c r="B56" s="164"/>
      <c r="C56" s="165"/>
      <c r="D56" s="512"/>
      <c r="E56" s="274"/>
      <c r="G56" s="268"/>
    </row>
    <row r="57" spans="1:7">
      <c r="A57" s="178"/>
      <c r="B57" s="181"/>
      <c r="C57" s="182"/>
      <c r="D57" s="513"/>
      <c r="E57" s="183"/>
      <c r="G57" s="269"/>
    </row>
    <row r="58" spans="1:7" ht="16.2" thickBot="1">
      <c r="A58" s="184"/>
      <c r="B58" s="167"/>
      <c r="C58" s="168"/>
      <c r="D58" s="514"/>
      <c r="E58" s="170"/>
      <c r="G58" s="270"/>
    </row>
    <row r="59" spans="1:7" ht="24" thickTop="1" thickBot="1">
      <c r="A59" s="54"/>
      <c r="B59" s="511"/>
      <c r="D59" s="176" t="s">
        <v>361</v>
      </c>
      <c r="E59" s="172"/>
    </row>
    <row r="60" spans="1:7" ht="16.8" thickTop="1" thickBot="1">
      <c r="A60" s="154" t="s">
        <v>59</v>
      </c>
      <c r="B60" s="177" t="s">
        <v>3</v>
      </c>
      <c r="C60" s="155" t="s">
        <v>20</v>
      </c>
      <c r="D60" s="154" t="s">
        <v>327</v>
      </c>
      <c r="E60" s="157" t="s">
        <v>61</v>
      </c>
      <c r="G60" s="158" t="s">
        <v>87</v>
      </c>
    </row>
    <row r="61" spans="1:7">
      <c r="A61" s="178"/>
      <c r="B61" s="179"/>
      <c r="C61" s="180"/>
      <c r="D61" s="512"/>
      <c r="E61" s="274"/>
      <c r="G61" s="267"/>
    </row>
    <row r="62" spans="1:7">
      <c r="A62" s="178"/>
      <c r="B62" s="181"/>
      <c r="C62" s="182"/>
      <c r="D62" s="513"/>
      <c r="E62" s="183"/>
      <c r="G62" s="268"/>
    </row>
    <row r="63" spans="1:7">
      <c r="A63" s="178"/>
      <c r="B63" s="181"/>
      <c r="C63" s="182"/>
      <c r="D63" s="513"/>
      <c r="E63" s="183"/>
      <c r="G63" s="268"/>
    </row>
    <row r="64" spans="1:7">
      <c r="A64" s="178"/>
      <c r="B64" s="181"/>
      <c r="C64" s="182"/>
      <c r="D64" s="513"/>
      <c r="E64" s="183"/>
      <c r="G64" s="268"/>
    </row>
    <row r="65" spans="1:7">
      <c r="A65" s="178"/>
      <c r="B65" s="181"/>
      <c r="C65" s="182"/>
      <c r="D65" s="513"/>
      <c r="E65" s="183"/>
      <c r="G65" s="268"/>
    </row>
    <row r="66" spans="1:7">
      <c r="A66" s="178"/>
      <c r="B66" s="181"/>
      <c r="C66" s="182"/>
      <c r="D66" s="513"/>
      <c r="E66" s="183"/>
      <c r="G66" s="268"/>
    </row>
    <row r="67" spans="1:7">
      <c r="A67" s="178"/>
      <c r="B67" s="181"/>
      <c r="C67" s="182"/>
      <c r="D67" s="513"/>
      <c r="E67" s="183"/>
      <c r="G67" s="269"/>
    </row>
    <row r="68" spans="1:7" ht="16.2" thickBot="1">
      <c r="A68" s="184"/>
      <c r="B68" s="167"/>
      <c r="C68" s="168"/>
      <c r="D68" s="514"/>
      <c r="E68" s="170"/>
      <c r="G68" s="270"/>
    </row>
    <row r="69" spans="1:7" ht="16.2" thickTop="1">
      <c r="B69" s="185"/>
    </row>
    <row r="70" spans="1:7">
      <c r="B70" s="185"/>
      <c r="E70" s="54" t="s">
        <v>170</v>
      </c>
      <c r="F70" s="131"/>
      <c r="G70" s="255">
        <f>SUM(Martial!N3:N51,Equipment!G3:G68)</f>
        <v>437175</v>
      </c>
    </row>
    <row r="71" spans="1:7">
      <c r="B71" s="185"/>
    </row>
    <row r="72" spans="1:7">
      <c r="B72" s="185"/>
    </row>
    <row r="73" spans="1:7">
      <c r="B73" s="185"/>
    </row>
    <row r="74" spans="1:7">
      <c r="A74" s="14"/>
      <c r="B74" s="185"/>
      <c r="C74" s="14"/>
      <c r="F74" s="14"/>
    </row>
    <row r="75" spans="1:7">
      <c r="A75" s="14"/>
      <c r="B75" s="185"/>
      <c r="C75" s="14"/>
      <c r="F75" s="14"/>
    </row>
    <row r="76" spans="1:7">
      <c r="A76" s="14"/>
      <c r="B76" s="185"/>
      <c r="C76" s="14"/>
      <c r="F76" s="14"/>
    </row>
    <row r="77" spans="1:7">
      <c r="A77" s="14"/>
      <c r="B77" s="185"/>
      <c r="C77" s="14"/>
      <c r="F77" s="14"/>
    </row>
  </sheetData>
  <sortState xmlns:xlrd2="http://schemas.microsoft.com/office/spreadsheetml/2017/richdata2" ref="A3:D7">
    <sortCondition ref="A3:A7"/>
  </sortState>
  <phoneticPr fontId="0" type="noConversion"/>
  <conditionalFormatting sqref="G70">
    <cfRule type="cellIs" dxfId="4" priority="5" operator="lessThan">
      <formula>0</formula>
    </cfRule>
  </conditionalFormatting>
  <conditionalFormatting sqref="B52">
    <cfRule type="cellIs" dxfId="3" priority="3" operator="greaterThan">
      <formula>0.99</formula>
    </cfRule>
  </conditionalFormatting>
  <conditionalFormatting sqref="B59">
    <cfRule type="cellIs" dxfId="2" priority="2" operator="greaterThan">
      <formula>0.99</formula>
    </cfRule>
  </conditionalFormatting>
  <conditionalFormatting sqref="B30">
    <cfRule type="cellIs" dxfId="1" priority="1" operator="greaterThan">
      <formula>0.99</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4"/>
  <sheetViews>
    <sheetView showGridLines="0" workbookViewId="0"/>
  </sheetViews>
  <sheetFormatPr defaultColWidth="9" defaultRowHeight="15.6"/>
  <cols>
    <col min="1" max="1" width="62.796875" style="19" bestFit="1" customWidth="1"/>
    <col min="2" max="2" width="9.5" style="293" customWidth="1"/>
    <col min="3" max="3" width="6.3984375" style="19" customWidth="1"/>
    <col min="4" max="16384" width="9" style="19"/>
  </cols>
  <sheetData>
    <row r="1" spans="1:3">
      <c r="A1" s="297" t="s">
        <v>369</v>
      </c>
      <c r="B1" s="301" t="str">
        <f>'Personal File'!A1</f>
        <v>Lauren</v>
      </c>
      <c r="C1" s="300" t="s">
        <v>201</v>
      </c>
    </row>
    <row r="2" spans="1:3">
      <c r="A2" s="304" t="s">
        <v>404</v>
      </c>
      <c r="B2" s="303" t="s">
        <v>200</v>
      </c>
      <c r="C2" s="302">
        <v>0.2</v>
      </c>
    </row>
    <row r="3" spans="1:3">
      <c r="A3" s="304" t="s">
        <v>364</v>
      </c>
      <c r="B3" s="303" t="s">
        <v>368</v>
      </c>
      <c r="C3" s="302">
        <v>0.16</v>
      </c>
    </row>
    <row r="4" spans="1:3">
      <c r="A4" s="304" t="s">
        <v>365</v>
      </c>
      <c r="B4" s="303" t="s">
        <v>200</v>
      </c>
      <c r="C4" s="302">
        <v>0.2</v>
      </c>
    </row>
    <row r="5" spans="1:3">
      <c r="A5" s="304" t="s">
        <v>366</v>
      </c>
      <c r="B5" s="303" t="s">
        <v>200</v>
      </c>
      <c r="C5" s="302">
        <v>0.2</v>
      </c>
    </row>
    <row r="6" spans="1:3">
      <c r="A6" s="304" t="s">
        <v>367</v>
      </c>
      <c r="B6" s="303" t="s">
        <v>368</v>
      </c>
      <c r="C6" s="302">
        <v>0.16</v>
      </c>
    </row>
    <row r="7" spans="1:3">
      <c r="A7" s="297" t="s">
        <v>51</v>
      </c>
      <c r="B7" s="301"/>
      <c r="C7" s="300">
        <f>SUM(C2:C6)</f>
        <v>0.92</v>
      </c>
    </row>
    <row r="8" spans="1:3">
      <c r="A8" s="297"/>
      <c r="B8" s="301"/>
      <c r="C8" s="300"/>
    </row>
    <row r="9" spans="1:3">
      <c r="A9" s="297" t="s">
        <v>199</v>
      </c>
      <c r="B9" s="298">
        <v>0</v>
      </c>
      <c r="C9" s="295"/>
    </row>
    <row r="10" spans="1:3">
      <c r="A10" s="297" t="s">
        <v>198</v>
      </c>
      <c r="B10" s="298">
        <v>10000</v>
      </c>
      <c r="C10" s="295"/>
    </row>
    <row r="11" spans="1:3">
      <c r="A11" s="297" t="s">
        <v>197</v>
      </c>
      <c r="B11" s="298">
        <f>IF(B9=0,B10*C7,(B10*C7*(1-(B9/4))))</f>
        <v>9200</v>
      </c>
      <c r="C11" s="295"/>
    </row>
    <row r="12" spans="1:3">
      <c r="A12" s="297" t="s">
        <v>196</v>
      </c>
      <c r="B12" s="545">
        <v>0</v>
      </c>
      <c r="C12" s="299"/>
    </row>
    <row r="13" spans="1:3">
      <c r="A13" s="297" t="s">
        <v>51</v>
      </c>
      <c r="B13" s="296">
        <f>SUM(B11:B12)</f>
        <v>9200</v>
      </c>
      <c r="C13" s="295"/>
    </row>
    <row r="14" spans="1:3">
      <c r="A14" s="297" t="s">
        <v>195</v>
      </c>
      <c r="B14" s="298">
        <v>136000</v>
      </c>
      <c r="C14" s="295"/>
    </row>
    <row r="15" spans="1:3">
      <c r="A15" s="297" t="s">
        <v>194</v>
      </c>
      <c r="B15" s="296">
        <f>SUM(B13:B14)</f>
        <v>145200</v>
      </c>
      <c r="C15" s="295"/>
    </row>
    <row r="16" spans="1:3">
      <c r="A16" s="295"/>
      <c r="B16" s="295"/>
      <c r="C16" s="295"/>
    </row>
    <row r="17" spans="1:3">
      <c r="A17" s="295"/>
      <c r="B17" s="295"/>
      <c r="C17" s="299"/>
    </row>
    <row r="18" spans="1:3">
      <c r="A18" s="295"/>
      <c r="B18" s="295"/>
      <c r="C18" s="295"/>
    </row>
    <row r="19" spans="1:3">
      <c r="A19" s="295"/>
      <c r="B19" s="295"/>
      <c r="C19" s="295"/>
    </row>
    <row r="20" spans="1:3">
      <c r="A20" s="295"/>
      <c r="B20" s="295"/>
      <c r="C20" s="295"/>
    </row>
    <row r="21" spans="1:3">
      <c r="A21" s="295"/>
      <c r="B21" s="295"/>
    </row>
    <row r="22" spans="1:3">
      <c r="A22" s="295"/>
      <c r="B22" s="295"/>
    </row>
    <row r="24" spans="1:3">
      <c r="A24" s="294"/>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Spells</vt:lpstr>
      <vt:lpstr>Feats</vt:lpstr>
      <vt:lpstr>Martial</vt:lpstr>
      <vt:lpstr>Equipment</vt:lpstr>
      <vt:lpstr>XP Awards</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2019-08-04T14:16:00Z</cp:lastPrinted>
  <dcterms:created xsi:type="dcterms:W3CDTF">2000-10-24T15:39:59Z</dcterms:created>
  <dcterms:modified xsi:type="dcterms:W3CDTF">2021-09-03T12:40:25Z</dcterms:modified>
</cp:coreProperties>
</file>