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C:\A\Juegos\Armario\DoW\PCs\"/>
    </mc:Choice>
  </mc:AlternateContent>
  <xr:revisionPtr revIDLastSave="0" documentId="13_ncr:1_{3F4E72C5-64C9-48EA-ACBC-63EC329C3D81}" xr6:coauthVersionLast="47" xr6:coauthVersionMax="47" xr10:uidLastSave="{00000000-0000-0000-0000-000000000000}"/>
  <bookViews>
    <workbookView xWindow="-12" yWindow="-12" windowWidth="11520" windowHeight="12984" tabRatio="638" xr2:uid="{00000000-000D-0000-FFFF-FFFF00000000}"/>
  </bookViews>
  <sheets>
    <sheet name="Personal File" sheetId="4" r:id="rId1"/>
    <sheet name="Skills" sheetId="15" r:id="rId2"/>
    <sheet name="RedKnight" sheetId="18" r:id="rId3"/>
    <sheet name="Spells" sheetId="26" r:id="rId4"/>
    <sheet name="Feats" sheetId="20" r:id="rId5"/>
    <sheet name="Martial" sheetId="6" r:id="rId6"/>
    <sheet name="Equipment" sheetId="19" r:id="rId7"/>
    <sheet name="Leadership" sheetId="28" r:id="rId8"/>
    <sheet name="Skills (Followers)" sheetId="29" r:id="rId9"/>
  </sheets>
  <externalReferences>
    <externalReference r:id="rId10"/>
  </externalReferences>
  <definedNames>
    <definedName name="_xlnm._FilterDatabase" localSheetId="7" hidden="1">Leadership!$A$1:$AS$1</definedName>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File'!$A$1:$H$22</definedName>
    <definedName name="_xlnm.Print_Area" localSheetId="2">RedKnight!$A$1:$I$37</definedName>
    <definedName name="_xlnm.Print_Area" localSheetId="1">Skills!$A$1:$K$29</definedName>
    <definedName name="_xlnm.Print_Area" localSheetId="8">'Skills (Followers)'!$A$1:$V$35</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6" l="1"/>
  <c r="C4" i="6"/>
  <c r="C5" i="6"/>
  <c r="C6" i="6"/>
  <c r="H5" i="6"/>
  <c r="I5" i="6"/>
  <c r="J5" i="6" l="1"/>
  <c r="E49" i="15"/>
  <c r="E59" i="15"/>
  <c r="T18" i="26" l="1"/>
  <c r="D18" i="26"/>
  <c r="T44" i="26"/>
  <c r="T43" i="26"/>
  <c r="T42" i="26"/>
  <c r="T41" i="26"/>
  <c r="T40" i="26"/>
  <c r="T39" i="26"/>
  <c r="T38" i="26"/>
  <c r="T37" i="26"/>
  <c r="T36" i="26"/>
  <c r="T35" i="26"/>
  <c r="T34" i="26"/>
  <c r="T33" i="26"/>
  <c r="T32" i="26"/>
  <c r="T31" i="26"/>
  <c r="T30" i="26"/>
  <c r="T29" i="26"/>
  <c r="T28" i="26"/>
  <c r="T27" i="26"/>
  <c r="T26" i="26"/>
  <c r="T25" i="26"/>
  <c r="T24" i="26"/>
  <c r="T23" i="26"/>
  <c r="T22" i="26"/>
  <c r="T21" i="26"/>
  <c r="T20" i="26"/>
  <c r="T19" i="26"/>
  <c r="T17" i="26"/>
  <c r="T16" i="26"/>
  <c r="T15" i="26"/>
  <c r="T14" i="26"/>
  <c r="T13" i="26"/>
  <c r="T12" i="26"/>
  <c r="T11" i="26"/>
  <c r="T10" i="26"/>
  <c r="T9" i="26"/>
  <c r="T8" i="26"/>
  <c r="T7" i="26"/>
  <c r="T6" i="26"/>
  <c r="T5" i="26"/>
  <c r="T4" i="26"/>
  <c r="T3" i="26"/>
  <c r="D39" i="26"/>
  <c r="D42" i="26"/>
  <c r="D31" i="26"/>
  <c r="D44" i="26"/>
  <c r="D43" i="26"/>
  <c r="N7" i="26"/>
  <c r="O7" i="26"/>
  <c r="B5" i="15"/>
  <c r="B4" i="15"/>
  <c r="B3" i="15"/>
  <c r="B9" i="4"/>
  <c r="AA2" i="28" l="1"/>
  <c r="AA3" i="28"/>
  <c r="AA4" i="28"/>
  <c r="AA5" i="28"/>
  <c r="AA6" i="28"/>
  <c r="AA7" i="28"/>
  <c r="AA8" i="28"/>
  <c r="AA9" i="28"/>
  <c r="AA10" i="28"/>
  <c r="AA11" i="28"/>
  <c r="AA12" i="28"/>
  <c r="AA13" i="28"/>
  <c r="AA14" i="28"/>
  <c r="AA15" i="28"/>
  <c r="AA16" i="28"/>
  <c r="AA17" i="28"/>
  <c r="AA18" i="28"/>
  <c r="AA19" i="28"/>
  <c r="AA20" i="28"/>
  <c r="AA21" i="28"/>
  <c r="AA22" i="28"/>
  <c r="AA23" i="28"/>
  <c r="AA24" i="28"/>
  <c r="AA25" i="28"/>
  <c r="AA26" i="28"/>
  <c r="AA27" i="28"/>
  <c r="AA28" i="28"/>
  <c r="AA29" i="28"/>
  <c r="AA30" i="28"/>
  <c r="AA31" i="28"/>
  <c r="AA32" i="28"/>
  <c r="AA33" i="28"/>
  <c r="AA34" i="28"/>
  <c r="AA35" i="28"/>
  <c r="AA36" i="28"/>
  <c r="AA37" i="28"/>
  <c r="AA38" i="28"/>
  <c r="AA39" i="28"/>
  <c r="AA40" i="28"/>
  <c r="AA41" i="28"/>
  <c r="C31" i="19" l="1"/>
  <c r="C33" i="19"/>
  <c r="I11" i="6" l="1"/>
  <c r="B26" i="6"/>
  <c r="B25" i="6"/>
  <c r="B16" i="4" l="1"/>
  <c r="B11" i="4" l="1"/>
  <c r="D44" i="28" l="1"/>
  <c r="G48" i="28"/>
  <c r="H47" i="28"/>
  <c r="I47" i="28" s="1"/>
  <c r="H41" i="15" l="1"/>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M7" i="26" l="1"/>
  <c r="K18" i="26" l="1"/>
  <c r="K19" i="26" l="1"/>
  <c r="B15" i="4" l="1"/>
  <c r="J50" i="29" l="1"/>
  <c r="M50" i="29"/>
  <c r="L50" i="29"/>
  <c r="K50" i="29"/>
  <c r="I50" i="29"/>
  <c r="H50" i="29"/>
  <c r="E60" i="15" l="1"/>
  <c r="G50" i="29" l="1"/>
  <c r="F50" i="29"/>
  <c r="S31" i="29"/>
  <c r="S30" i="29"/>
  <c r="S29" i="29"/>
  <c r="S28" i="29"/>
  <c r="S27" i="29"/>
  <c r="S26" i="29"/>
  <c r="S25" i="29"/>
  <c r="S32" i="29"/>
  <c r="S24" i="29"/>
  <c r="E50" i="29"/>
  <c r="D50" i="29"/>
  <c r="B50" i="29"/>
  <c r="S2" i="29" l="1"/>
  <c r="S3" i="29"/>
  <c r="S4" i="29"/>
  <c r="S5" i="29"/>
  <c r="S6" i="29"/>
  <c r="S7" i="29"/>
  <c r="S8" i="29"/>
  <c r="S9" i="29"/>
  <c r="S10" i="29"/>
  <c r="S11" i="29"/>
  <c r="S12" i="29"/>
  <c r="S13" i="29"/>
  <c r="S14" i="29"/>
  <c r="S15" i="29"/>
  <c r="S16" i="29"/>
  <c r="S17" i="29"/>
  <c r="S18" i="29"/>
  <c r="S19" i="29"/>
  <c r="S20" i="29"/>
  <c r="S21" i="29"/>
  <c r="S22" i="29"/>
  <c r="S23" i="29"/>
  <c r="S33" i="29"/>
  <c r="S34" i="29"/>
  <c r="S35" i="29"/>
  <c r="S36" i="29"/>
  <c r="S37" i="29"/>
  <c r="S38" i="29"/>
  <c r="S39" i="29"/>
  <c r="S40" i="29"/>
  <c r="S41" i="29"/>
  <c r="S42" i="29"/>
  <c r="S43" i="29"/>
  <c r="S44" i="29"/>
  <c r="S45" i="29"/>
  <c r="S46" i="29"/>
  <c r="S47" i="29"/>
  <c r="S48" i="29"/>
  <c r="S49" i="29"/>
  <c r="C50" i="29"/>
  <c r="AT4" i="28" l="1"/>
  <c r="Z41" i="28" l="1"/>
  <c r="Z40" i="28"/>
  <c r="Z8" i="28"/>
  <c r="Z39" i="28"/>
  <c r="Z38" i="28"/>
  <c r="Z37" i="28"/>
  <c r="Z36" i="28"/>
  <c r="Z35" i="28"/>
  <c r="Z34" i="28"/>
  <c r="Z33" i="28"/>
  <c r="Z10" i="28"/>
  <c r="Z32" i="28"/>
  <c r="Z31" i="28"/>
  <c r="Z9" i="28"/>
  <c r="Z30" i="28"/>
  <c r="Z29" i="28"/>
  <c r="Z28" i="28"/>
  <c r="Z27" i="28"/>
  <c r="Z26" i="28"/>
  <c r="Z5" i="28"/>
  <c r="Z25" i="28"/>
  <c r="Z4" i="28"/>
  <c r="Z7" i="28"/>
  <c r="Z24" i="28"/>
  <c r="Z3" i="28"/>
  <c r="Z2" i="28"/>
  <c r="Z23" i="28"/>
  <c r="Z6" i="28"/>
  <c r="X41" i="28"/>
  <c r="X40" i="28"/>
  <c r="X8" i="28"/>
  <c r="X39" i="28"/>
  <c r="X38" i="28"/>
  <c r="X37" i="28"/>
  <c r="X36" i="28"/>
  <c r="X35" i="28"/>
  <c r="X34" i="28"/>
  <c r="X33" i="28"/>
  <c r="X10" i="28"/>
  <c r="X32" i="28"/>
  <c r="X31" i="28"/>
  <c r="X9" i="28"/>
  <c r="X30" i="28"/>
  <c r="X29" i="28"/>
  <c r="X28" i="28"/>
  <c r="X27" i="28"/>
  <c r="X26" i="28"/>
  <c r="X5" i="28"/>
  <c r="X25" i="28"/>
  <c r="X4" i="28"/>
  <c r="X7" i="28"/>
  <c r="X24" i="28"/>
  <c r="X3" i="28"/>
  <c r="X2" i="28"/>
  <c r="X23" i="28"/>
  <c r="X6" i="28"/>
  <c r="V41" i="28"/>
  <c r="AN41" i="28" s="1"/>
  <c r="V40" i="28"/>
  <c r="AN40" i="28" s="1"/>
  <c r="V8" i="28"/>
  <c r="AN8" i="28" s="1"/>
  <c r="V39" i="28"/>
  <c r="AN39" i="28" s="1"/>
  <c r="V38" i="28"/>
  <c r="AN38" i="28" s="1"/>
  <c r="V37" i="28"/>
  <c r="AN37" i="28" s="1"/>
  <c r="V36" i="28"/>
  <c r="AN36" i="28" s="1"/>
  <c r="V35" i="28"/>
  <c r="AN35" i="28" s="1"/>
  <c r="V34" i="28"/>
  <c r="AN34" i="28" s="1"/>
  <c r="V33" i="28"/>
  <c r="AN33" i="28" s="1"/>
  <c r="V10" i="28"/>
  <c r="AN10" i="28" s="1"/>
  <c r="V32" i="28"/>
  <c r="AN32" i="28" s="1"/>
  <c r="V31" i="28"/>
  <c r="AN31" i="28" s="1"/>
  <c r="V9" i="28"/>
  <c r="AN9" i="28" s="1"/>
  <c r="V30" i="28"/>
  <c r="AN30" i="28" s="1"/>
  <c r="V29" i="28"/>
  <c r="AN29" i="28" s="1"/>
  <c r="V28" i="28"/>
  <c r="AN28" i="28" s="1"/>
  <c r="V27" i="28"/>
  <c r="AN27" i="28" s="1"/>
  <c r="V26" i="28"/>
  <c r="AN26" i="28" s="1"/>
  <c r="V5" i="28"/>
  <c r="AN5" i="28" s="1"/>
  <c r="V25" i="28"/>
  <c r="AN25" i="28" s="1"/>
  <c r="V4" i="28"/>
  <c r="AN4" i="28" s="1"/>
  <c r="V7" i="28"/>
  <c r="AN7" i="28" s="1"/>
  <c r="V24" i="28"/>
  <c r="AN24" i="28" s="1"/>
  <c r="V3" i="28"/>
  <c r="AN3" i="28" s="1"/>
  <c r="V2" i="28"/>
  <c r="AN2" i="28" s="1"/>
  <c r="V23" i="28"/>
  <c r="AN23" i="28" s="1"/>
  <c r="V6" i="28"/>
  <c r="T41" i="28"/>
  <c r="T40" i="28"/>
  <c r="T8" i="28"/>
  <c r="T39" i="28"/>
  <c r="T38" i="28"/>
  <c r="T37" i="28"/>
  <c r="T36" i="28"/>
  <c r="T35" i="28"/>
  <c r="T34" i="28"/>
  <c r="T33" i="28"/>
  <c r="T10" i="28"/>
  <c r="T32" i="28"/>
  <c r="T31" i="28"/>
  <c r="T9" i="28"/>
  <c r="T30" i="28"/>
  <c r="T29" i="28"/>
  <c r="T28" i="28"/>
  <c r="T27" i="28"/>
  <c r="T26" i="28"/>
  <c r="T5" i="28"/>
  <c r="T25" i="28"/>
  <c r="T4" i="28"/>
  <c r="T7" i="28"/>
  <c r="T24" i="28"/>
  <c r="T3" i="28"/>
  <c r="T2" i="28"/>
  <c r="T23" i="28"/>
  <c r="T6" i="28"/>
  <c r="P41" i="28"/>
  <c r="P40" i="28"/>
  <c r="P8" i="28"/>
  <c r="P39" i="28"/>
  <c r="P38" i="28"/>
  <c r="P37" i="28"/>
  <c r="P36" i="28"/>
  <c r="P35" i="28"/>
  <c r="P34" i="28"/>
  <c r="P33" i="28"/>
  <c r="P10" i="28"/>
  <c r="P32" i="28"/>
  <c r="P31" i="28"/>
  <c r="P9" i="28"/>
  <c r="P30" i="28"/>
  <c r="P29" i="28"/>
  <c r="P28" i="28"/>
  <c r="P27" i="28"/>
  <c r="P26" i="28"/>
  <c r="P5" i="28"/>
  <c r="P25" i="28"/>
  <c r="P4" i="28"/>
  <c r="P7" i="28"/>
  <c r="P24" i="28"/>
  <c r="P3" i="28"/>
  <c r="P2" i="28"/>
  <c r="P23" i="28"/>
  <c r="P6" i="28"/>
  <c r="R41" i="28"/>
  <c r="R40" i="28"/>
  <c r="R8" i="28"/>
  <c r="R39" i="28"/>
  <c r="R38" i="28"/>
  <c r="R37" i="28"/>
  <c r="R36" i="28"/>
  <c r="R35" i="28"/>
  <c r="R34" i="28"/>
  <c r="R33" i="28"/>
  <c r="R10" i="28"/>
  <c r="R32" i="28"/>
  <c r="R31" i="28"/>
  <c r="R9" i="28"/>
  <c r="R30" i="28"/>
  <c r="R29" i="28"/>
  <c r="R28" i="28"/>
  <c r="R27" i="28"/>
  <c r="R26" i="28"/>
  <c r="R5" i="28"/>
  <c r="R25" i="28"/>
  <c r="R4" i="28"/>
  <c r="R7" i="28"/>
  <c r="R24" i="28"/>
  <c r="R3" i="28"/>
  <c r="R2" i="28"/>
  <c r="R23" i="28"/>
  <c r="R6" i="28"/>
  <c r="O6" i="29" l="1"/>
  <c r="O47" i="29"/>
  <c r="O3" i="29"/>
  <c r="O15" i="29"/>
  <c r="O41" i="29"/>
  <c r="O20" i="29"/>
  <c r="O34" i="29"/>
  <c r="O38" i="29"/>
  <c r="O35" i="29"/>
  <c r="O49" i="29"/>
  <c r="O22" i="29"/>
  <c r="O8" i="29"/>
  <c r="O46" i="29"/>
  <c r="O14" i="29"/>
  <c r="O18" i="29"/>
  <c r="O7" i="29"/>
  <c r="O36" i="29"/>
  <c r="O48" i="29"/>
  <c r="O12" i="29"/>
  <c r="O17" i="29"/>
  <c r="O21" i="29"/>
  <c r="O2" i="29"/>
  <c r="O9" i="29"/>
  <c r="AN6" i="28"/>
  <c r="O32" i="29"/>
  <c r="O10" i="29"/>
  <c r="O39" i="29"/>
  <c r="O30" i="29"/>
  <c r="O28" i="29"/>
  <c r="O26" i="29"/>
  <c r="O11" i="29"/>
  <c r="O23" i="29"/>
  <c r="O16" i="29"/>
  <c r="O31" i="29"/>
  <c r="O29" i="29"/>
  <c r="O27" i="29"/>
  <c r="O25" i="29"/>
  <c r="O24" i="29"/>
  <c r="O5" i="29"/>
  <c r="O13" i="29"/>
  <c r="O42" i="29"/>
  <c r="O43" i="29"/>
  <c r="O19" i="29"/>
  <c r="O40" i="29"/>
  <c r="O44" i="29"/>
  <c r="O4" i="29"/>
  <c r="O33" i="29"/>
  <c r="O37" i="29"/>
  <c r="O45" i="29"/>
  <c r="R37" i="29" l="1"/>
  <c r="T37" i="29" s="1"/>
  <c r="P37" i="29"/>
  <c r="R40" i="29"/>
  <c r="T40" i="29" s="1"/>
  <c r="P40" i="29"/>
  <c r="R13" i="29"/>
  <c r="T13" i="29" s="1"/>
  <c r="P13" i="29"/>
  <c r="P27" i="29"/>
  <c r="R27" i="29"/>
  <c r="T27" i="29" s="1"/>
  <c r="R23" i="29"/>
  <c r="T23" i="29" s="1"/>
  <c r="P23" i="29"/>
  <c r="P30" i="29"/>
  <c r="R30" i="29"/>
  <c r="T30" i="29" s="1"/>
  <c r="R17" i="29"/>
  <c r="T17" i="29" s="1"/>
  <c r="P17" i="29"/>
  <c r="R7" i="29"/>
  <c r="T7" i="29" s="1"/>
  <c r="P7" i="29"/>
  <c r="R8" i="29"/>
  <c r="T8" i="29" s="1"/>
  <c r="P8" i="29"/>
  <c r="R38" i="29"/>
  <c r="T38" i="29" s="1"/>
  <c r="P38" i="29"/>
  <c r="R15" i="29"/>
  <c r="T15" i="29" s="1"/>
  <c r="P15" i="29"/>
  <c r="R33" i="29"/>
  <c r="T33" i="29" s="1"/>
  <c r="P33" i="29"/>
  <c r="R19" i="29"/>
  <c r="T19" i="29" s="1"/>
  <c r="P19" i="29"/>
  <c r="R5" i="29"/>
  <c r="T5" i="29" s="1"/>
  <c r="P5" i="29"/>
  <c r="P29" i="29"/>
  <c r="R29" i="29"/>
  <c r="T29" i="29" s="1"/>
  <c r="R11" i="29"/>
  <c r="T11" i="29" s="1"/>
  <c r="P11" i="29"/>
  <c r="R39" i="29"/>
  <c r="T39" i="29" s="1"/>
  <c r="P39" i="29"/>
  <c r="R9" i="29"/>
  <c r="T9" i="29" s="1"/>
  <c r="P9" i="29"/>
  <c r="R12" i="29"/>
  <c r="T12" i="29" s="1"/>
  <c r="P12" i="29"/>
  <c r="R18" i="29"/>
  <c r="T18" i="29" s="1"/>
  <c r="P18" i="29"/>
  <c r="R22" i="29"/>
  <c r="T22" i="29" s="1"/>
  <c r="P22" i="29"/>
  <c r="R34" i="29"/>
  <c r="T34" i="29" s="1"/>
  <c r="P34" i="29"/>
  <c r="P3" i="29"/>
  <c r="R45" i="29"/>
  <c r="T45" i="29" s="1"/>
  <c r="P45" i="29"/>
  <c r="P4" i="29"/>
  <c r="R43" i="29"/>
  <c r="T43" i="29" s="1"/>
  <c r="P43" i="29"/>
  <c r="P24" i="29"/>
  <c r="R24" i="29"/>
  <c r="T24" i="29" s="1"/>
  <c r="P31" i="29"/>
  <c r="R31" i="29"/>
  <c r="T31" i="29" s="1"/>
  <c r="P26" i="29"/>
  <c r="R26" i="29"/>
  <c r="T26" i="29" s="1"/>
  <c r="R10" i="29"/>
  <c r="T10" i="29" s="1"/>
  <c r="P10" i="29"/>
  <c r="P2" i="29"/>
  <c r="R48" i="29"/>
  <c r="T48" i="29" s="1"/>
  <c r="P48" i="29"/>
  <c r="R14" i="29"/>
  <c r="T14" i="29" s="1"/>
  <c r="P14" i="29"/>
  <c r="R49" i="29"/>
  <c r="T49" i="29" s="1"/>
  <c r="P49" i="29"/>
  <c r="R20" i="29"/>
  <c r="T20" i="29" s="1"/>
  <c r="P20" i="29"/>
  <c r="R47" i="29"/>
  <c r="T47" i="29" s="1"/>
  <c r="P47" i="29"/>
  <c r="R44" i="29"/>
  <c r="T44" i="29" s="1"/>
  <c r="P44" i="29"/>
  <c r="R42" i="29"/>
  <c r="T42" i="29" s="1"/>
  <c r="P42" i="29"/>
  <c r="P25" i="29"/>
  <c r="R25" i="29"/>
  <c r="T25" i="29" s="1"/>
  <c r="R16" i="29"/>
  <c r="T16" i="29" s="1"/>
  <c r="P16" i="29"/>
  <c r="P28" i="29"/>
  <c r="R28" i="29"/>
  <c r="T28" i="29" s="1"/>
  <c r="P32" i="29"/>
  <c r="R32" i="29"/>
  <c r="T32" i="29" s="1"/>
  <c r="R21" i="29"/>
  <c r="T21" i="29" s="1"/>
  <c r="P21" i="29"/>
  <c r="R36" i="29"/>
  <c r="T36" i="29" s="1"/>
  <c r="P36" i="29"/>
  <c r="R46" i="29"/>
  <c r="T46" i="29" s="1"/>
  <c r="P46" i="29"/>
  <c r="R35" i="29"/>
  <c r="T35" i="29" s="1"/>
  <c r="P35" i="29"/>
  <c r="R41" i="29"/>
  <c r="T41" i="29" s="1"/>
  <c r="P41" i="29"/>
  <c r="R6" i="29"/>
  <c r="T6" i="29" s="1"/>
  <c r="P6" i="29"/>
  <c r="F3" i="15" l="1"/>
  <c r="H3" i="15"/>
  <c r="F4" i="15"/>
  <c r="H4" i="15"/>
  <c r="F5" i="15"/>
  <c r="H5" i="15"/>
  <c r="I15" i="6" l="1"/>
  <c r="I6" i="6"/>
  <c r="G46" i="19" l="1"/>
  <c r="M34" i="6"/>
  <c r="AM41" i="28" l="1"/>
  <c r="AH41" i="28"/>
  <c r="AD41" i="28"/>
  <c r="AB41" i="28"/>
  <c r="AM40" i="28"/>
  <c r="AH40" i="28"/>
  <c r="AD40" i="28"/>
  <c r="AB40" i="28"/>
  <c r="AM8" i="28"/>
  <c r="AH8" i="28"/>
  <c r="M2" i="29" s="1"/>
  <c r="AD8" i="28"/>
  <c r="M4" i="29" s="1"/>
  <c r="AB8" i="28"/>
  <c r="AM39" i="28"/>
  <c r="AH39" i="28"/>
  <c r="AD39" i="28"/>
  <c r="AB39" i="28"/>
  <c r="AM38" i="28"/>
  <c r="AH38" i="28"/>
  <c r="C2" i="29" s="1"/>
  <c r="AD38" i="28"/>
  <c r="C4" i="29" s="1"/>
  <c r="AB38" i="28"/>
  <c r="AM37" i="28"/>
  <c r="AH37" i="28"/>
  <c r="AD37" i="28"/>
  <c r="AB37" i="28"/>
  <c r="AM36" i="28"/>
  <c r="AH36" i="28"/>
  <c r="B2" i="29" s="1"/>
  <c r="AD36" i="28"/>
  <c r="B4" i="29" s="1"/>
  <c r="AB36" i="28"/>
  <c r="AM35" i="28"/>
  <c r="AH35" i="28"/>
  <c r="AD35" i="28"/>
  <c r="AB35" i="28"/>
  <c r="AM34" i="28"/>
  <c r="AH34" i="28"/>
  <c r="AD34" i="28"/>
  <c r="AB34" i="28"/>
  <c r="AM33" i="28"/>
  <c r="AH33" i="28"/>
  <c r="AD33" i="28"/>
  <c r="AB33" i="28"/>
  <c r="AM10" i="28"/>
  <c r="AH10" i="28"/>
  <c r="L2" i="29" s="1"/>
  <c r="AD10" i="28"/>
  <c r="L4" i="29" s="1"/>
  <c r="AB10" i="28"/>
  <c r="AM32" i="28"/>
  <c r="AH32" i="28"/>
  <c r="AD32" i="28"/>
  <c r="AB32" i="28"/>
  <c r="AM31" i="28"/>
  <c r="AH31" i="28"/>
  <c r="AD31" i="28"/>
  <c r="AB31" i="28"/>
  <c r="AM9" i="28"/>
  <c r="AH9" i="28"/>
  <c r="K2" i="29" s="1"/>
  <c r="AD9" i="28"/>
  <c r="K4" i="29" s="1"/>
  <c r="AB9" i="28"/>
  <c r="AM30" i="28"/>
  <c r="AH30" i="28"/>
  <c r="D2" i="29" s="1"/>
  <c r="AD30" i="28"/>
  <c r="D4" i="29" s="1"/>
  <c r="AB30" i="28"/>
  <c r="AM29" i="28"/>
  <c r="AH29" i="28"/>
  <c r="AD29" i="28"/>
  <c r="AB29" i="28"/>
  <c r="AM28" i="28"/>
  <c r="AH28" i="28"/>
  <c r="AD28" i="28"/>
  <c r="AB28" i="28"/>
  <c r="AM27" i="28"/>
  <c r="AH27" i="28"/>
  <c r="AD27" i="28"/>
  <c r="AB27" i="28"/>
  <c r="AM26" i="28"/>
  <c r="AH26" i="28"/>
  <c r="AD26" i="28"/>
  <c r="AB26" i="28"/>
  <c r="AM5" i="28"/>
  <c r="AH5" i="28"/>
  <c r="H2" i="29" s="1"/>
  <c r="AD5" i="28"/>
  <c r="H4" i="29" s="1"/>
  <c r="AB5" i="28"/>
  <c r="AM25" i="28"/>
  <c r="AH25" i="28"/>
  <c r="AD25" i="28"/>
  <c r="AB25" i="28"/>
  <c r="AM4" i="28"/>
  <c r="AH4" i="28"/>
  <c r="G2" i="29" s="1"/>
  <c r="AD4" i="28"/>
  <c r="G4" i="29" s="1"/>
  <c r="AB4" i="28"/>
  <c r="AM7" i="28"/>
  <c r="AH7" i="28"/>
  <c r="J2" i="29" s="1"/>
  <c r="AD7" i="28"/>
  <c r="J4" i="29" s="1"/>
  <c r="AB7" i="28"/>
  <c r="AM24" i="28"/>
  <c r="AH24" i="28"/>
  <c r="AD24" i="28"/>
  <c r="AB24" i="28"/>
  <c r="AM3" i="28"/>
  <c r="AH3" i="28"/>
  <c r="F2" i="29" s="1"/>
  <c r="AD3" i="28"/>
  <c r="F4" i="29" s="1"/>
  <c r="AB3" i="28"/>
  <c r="AM2" i="28"/>
  <c r="AH2" i="28"/>
  <c r="E2" i="29" s="1"/>
  <c r="AD2" i="28"/>
  <c r="E4" i="29" s="1"/>
  <c r="AB2" i="28"/>
  <c r="AM23" i="28"/>
  <c r="AH23" i="28"/>
  <c r="AD23" i="28"/>
  <c r="AB23" i="28"/>
  <c r="AM6" i="28"/>
  <c r="AH6" i="28"/>
  <c r="I2" i="29" s="1"/>
  <c r="R2" i="29" s="1"/>
  <c r="T2" i="29" s="1"/>
  <c r="AD6" i="28"/>
  <c r="I4" i="29" s="1"/>
  <c r="R4" i="29" s="1"/>
  <c r="T4" i="29" s="1"/>
  <c r="AB6" i="28"/>
  <c r="AT41" i="28" l="1"/>
  <c r="AT40" i="28"/>
  <c r="AT8" i="28"/>
  <c r="AT39" i="28"/>
  <c r="AT38" i="28"/>
  <c r="AT37" i="28"/>
  <c r="AT36" i="28"/>
  <c r="AT35" i="28"/>
  <c r="AT34" i="28"/>
  <c r="AT33" i="28"/>
  <c r="AT10" i="28"/>
  <c r="AT32" i="28"/>
  <c r="AT31" i="28"/>
  <c r="AT9" i="28"/>
  <c r="AT30" i="28"/>
  <c r="AT29" i="28"/>
  <c r="AT28" i="28"/>
  <c r="AT27" i="28"/>
  <c r="AT26" i="28"/>
  <c r="AT5" i="28"/>
  <c r="AT25" i="28"/>
  <c r="AT7" i="28"/>
  <c r="AT24" i="28"/>
  <c r="AT3" i="28"/>
  <c r="AT2" i="28"/>
  <c r="AT23" i="28"/>
  <c r="AT6" i="28"/>
  <c r="I13" i="6" l="1"/>
  <c r="I21" i="6"/>
  <c r="I10" i="6"/>
  <c r="AF25" i="28"/>
  <c r="AF4" i="28"/>
  <c r="G3" i="29" s="1"/>
  <c r="AF7" i="28"/>
  <c r="J3" i="29" s="1"/>
  <c r="AF24" i="28"/>
  <c r="AF3" i="28"/>
  <c r="F3" i="29" s="1"/>
  <c r="AF31" i="28"/>
  <c r="AF9" i="28"/>
  <c r="K3" i="29" s="1"/>
  <c r="AF30" i="28"/>
  <c r="D3" i="29" s="1"/>
  <c r="AF29" i="28"/>
  <c r="AF28" i="28"/>
  <c r="AF34" i="28"/>
  <c r="AF33" i="28"/>
  <c r="AF10" i="28"/>
  <c r="L3" i="29" s="1"/>
  <c r="I3" i="6"/>
  <c r="I9" i="6"/>
  <c r="AL37" i="28" l="1"/>
  <c r="AK37" i="28" s="1"/>
  <c r="AF37" i="28"/>
  <c r="AJ36" i="28"/>
  <c r="AF36" i="28"/>
  <c r="B3" i="29" s="1"/>
  <c r="AJ39" i="28"/>
  <c r="AF39" i="28"/>
  <c r="AJ38" i="28"/>
  <c r="AF38" i="28"/>
  <c r="C3" i="29" s="1"/>
  <c r="AJ35" i="28"/>
  <c r="AF35" i="28"/>
  <c r="AL8" i="28"/>
  <c r="AK8" i="28" s="1"/>
  <c r="AF8" i="28"/>
  <c r="M3" i="29" s="1"/>
  <c r="AL36" i="28"/>
  <c r="AK36" i="28" s="1"/>
  <c r="AJ37" i="28"/>
  <c r="AL35" i="28"/>
  <c r="AK35" i="28" s="1"/>
  <c r="AL39" i="28"/>
  <c r="AK39" i="28" s="1"/>
  <c r="AJ8" i="28"/>
  <c r="AL38" i="28"/>
  <c r="AK38" i="28" s="1"/>
  <c r="I20" i="6"/>
  <c r="I22" i="6"/>
  <c r="I19" i="6"/>
  <c r="I16" i="6"/>
  <c r="AL34" i="28" l="1"/>
  <c r="AK34" i="28" s="1"/>
  <c r="AL33" i="28"/>
  <c r="AK33" i="28" s="1"/>
  <c r="AL10" i="28"/>
  <c r="AK10" i="28" s="1"/>
  <c r="AL31" i="28"/>
  <c r="AK31" i="28" s="1"/>
  <c r="AL9" i="28"/>
  <c r="AK9" i="28" s="1"/>
  <c r="AL30" i="28"/>
  <c r="AK30" i="28" s="1"/>
  <c r="AL3" i="28"/>
  <c r="AK3" i="28" s="1"/>
  <c r="H46" i="28"/>
  <c r="I46" i="28" s="1"/>
  <c r="H45" i="28"/>
  <c r="I45" i="28" s="1"/>
  <c r="H44" i="28"/>
  <c r="I44" i="28" s="1"/>
  <c r="H48" i="28" l="1"/>
  <c r="I48" i="28" s="1"/>
  <c r="AL32" i="28"/>
  <c r="AK32" i="28" s="1"/>
  <c r="AF32" i="28"/>
  <c r="AL40" i="28"/>
  <c r="AK40" i="28" s="1"/>
  <c r="AF40" i="28"/>
  <c r="AL41" i="28"/>
  <c r="AK41" i="28" s="1"/>
  <c r="AF41" i="28"/>
  <c r="AL23" i="28"/>
  <c r="AK23" i="28" s="1"/>
  <c r="AF23" i="28"/>
  <c r="AL6" i="28"/>
  <c r="AK6" i="28" s="1"/>
  <c r="AF6" i="28"/>
  <c r="I3" i="29" s="1"/>
  <c r="R3" i="29" s="1"/>
  <c r="T3" i="29" s="1"/>
  <c r="AL2" i="28"/>
  <c r="AK2" i="28" s="1"/>
  <c r="AF2" i="28"/>
  <c r="E3" i="29" s="1"/>
  <c r="AJ40" i="28"/>
  <c r="AJ10" i="28"/>
  <c r="AJ30" i="28"/>
  <c r="AJ23" i="28"/>
  <c r="AJ32" i="28"/>
  <c r="AJ6" i="28"/>
  <c r="AJ34" i="28"/>
  <c r="AJ31" i="28"/>
  <c r="AJ3" i="28"/>
  <c r="AJ41" i="28"/>
  <c r="AJ33" i="28"/>
  <c r="AJ9" i="28"/>
  <c r="AJ2" i="28"/>
  <c r="B13" i="4" l="1"/>
  <c r="H13" i="6" l="1"/>
  <c r="J13" i="6" s="1"/>
  <c r="H20" i="6" l="1"/>
  <c r="J20" i="6" s="1"/>
  <c r="H19" i="6"/>
  <c r="J19" i="6" s="1"/>
  <c r="I10" i="26"/>
  <c r="L7" i="26" l="1"/>
  <c r="I4" i="6" l="1"/>
  <c r="C16" i="6" l="1"/>
  <c r="I8" i="6" l="1"/>
  <c r="I13" i="26" l="1"/>
  <c r="I11" i="26" l="1"/>
  <c r="AF26" i="28" l="1"/>
  <c r="AF5" i="28"/>
  <c r="H3" i="29" s="1"/>
  <c r="AF27" i="28"/>
  <c r="AL5" i="28" l="1"/>
  <c r="AK5" i="28" s="1"/>
  <c r="AJ5" i="28"/>
  <c r="AL24" i="28"/>
  <c r="AK24" i="28" s="1"/>
  <c r="AJ24" i="28"/>
  <c r="AL27" i="28"/>
  <c r="AK27" i="28" s="1"/>
  <c r="AJ27" i="28"/>
  <c r="AL26" i="28"/>
  <c r="AK26" i="28" s="1"/>
  <c r="AJ26" i="28"/>
  <c r="AL28" i="28" l="1"/>
  <c r="AK28" i="28" s="1"/>
  <c r="AJ28" i="28"/>
  <c r="AL29" i="28"/>
  <c r="AK29" i="28" s="1"/>
  <c r="AJ29" i="28"/>
  <c r="AL25" i="28"/>
  <c r="AK25" i="28" s="1"/>
  <c r="AJ25" i="28"/>
  <c r="AL7" i="28"/>
  <c r="AK7" i="28" s="1"/>
  <c r="AJ7" i="28"/>
  <c r="AL4" i="28"/>
  <c r="AK4" i="28" s="1"/>
  <c r="AJ4" i="28"/>
  <c r="G31" i="6" l="1"/>
  <c r="E12" i="4" s="1"/>
  <c r="I14" i="6" l="1"/>
  <c r="K7" i="26" l="1"/>
  <c r="J7" i="26" l="1"/>
  <c r="H7" i="26"/>
  <c r="I7" i="26"/>
  <c r="B44" i="15" l="1"/>
  <c r="H42" i="15" l="1"/>
  <c r="C16" i="4" l="1"/>
  <c r="C15" i="4"/>
  <c r="C14" i="4"/>
  <c r="C13" i="4"/>
  <c r="C12" i="4"/>
  <c r="C11" i="4"/>
  <c r="C11" i="6" l="1"/>
  <c r="H11" i="6"/>
  <c r="J11" i="6" s="1"/>
  <c r="E13" i="4"/>
  <c r="D10" i="15"/>
  <c r="E10" i="15" s="1"/>
  <c r="D3" i="15"/>
  <c r="E58" i="15"/>
  <c r="E56" i="15"/>
  <c r="E57" i="15"/>
  <c r="D40" i="26"/>
  <c r="D35" i="26"/>
  <c r="D33" i="26"/>
  <c r="D22" i="26"/>
  <c r="D32" i="26"/>
  <c r="D23" i="26"/>
  <c r="D20" i="26"/>
  <c r="D30" i="26"/>
  <c r="D41" i="26"/>
  <c r="D27" i="26"/>
  <c r="D25" i="26"/>
  <c r="D28" i="26"/>
  <c r="D14" i="26"/>
  <c r="D37" i="26"/>
  <c r="D15" i="26"/>
  <c r="D38" i="26"/>
  <c r="D29" i="26"/>
  <c r="D36" i="26"/>
  <c r="D26" i="26"/>
  <c r="D16" i="26"/>
  <c r="D19" i="26"/>
  <c r="D34" i="26"/>
  <c r="D21" i="26"/>
  <c r="D17" i="26"/>
  <c r="D24" i="26"/>
  <c r="D4" i="15"/>
  <c r="D21" i="15"/>
  <c r="E21" i="15" s="1"/>
  <c r="D35" i="15"/>
  <c r="E35" i="15" s="1"/>
  <c r="D7" i="15"/>
  <c r="E7" i="15" s="1"/>
  <c r="D28" i="15"/>
  <c r="E28" i="15" s="1"/>
  <c r="D41" i="15"/>
  <c r="E41" i="15" s="1"/>
  <c r="D29" i="15"/>
  <c r="E29" i="15" s="1"/>
  <c r="D43" i="15"/>
  <c r="E43" i="15" s="1"/>
  <c r="D16" i="15"/>
  <c r="E16" i="15" s="1"/>
  <c r="D32" i="15"/>
  <c r="E32" i="15" s="1"/>
  <c r="E14" i="4"/>
  <c r="E16" i="4" s="1"/>
  <c r="E15" i="4" s="1"/>
  <c r="D45" i="28"/>
  <c r="D48" i="28" s="1"/>
  <c r="E10" i="4" s="1"/>
  <c r="D8" i="15"/>
  <c r="E8" i="15" s="1"/>
  <c r="D22" i="15"/>
  <c r="E22" i="15" s="1"/>
  <c r="D18" i="15"/>
  <c r="E18" i="15" s="1"/>
  <c r="D15" i="15"/>
  <c r="E15" i="15" s="1"/>
  <c r="D13" i="15"/>
  <c r="E13" i="15" s="1"/>
  <c r="D19" i="15"/>
  <c r="E19" i="15" s="1"/>
  <c r="D30" i="15"/>
  <c r="E30" i="15" s="1"/>
  <c r="D42" i="15"/>
  <c r="E42" i="15" s="1"/>
  <c r="H16" i="6"/>
  <c r="J16" i="6" s="1"/>
  <c r="D34" i="15"/>
  <c r="E34" i="15" s="1"/>
  <c r="D5" i="15"/>
  <c r="D31" i="15"/>
  <c r="E31" i="15" s="1"/>
  <c r="D20" i="15"/>
  <c r="E20" i="15" s="1"/>
  <c r="D39" i="15"/>
  <c r="E39" i="15" s="1"/>
  <c r="D27" i="15"/>
  <c r="E27" i="15" s="1"/>
  <c r="D38" i="15"/>
  <c r="E38" i="15" s="1"/>
  <c r="D23" i="15"/>
  <c r="E23" i="15" s="1"/>
  <c r="D40" i="15"/>
  <c r="E40" i="15" s="1"/>
  <c r="D9" i="15"/>
  <c r="E9" i="15" s="1"/>
  <c r="E52" i="15"/>
  <c r="E47" i="15"/>
  <c r="E51" i="15"/>
  <c r="E55" i="15"/>
  <c r="E46" i="15"/>
  <c r="E54" i="15"/>
  <c r="E50" i="15"/>
  <c r="E45" i="15"/>
  <c r="E53" i="15"/>
  <c r="E48" i="15"/>
  <c r="D6" i="15"/>
  <c r="E6" i="15" s="1"/>
  <c r="D14" i="15"/>
  <c r="E14" i="15" s="1"/>
  <c r="D26" i="15"/>
  <c r="E26" i="15" s="1"/>
  <c r="D11" i="15"/>
  <c r="E11" i="15" s="1"/>
  <c r="D24" i="15"/>
  <c r="E24" i="15" s="1"/>
  <c r="D17" i="15"/>
  <c r="E17" i="15" s="1"/>
  <c r="D25" i="15"/>
  <c r="E25" i="15" s="1"/>
  <c r="D37" i="15"/>
  <c r="E37" i="15" s="1"/>
  <c r="D12" i="15"/>
  <c r="E12" i="15" s="1"/>
  <c r="D36" i="15"/>
  <c r="E36" i="15" s="1"/>
  <c r="D33" i="15"/>
  <c r="E33" i="15" s="1"/>
  <c r="C14" i="6"/>
  <c r="H15" i="6"/>
  <c r="J15" i="6" s="1"/>
  <c r="C15" i="6"/>
  <c r="C10" i="6"/>
  <c r="C9" i="6"/>
  <c r="H6" i="6"/>
  <c r="J6" i="6" s="1"/>
  <c r="H8" i="6"/>
  <c r="J8" i="6" s="1"/>
  <c r="H10" i="6"/>
  <c r="J10" i="6" s="1"/>
  <c r="H9" i="6"/>
  <c r="J9" i="6" s="1"/>
  <c r="H21" i="6"/>
  <c r="J21" i="6" s="1"/>
  <c r="H22" i="6"/>
  <c r="J22" i="6" s="1"/>
  <c r="H3" i="6"/>
  <c r="J3" i="6" s="1"/>
  <c r="H14" i="6"/>
  <c r="J14" i="6" s="1"/>
  <c r="H4" i="6"/>
  <c r="J4" i="6" s="1"/>
  <c r="I12" i="26"/>
  <c r="I14" i="26"/>
  <c r="D13" i="26"/>
  <c r="D9" i="26"/>
  <c r="D5" i="26"/>
  <c r="D12" i="26"/>
  <c r="D8" i="26"/>
  <c r="D4" i="26"/>
  <c r="D11" i="26"/>
  <c r="D7" i="26"/>
  <c r="D3" i="26"/>
  <c r="D10" i="26"/>
  <c r="D6" i="26"/>
  <c r="C8" i="6"/>
  <c r="I15" i="26"/>
  <c r="B10" i="4"/>
  <c r="H43" i="15"/>
  <c r="H6" i="15"/>
  <c r="E3" i="15" l="1"/>
  <c r="G3" i="15"/>
  <c r="I3" i="15" s="1"/>
  <c r="E4" i="15"/>
  <c r="G4" i="15"/>
  <c r="I4" i="15" s="1"/>
  <c r="E44" i="15"/>
  <c r="E5" i="15"/>
  <c r="G5" i="15"/>
  <c r="I5" i="15" s="1"/>
  <c r="G25" i="15"/>
  <c r="I25" i="15" s="1"/>
  <c r="G26" i="15"/>
  <c r="I26" i="15" s="1"/>
  <c r="G24" i="15" l="1"/>
  <c r="I24" i="15" l="1"/>
  <c r="G31" i="15" l="1"/>
  <c r="G8" i="15" l="1"/>
  <c r="G6" i="15"/>
  <c r="I6" i="15" s="1"/>
  <c r="G10" i="15"/>
  <c r="G16" i="15"/>
  <c r="G21" i="15"/>
  <c r="G28" i="15"/>
  <c r="I28" i="15" s="1"/>
  <c r="G43" i="15"/>
  <c r="G29" i="15"/>
  <c r="I29" i="15" s="1"/>
  <c r="G38" i="15"/>
  <c r="G19" i="15"/>
  <c r="G7" i="15"/>
  <c r="G17" i="15"/>
  <c r="G22" i="15"/>
  <c r="I31" i="15"/>
  <c r="G30" i="15"/>
  <c r="I30" i="15" s="1"/>
  <c r="G12" i="15"/>
  <c r="G42" i="15"/>
  <c r="G41" i="15"/>
  <c r="G37" i="15"/>
  <c r="G13" i="15"/>
  <c r="I13" i="15" s="1"/>
  <c r="G18" i="15"/>
  <c r="G23" i="15"/>
  <c r="G32" i="15"/>
  <c r="G14" i="15"/>
  <c r="G33" i="15"/>
  <c r="G36" i="15"/>
  <c r="G11" i="15"/>
  <c r="I11" i="15" s="1"/>
  <c r="G9" i="15"/>
  <c r="G15" i="15"/>
  <c r="G20" i="15"/>
  <c r="G27" i="15"/>
  <c r="G34" i="15"/>
  <c r="I34" i="15" s="1"/>
  <c r="G35" i="15"/>
  <c r="G40" i="15"/>
  <c r="I40" i="15" s="1"/>
  <c r="G39" i="15"/>
  <c r="I36" i="15" l="1"/>
  <c r="I12" i="15"/>
  <c r="I41" i="15"/>
  <c r="I9" i="15"/>
  <c r="I23" i="15"/>
  <c r="I7" i="15"/>
  <c r="I27" i="15"/>
  <c r="I15" i="15"/>
  <c r="I32" i="15"/>
  <c r="I18" i="15"/>
  <c r="I17" i="15"/>
  <c r="I19" i="15"/>
  <c r="I16" i="15"/>
  <c r="I39" i="15"/>
  <c r="I35" i="15"/>
  <c r="I14" i="15"/>
  <c r="I42" i="15"/>
  <c r="I43" i="15"/>
  <c r="I21" i="15"/>
  <c r="I33" i="15"/>
  <c r="I37" i="15"/>
  <c r="I20" i="15"/>
  <c r="I38"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00000000-0006-0000-0000-000001000000}">
      <text>
        <r>
          <rPr>
            <i/>
            <sz val="12"/>
            <color indexed="81"/>
            <rFont val="Times New Roman"/>
            <family val="1"/>
          </rPr>
          <t>bless +1
aid +1   haste +1
inspire courage +2
divine favor +1/3 lvls.
divine power [+2 var.]</t>
        </r>
      </text>
    </comment>
    <comment ref="B11" authorId="0" shapeId="0" xr:uid="{00000000-0006-0000-0000-000002000000}">
      <text>
        <r>
          <rPr>
            <i/>
            <sz val="12"/>
            <color indexed="81"/>
            <rFont val="Times New Roman"/>
            <family val="1"/>
          </rPr>
          <t>bull’s strength +4
divine power +6</t>
        </r>
      </text>
    </comment>
    <comment ref="E11" authorId="0" shapeId="0" xr:uid="{00000000-0006-0000-0000-000003000000}">
      <text>
        <r>
          <rPr>
            <sz val="12"/>
            <color indexed="81"/>
            <rFont val="Times New Roman"/>
            <family val="1"/>
          </rPr>
          <t>See PHB 162</t>
        </r>
      </text>
    </comment>
    <comment ref="E13" authorId="0" shapeId="0" xr:uid="{00000000-0006-0000-0000-000004000000}">
      <text>
        <r>
          <rPr>
            <sz val="12"/>
            <color indexed="81"/>
            <rFont val="Times New Roman"/>
            <family val="1"/>
          </rPr>
          <t>[(1 * 6 Martial Rogue) * 75%]
+ [(4 * 8 Red Knightpriest) * 75%]
+ [(10 * 8 Church Inquisitor) * 75%]
+ (15 * 0 Con)</t>
        </r>
      </text>
    </comment>
    <comment ref="E14" authorId="0" shapeId="0" xr:uid="{00000000-0006-0000-0000-000005000000}">
      <text>
        <r>
          <rPr>
            <i/>
            <sz val="12"/>
            <color indexed="81"/>
            <rFont val="Times New Roman"/>
            <family val="1"/>
          </rPr>
          <t>Luck of Heroes +1
Shield of Faith +2
haste +1</t>
        </r>
      </text>
    </comment>
    <comment ref="B15" authorId="0" shapeId="0" xr:uid="{00000000-0006-0000-0000-000006000000}">
      <text>
        <r>
          <rPr>
            <i/>
            <sz val="12"/>
            <color indexed="81"/>
            <rFont val="Times New Roman"/>
            <family val="1"/>
          </rPr>
          <t>owl’s wisdom +4</t>
        </r>
      </text>
    </comment>
    <comment ref="E15" authorId="0" shapeId="0" xr:uid="{00000000-0006-0000-0000-000007000000}">
      <text>
        <r>
          <rPr>
            <i/>
            <sz val="12"/>
            <color indexed="81"/>
            <rFont val="Times New Roman"/>
            <family val="1"/>
          </rPr>
          <t>Magic Vestment +1</t>
        </r>
      </text>
    </comment>
    <comment ref="B16" authorId="0" shapeId="0" xr:uid="{00000000-0006-0000-0000-000008000000}">
      <text>
        <r>
          <rPr>
            <sz val="12"/>
            <color indexed="81"/>
            <rFont val="Times New Roman"/>
            <family val="1"/>
          </rPr>
          <t>Ring of Charisma +2
Cloak of Charisma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sz val="12"/>
            <color indexed="81"/>
            <rFont val="Times New Roman"/>
            <family val="1"/>
          </rPr>
          <t xml:space="preserve">Luck of Heroes +1
</t>
        </r>
        <r>
          <rPr>
            <i/>
            <sz val="12"/>
            <color indexed="81"/>
            <rFont val="Times New Roman"/>
            <family val="1"/>
          </rPr>
          <t>nightshield +2
mass conviction +3</t>
        </r>
      </text>
    </comment>
    <comment ref="F4" authorId="0" shapeId="0" xr:uid="{00000000-0006-0000-0100-000002000000}">
      <text>
        <r>
          <rPr>
            <sz val="12"/>
            <color indexed="81"/>
            <rFont val="Times New Roman"/>
            <family val="1"/>
          </rPr>
          <t xml:space="preserve">Luck of Heroes +1
</t>
        </r>
        <r>
          <rPr>
            <i/>
            <sz val="12"/>
            <color indexed="81"/>
            <rFont val="Times New Roman"/>
            <family val="1"/>
          </rPr>
          <t>nightshield +2
mass conviction +3</t>
        </r>
      </text>
    </comment>
    <comment ref="F5" authorId="0" shapeId="0" xr:uid="{00000000-0006-0000-0100-000003000000}">
      <text>
        <r>
          <rPr>
            <sz val="12"/>
            <color indexed="81"/>
            <rFont val="Times New Roman"/>
            <family val="1"/>
          </rPr>
          <t xml:space="preserve">Luck of Heroes +1
</t>
        </r>
        <r>
          <rPr>
            <i/>
            <sz val="12"/>
            <color indexed="81"/>
            <rFont val="Times New Roman"/>
            <family val="1"/>
          </rPr>
          <t>nightshield +2
mass conviction +3</t>
        </r>
      </text>
    </comment>
    <comment ref="F13" authorId="0" shapeId="0" xr:uid="{00000000-0006-0000-0100-000004000000}">
      <text>
        <r>
          <rPr>
            <sz val="12"/>
            <color indexed="81"/>
            <rFont val="Times New Roman"/>
            <family val="1"/>
          </rPr>
          <t>Synergy bonuses
+2 Sense Motive
+2 Bluff</t>
        </r>
      </text>
    </comment>
    <comment ref="F24" authorId="0" shapeId="0" xr:uid="{00000000-0006-0000-0100-000005000000}">
      <text>
        <r>
          <rPr>
            <sz val="12"/>
            <color indexed="81"/>
            <rFont val="Times New Roman"/>
            <family val="1"/>
          </rPr>
          <t>+2 Educated</t>
        </r>
      </text>
    </comment>
    <comment ref="F26" authorId="0" shapeId="0" xr:uid="{00000000-0006-0000-0100-000006000000}">
      <text>
        <r>
          <rPr>
            <sz val="12"/>
            <color indexed="81"/>
            <rFont val="Times New Roman"/>
            <family val="1"/>
          </rPr>
          <t>+2 Educated</t>
        </r>
      </text>
    </comment>
    <comment ref="F37" authorId="0" shapeId="0" xr:uid="{00000000-0006-0000-0100-000007000000}">
      <text>
        <r>
          <rPr>
            <sz val="12"/>
            <color indexed="81"/>
            <rFont val="Times New Roman"/>
            <family val="1"/>
          </rPr>
          <t>Synergy bonuses
+2 Know (Arcana)</t>
        </r>
      </text>
    </comment>
    <comment ref="F38" authorId="0" shapeId="0" xr:uid="{00000000-0006-0000-0100-000008000000}">
      <text>
        <r>
          <rPr>
            <sz val="12"/>
            <color indexed="81"/>
            <rFont val="Times New Roman"/>
            <family val="1"/>
          </rPr>
          <t>Scout’s Headband
MIC 132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10" authorId="0" shapeId="0" xr:uid="{00000000-0006-0000-0200-000001000000}">
      <text>
        <r>
          <rPr>
            <sz val="12"/>
            <color indexed="81"/>
            <rFont val="Times New Roman"/>
            <family val="1"/>
          </rPr>
          <t>Phosphorescent moss</t>
        </r>
      </text>
    </comment>
    <comment ref="E12" authorId="0" shapeId="0" xr:uid="{00000000-0006-0000-0200-000002000000}">
      <text>
        <r>
          <rPr>
            <sz val="12"/>
            <color indexed="81"/>
            <rFont val="Times New Roman"/>
            <family val="1"/>
          </rPr>
          <t>Copper wire</t>
        </r>
      </text>
    </comment>
    <comment ref="E15" authorId="0" shapeId="0" xr:uid="{00000000-0006-0000-0200-000003000000}">
      <text>
        <r>
          <rPr>
            <sz val="12"/>
            <color indexed="81"/>
            <rFont val="Times New Roman"/>
            <family val="1"/>
          </rPr>
          <t>Prism, lens, or monocle</t>
        </r>
      </text>
    </comment>
    <comment ref="E16" authorId="0" shapeId="0" xr:uid="{00000000-0006-0000-0200-000004000000}">
      <text>
        <r>
          <rPr>
            <sz val="12"/>
            <color indexed="81"/>
            <rFont val="Times New Roman"/>
            <family val="1"/>
          </rPr>
          <t>Miniature cloak</t>
        </r>
      </text>
    </comment>
    <comment ref="E24" authorId="0" shapeId="0" xr:uid="{00000000-0006-0000-0200-000005000000}">
      <text>
        <r>
          <rPr>
            <sz val="12"/>
            <color indexed="81"/>
            <rFont val="Times New Roman"/>
            <family val="1"/>
          </rPr>
          <t>Pure Water</t>
        </r>
      </text>
    </comment>
    <comment ref="E26" authorId="0" shapeId="0" xr:uid="{00000000-0006-0000-0200-000006000000}">
      <text>
        <r>
          <rPr>
            <sz val="12"/>
            <color indexed="81"/>
            <rFont val="Times New Roman"/>
            <family val="1"/>
          </rPr>
          <t>holy water, holy symbol, 100 XP</t>
        </r>
      </text>
    </comment>
    <comment ref="E29" authorId="0" shapeId="0" xr:uid="{00000000-0006-0000-0200-000007000000}">
      <text>
        <r>
          <rPr>
            <sz val="12"/>
            <color indexed="81"/>
            <rFont val="Times New Roman"/>
            <family val="1"/>
          </rPr>
          <t>Soot &amp; Salt</t>
        </r>
      </text>
    </comment>
    <comment ref="E32" authorId="0" shapeId="0" xr:uid="{00000000-0006-0000-0200-000008000000}">
      <text>
        <r>
          <rPr>
            <sz val="12"/>
            <color indexed="81"/>
            <rFont val="Times New Roman"/>
            <family val="1"/>
          </rPr>
          <t>Bacteria culture</t>
        </r>
      </text>
    </comment>
    <comment ref="E36" authorId="0" shapeId="0" xr:uid="{00000000-0006-0000-0200-000009000000}">
      <text>
        <r>
          <rPr>
            <sz val="12"/>
            <color indexed="81"/>
            <rFont val="Times New Roman"/>
            <family val="1"/>
          </rPr>
          <t>Earth from grave</t>
        </r>
      </text>
    </comment>
    <comment ref="E40" authorId="0" shapeId="0" xr:uid="{00000000-0006-0000-0200-00000A000000}">
      <text>
        <r>
          <rPr>
            <sz val="12"/>
            <color indexed="81"/>
            <rFont val="Times New Roman"/>
            <family val="1"/>
          </rPr>
          <t>powdered black gemstone</t>
        </r>
      </text>
    </comment>
    <comment ref="E52" authorId="0" shapeId="0" xr:uid="{00000000-0006-0000-0200-00000B000000}">
      <text>
        <r>
          <rPr>
            <sz val="12"/>
            <color indexed="81"/>
            <rFont val="Times New Roman"/>
            <family val="1"/>
          </rPr>
          <t>vial with the diluted poison from four separate venomous creatures</t>
        </r>
      </text>
    </comment>
    <comment ref="E54" authorId="0" shapeId="0" xr:uid="{00000000-0006-0000-0200-00000C000000}">
      <text>
        <r>
          <rPr>
            <sz val="12"/>
            <color indexed="81"/>
            <rFont val="Times New Roman"/>
            <family val="1"/>
          </rPr>
          <t>Pinch of dirt</t>
        </r>
      </text>
    </comment>
    <comment ref="E56" authorId="0" shapeId="0" xr:uid="{00000000-0006-0000-0200-00000D000000}">
      <text>
        <r>
          <rPr>
            <sz val="12"/>
            <color indexed="81"/>
            <rFont val="Times New Roman"/>
            <family val="1"/>
          </rPr>
          <t>Imbued weapon</t>
        </r>
      </text>
    </comment>
    <comment ref="E61" authorId="0" shapeId="0" xr:uid="{00000000-0006-0000-0200-00000E000000}">
      <text>
        <r>
          <rPr>
            <sz val="12"/>
            <color indexed="81"/>
            <rFont val="Times New Roman"/>
            <family val="1"/>
          </rPr>
          <t>Powdered silver</t>
        </r>
      </text>
    </comment>
    <comment ref="E64" authorId="0" shapeId="0" xr:uid="{00000000-0006-0000-0200-00000F000000}">
      <text>
        <r>
          <rPr>
            <sz val="12"/>
            <color indexed="81"/>
            <rFont val="Times New Roman"/>
            <family val="1"/>
          </rPr>
          <t>hair of unwilling humanoid</t>
        </r>
      </text>
    </comment>
    <comment ref="E66" authorId="0" shapeId="0" xr:uid="{00000000-0006-0000-0200-000010000000}">
      <text>
        <r>
          <rPr>
            <sz val="12"/>
            <color indexed="81"/>
            <rFont val="Times New Roman"/>
            <family val="1"/>
          </rPr>
          <t>Parchment w/ holy text</t>
        </r>
      </text>
    </comment>
    <comment ref="E68" authorId="0" shapeId="0" xr:uid="{00000000-0006-0000-0200-000011000000}">
      <text>
        <r>
          <rPr>
            <sz val="12"/>
            <color indexed="81"/>
            <rFont val="Times New Roman"/>
            <family val="1"/>
          </rPr>
          <t>a tear</t>
        </r>
      </text>
    </comment>
    <comment ref="E71" authorId="0" shapeId="0" xr:uid="{00000000-0006-0000-0200-000012000000}">
      <text>
        <r>
          <rPr>
            <sz val="12"/>
            <color indexed="81"/>
            <rFont val="Times New Roman"/>
            <family val="1"/>
          </rPr>
          <t>puffball mushroom</t>
        </r>
      </text>
    </comment>
    <comment ref="E72" authorId="0" shapeId="0" xr:uid="{00000000-0006-0000-0200-000013000000}">
      <text>
        <r>
          <rPr>
            <sz val="12"/>
            <rFont val="Times New Roman"/>
            <family val="1"/>
          </rPr>
          <t>Bag and candle</t>
        </r>
      </text>
    </comment>
    <comment ref="E73" authorId="0" shapeId="0" xr:uid="{00000000-0006-0000-0200-000014000000}">
      <text/>
    </comment>
    <comment ref="E74" authorId="0" shapeId="0" xr:uid="{00000000-0006-0000-0200-000015000000}">
      <text>
        <r>
          <rPr>
            <sz val="12"/>
            <color indexed="81"/>
            <rFont val="Times New Roman"/>
            <family val="1"/>
          </rPr>
          <t>drop of bile</t>
        </r>
      </text>
    </comment>
    <comment ref="E81" authorId="0" shapeId="0" xr:uid="{00000000-0006-0000-0200-000016000000}">
      <text>
        <r>
          <rPr>
            <sz val="12"/>
            <color indexed="81"/>
            <rFont val="Times New Roman"/>
            <family val="1"/>
          </rPr>
          <t>Crystal lens</t>
        </r>
      </text>
    </comment>
    <comment ref="E82" authorId="0" shapeId="0" xr:uid="{00000000-0006-0000-0200-000017000000}">
      <text>
        <r>
          <rPr>
            <sz val="12"/>
            <color indexed="81"/>
            <rFont val="Times New Roman"/>
            <family val="1"/>
          </rPr>
          <t>25 gp of sticks and bones</t>
        </r>
      </text>
    </comment>
    <comment ref="E92" authorId="0" shapeId="0" xr:uid="{00000000-0006-0000-0200-000018000000}">
      <text>
        <r>
          <rPr>
            <sz val="12"/>
            <color indexed="81"/>
            <rFont val="Times New Roman"/>
            <family val="1"/>
          </rPr>
          <t>Small thorn</t>
        </r>
      </text>
    </comment>
    <comment ref="E93" authorId="0" shapeId="0" xr:uid="{00000000-0006-0000-0200-000019000000}">
      <text>
        <r>
          <rPr>
            <sz val="12"/>
            <color indexed="81"/>
            <rFont val="Times New Roman"/>
            <family val="1"/>
          </rPr>
          <t>Bull-shit or bull-hair</t>
        </r>
      </text>
    </comment>
    <comment ref="E95" authorId="0" shapeId="0" xr:uid="{00000000-0006-0000-0200-00001A000000}">
      <text>
        <r>
          <rPr>
            <sz val="12"/>
            <color indexed="81"/>
            <rFont val="Times New Roman"/>
            <family val="1"/>
          </rPr>
          <t>Pinch of cat fur</t>
        </r>
      </text>
    </comment>
    <comment ref="E99" authorId="0" shapeId="0" xr:uid="{00000000-0006-0000-0200-00001B000000}">
      <text>
        <r>
          <rPr>
            <sz val="12"/>
            <color indexed="81"/>
            <rFont val="Times New Roman"/>
            <family val="1"/>
          </rPr>
          <t>Holy water, silver dust.</t>
        </r>
      </text>
    </comment>
    <comment ref="E103" authorId="0" shapeId="0" xr:uid="{00000000-0006-0000-0200-00001C000000}">
      <text/>
    </comment>
    <comment ref="E108" authorId="0" shapeId="0" xr:uid="{00000000-0006-0000-0200-00001D000000}">
      <text/>
    </comment>
    <comment ref="E113" authorId="0" shapeId="0" xr:uid="{00000000-0006-0000-0200-00001E000000}">
      <text>
        <r>
          <rPr>
            <sz val="12"/>
            <color indexed="81"/>
            <rFont val="Times New Roman"/>
            <family val="1"/>
          </rPr>
          <t>Eagle feathers or droppings</t>
        </r>
      </text>
    </comment>
    <comment ref="E119" authorId="0" shapeId="0" xr:uid="{00000000-0006-0000-0200-00001F000000}">
      <text>
        <r>
          <rPr>
            <sz val="12"/>
            <color indexed="81"/>
            <rFont val="Times New Roman"/>
            <family val="1"/>
          </rPr>
          <t>Snake scales</t>
        </r>
      </text>
    </comment>
    <comment ref="E122" authorId="0" shapeId="0" xr:uid="{00000000-0006-0000-0200-000020000000}">
      <text>
        <r>
          <rPr>
            <sz val="12"/>
            <color indexed="81"/>
            <rFont val="Times New Roman"/>
            <family val="1"/>
          </rPr>
          <t>Salt, copper pieces</t>
        </r>
      </text>
    </comment>
    <comment ref="E123" authorId="0" shapeId="0" xr:uid="{00000000-0006-0000-0200-000021000000}">
      <text>
        <r>
          <rPr>
            <sz val="12"/>
            <color indexed="81"/>
            <rFont val="Times New Roman"/>
            <family val="1"/>
          </rPr>
          <t>small mint leaf</t>
        </r>
      </text>
    </comment>
    <comment ref="E124" authorId="0" shapeId="0" xr:uid="{00000000-0006-0000-0200-000022000000}">
      <text>
        <r>
          <rPr>
            <sz val="12"/>
            <color indexed="81"/>
            <rFont val="Times New Roman"/>
            <family val="1"/>
          </rPr>
          <t>Iron or holy symbol</t>
        </r>
      </text>
    </comment>
    <comment ref="E128" authorId="0" shapeId="0" xr:uid="{00000000-0006-0000-0200-000023000000}">
      <text>
        <r>
          <rPr>
            <sz val="12"/>
            <color indexed="81"/>
            <rFont val="Times New Roman"/>
            <family val="1"/>
          </rPr>
          <t>A tiny iron statuette of a devil or imp, plus either a drop of the intended victim’s blood or one personal article belonging to the intended victim.</t>
        </r>
      </text>
    </comment>
    <comment ref="E136" authorId="0" shapeId="0" xr:uid="{00000000-0006-0000-0200-000024000000}">
      <text>
        <r>
          <rPr>
            <sz val="12"/>
            <color indexed="81"/>
            <rFont val="Times New Roman"/>
            <family val="1"/>
          </rPr>
          <t>Feathers or pinch of owl droppings</t>
        </r>
      </text>
    </comment>
    <comment ref="E137" authorId="0" shapeId="0" xr:uid="{00000000-0006-0000-0200-000025000000}">
      <text>
        <r>
          <rPr>
            <sz val="12"/>
            <color indexed="81"/>
            <rFont val="Times New Roman"/>
            <family val="1"/>
          </rPr>
          <t>Silver wire knot</t>
        </r>
      </text>
    </comment>
    <comment ref="E142" authorId="0" shapeId="0" xr:uid="{00000000-0006-0000-0200-000026000000}">
      <text>
        <r>
          <rPr>
            <sz val="12"/>
            <color indexed="81"/>
            <rFont val="Times New Roman"/>
            <family val="1"/>
          </rPr>
          <t>long needle and tiny glass bottle</t>
        </r>
      </text>
    </comment>
    <comment ref="E143" authorId="0" shapeId="0" xr:uid="{00000000-0006-0000-0200-000027000000}">
      <text/>
    </comment>
    <comment ref="E144" authorId="0" shapeId="0" xr:uid="{00000000-0006-0000-0200-000028000000}">
      <text>
        <r>
          <rPr>
            <sz val="12"/>
            <color indexed="81"/>
            <rFont val="Times New Roman"/>
            <family val="1"/>
          </rPr>
          <t>25 gp of sticks and bones</t>
        </r>
      </text>
    </comment>
    <comment ref="E147" authorId="0" shapeId="0" xr:uid="{00000000-0006-0000-0200-000029000000}">
      <text>
        <r>
          <rPr>
            <sz val="12"/>
            <color indexed="81"/>
            <rFont val="Times New Roman"/>
            <family val="1"/>
          </rPr>
          <t>Musical Instrument</t>
        </r>
      </text>
    </comment>
    <comment ref="A150" authorId="0" shapeId="0" xr:uid="{00000000-0006-0000-0200-00002A000000}">
      <text>
        <r>
          <rPr>
            <sz val="12"/>
            <rFont val="Times New Roman"/>
            <family val="1"/>
          </rPr>
          <t>Cleric level 2nd
Planning level 4th</t>
        </r>
      </text>
    </comment>
    <comment ref="E153" authorId="0" shapeId="0" xr:uid="{00000000-0006-0000-0200-00002B000000}">
      <text>
        <r>
          <rPr>
            <sz val="12"/>
            <rFont val="Times New Roman"/>
            <family val="1"/>
          </rPr>
          <t>Bag and candle</t>
        </r>
      </text>
    </comment>
    <comment ref="E154" authorId="0" shapeId="0" xr:uid="{00000000-0006-0000-0200-00002C000000}">
      <text/>
    </comment>
    <comment ref="E160" authorId="0" shapeId="0" xr:uid="{00000000-0006-0000-0200-00002D000000}">
      <text/>
    </comment>
    <comment ref="E162" authorId="0" shapeId="0" xr:uid="{00000000-0006-0000-0200-00002E000000}">
      <text>
        <r>
          <rPr>
            <sz val="12"/>
            <color indexed="81"/>
            <rFont val="Times New Roman"/>
            <family val="1"/>
          </rPr>
          <t>vial of water</t>
        </r>
      </text>
    </comment>
    <comment ref="E163" authorId="0" shapeId="0" xr:uid="{00000000-0006-0000-0200-00002F000000}">
      <text>
        <r>
          <rPr>
            <sz val="12"/>
            <color indexed="81"/>
            <rFont val="Times New Roman"/>
            <family val="1"/>
          </rPr>
          <t>Black onyx gem</t>
        </r>
      </text>
    </comment>
    <comment ref="E164" authorId="0" shapeId="0" xr:uid="{00000000-0006-0000-0200-000030000000}">
      <text>
        <r>
          <rPr>
            <sz val="12"/>
            <color indexed="81"/>
            <rFont val="Times New Roman"/>
            <family val="1"/>
          </rPr>
          <t>Stone earth from home plane</t>
        </r>
      </text>
    </comment>
    <comment ref="E166" authorId="0" shapeId="0" xr:uid="{00000000-0006-0000-0200-000031000000}">
      <text>
        <r>
          <rPr>
            <sz val="12"/>
            <color indexed="81"/>
            <rFont val="Times New Roman"/>
            <family val="1"/>
          </rPr>
          <t>ruby dust &amp; blood</t>
        </r>
      </text>
    </comment>
    <comment ref="E175" authorId="0" shapeId="0" xr:uid="{00000000-0006-0000-0200-000032000000}">
      <text>
        <r>
          <rPr>
            <sz val="12"/>
            <color indexed="81"/>
            <rFont val="Times New Roman"/>
            <family val="1"/>
          </rPr>
          <t>Small horn (hearing) or glass eye (seeing)</t>
        </r>
      </text>
    </comment>
    <comment ref="E180" authorId="0" shapeId="0" xr:uid="{00000000-0006-0000-0200-000033000000}">
      <text>
        <r>
          <rPr>
            <sz val="12"/>
            <color indexed="81"/>
            <rFont val="Times New Roman"/>
            <family val="1"/>
          </rPr>
          <t>Phosphorous, sulfur, or other combustible powder</t>
        </r>
      </text>
    </comment>
    <comment ref="E188" authorId="0" shapeId="0" xr:uid="{00000000-0006-0000-0200-000034000000}">
      <text>
        <r>
          <rPr>
            <sz val="12"/>
            <color indexed="81"/>
            <rFont val="Times New Roman"/>
            <family val="1"/>
          </rPr>
          <t>magic potion</t>
        </r>
      </text>
    </comment>
    <comment ref="E189" authorId="0" shapeId="0" xr:uid="{00000000-0006-0000-0200-000035000000}">
      <text>
        <r>
          <rPr>
            <sz val="12"/>
            <color indexed="81"/>
            <rFont val="Times New Roman"/>
            <family val="1"/>
          </rPr>
          <t>phosphorous</t>
        </r>
      </text>
    </comment>
    <comment ref="E193" authorId="0" shapeId="0" xr:uid="{00000000-0006-0000-0200-000036000000}">
      <text>
        <r>
          <rPr>
            <sz val="12"/>
            <color indexed="81"/>
            <rFont val="Times New Roman"/>
            <family val="1"/>
          </rPr>
          <t>Dumathoin symbol</t>
        </r>
      </text>
    </comment>
    <comment ref="E201" authorId="0" shapeId="0" xr:uid="{00000000-0006-0000-0200-000037000000}">
      <text>
        <r>
          <rPr>
            <sz val="12"/>
            <color indexed="81"/>
            <rFont val="Times New Roman"/>
            <family val="1"/>
          </rPr>
          <t>pebble found in a node</t>
        </r>
      </text>
    </comment>
    <comment ref="E202" authorId="0" shapeId="0" xr:uid="{00000000-0006-0000-0200-000038000000}">
      <text>
        <r>
          <rPr>
            <sz val="12"/>
            <color indexed="81"/>
            <rFont val="Times New Roman"/>
            <family val="1"/>
          </rPr>
          <t>Holy symbol</t>
        </r>
      </text>
    </comment>
    <comment ref="E203" authorId="0" shapeId="0" xr:uid="{00000000-0006-0000-0200-000039000000}">
      <text>
        <r>
          <rPr>
            <sz val="12"/>
            <color indexed="81"/>
            <rFont val="Times New Roman"/>
            <family val="1"/>
          </rPr>
          <t>Metal object with which to outline circle</t>
        </r>
      </text>
    </comment>
    <comment ref="E205" authorId="0" shapeId="0" xr:uid="{00000000-0006-0000-0200-00003A000000}">
      <text>
        <r>
          <rPr>
            <sz val="12"/>
            <color indexed="81"/>
            <rFont val="Times New Roman"/>
            <family val="1"/>
          </rPr>
          <t>leather strap soaked in caster’s blood</t>
        </r>
      </text>
    </comment>
    <comment ref="E208" authorId="0" shapeId="0" xr:uid="{00000000-0006-0000-0200-00003B000000}">
      <text>
        <r>
          <rPr>
            <sz val="12"/>
            <color indexed="81"/>
            <rFont val="Times New Roman"/>
            <family val="1"/>
          </rPr>
          <t>Chameleon skin</t>
        </r>
      </text>
    </comment>
    <comment ref="E217" authorId="0" shapeId="0" xr:uid="{00000000-0006-0000-0200-00003C000000}">
      <text>
        <r>
          <rPr>
            <sz val="12"/>
            <color indexed="81"/>
            <rFont val="Times New Roman"/>
            <family val="1"/>
          </rPr>
          <t>small dagger</t>
        </r>
      </text>
    </comment>
    <comment ref="E218" authorId="0" shapeId="0" xr:uid="{00000000-0006-0000-0200-00003D000000}">
      <text>
        <r>
          <rPr>
            <sz val="12"/>
            <color indexed="81"/>
            <rFont val="Times New Roman"/>
            <family val="1"/>
          </rPr>
          <t>leather strap soaked in human blood</t>
        </r>
      </text>
    </comment>
    <comment ref="E225" authorId="0" shapeId="0" xr:uid="{00000000-0006-0000-0200-00003E000000}">
      <text/>
    </comment>
    <comment ref="E227" authorId="0" shapeId="0" xr:uid="{00000000-0006-0000-0200-00003F000000}">
      <text>
        <r>
          <rPr>
            <sz val="12"/>
            <rFont val="Times New Roman"/>
            <family val="1"/>
          </rPr>
          <t>Bag and candle</t>
        </r>
      </text>
    </comment>
    <comment ref="E228" authorId="0" shapeId="0" xr:uid="{00000000-0006-0000-0200-000040000000}">
      <text>
        <r>
          <rPr>
            <sz val="12"/>
            <color indexed="81"/>
            <rFont val="Times New Roman"/>
            <family val="1"/>
          </rPr>
          <t>A tiny bag, a small (not lit) candle, and a carved bone from any humanoid.</t>
        </r>
      </text>
    </comment>
    <comment ref="E230" authorId="0" shapeId="0" xr:uid="{00000000-0006-0000-0200-000041000000}">
      <text>
        <r>
          <rPr>
            <sz val="12"/>
            <color indexed="81"/>
            <rFont val="Times New Roman"/>
            <family val="1"/>
          </rPr>
          <t>drop of bile &amp; bit of sulfur</t>
        </r>
      </text>
    </comment>
    <comment ref="E233" authorId="0" shapeId="0" xr:uid="{00000000-0006-0000-0200-000042000000}">
      <text>
        <r>
          <rPr>
            <sz val="12"/>
            <color indexed="81"/>
            <rFont val="Times New Roman"/>
            <family val="1"/>
          </rPr>
          <t>bone fragment of good-aligned creature</t>
        </r>
      </text>
    </comment>
    <comment ref="E234" authorId="0" shapeId="0" xr:uid="{00000000-0006-0000-0200-000043000000}">
      <text/>
    </comment>
    <comment ref="E235" authorId="0" shapeId="0" xr:uid="{00000000-0006-0000-0200-000044000000}">
      <text/>
    </comment>
    <comment ref="E236" authorId="0" shapeId="0" xr:uid="{00000000-0006-0000-0200-000045000000}">
      <text/>
    </comment>
    <comment ref="E238" authorId="0" shapeId="0" xr:uid="{00000000-0006-0000-0200-000046000000}">
      <text>
        <r>
          <rPr>
            <sz val="12"/>
            <color indexed="81"/>
            <rFont val="Times New Roman"/>
            <family val="1"/>
          </rPr>
          <t>heart of a dwarven child</t>
        </r>
      </text>
    </comment>
    <comment ref="E244" authorId="0" shapeId="0" xr:uid="{00000000-0006-0000-0200-000047000000}">
      <text>
        <r>
          <rPr>
            <sz val="12"/>
            <color indexed="81"/>
            <rFont val="Times New Roman"/>
            <family val="1"/>
          </rPr>
          <t>Flawless, 250-GP gemstone</t>
        </r>
      </text>
    </comment>
    <comment ref="E245" authorId="0" shapeId="0" xr:uid="{00000000-0006-0000-0200-000048000000}">
      <text>
        <r>
          <rPr>
            <sz val="12"/>
            <color indexed="81"/>
            <rFont val="Times New Roman"/>
            <family val="1"/>
          </rPr>
          <t>bird of prey talon</t>
        </r>
      </text>
    </comment>
    <comment ref="E254" authorId="0" shapeId="0" xr:uid="{00000000-0006-0000-0200-000049000000}">
      <text/>
    </comment>
    <comment ref="E260" authorId="0" shapeId="0" xr:uid="{00000000-0006-0000-0200-00004A000000}">
      <text>
        <r>
          <rPr>
            <sz val="12"/>
            <color indexed="81"/>
            <rFont val="Times New Roman"/>
            <family val="1"/>
          </rPr>
          <t>Item distasteful to target</t>
        </r>
      </text>
    </comment>
    <comment ref="E261" authorId="0" shapeId="0" xr:uid="{00000000-0006-0000-0200-00004B000000}">
      <text>
        <r>
          <rPr>
            <sz val="12"/>
            <color indexed="81"/>
            <rFont val="Times New Roman"/>
            <family val="1"/>
          </rPr>
          <t>Herbal inhalant applied under nostrils, smoked, or imbibed</t>
        </r>
      </text>
    </comment>
    <comment ref="E267" authorId="0" shapeId="0" xr:uid="{00000000-0006-0000-0200-00004C000000}">
      <text/>
    </comment>
    <comment ref="E277" authorId="0" shapeId="0" xr:uid="{00000000-0006-0000-0200-00004D000000}">
      <text>
        <r>
          <rPr>
            <sz val="12"/>
            <color indexed="81"/>
            <rFont val="Times New Roman"/>
            <family val="1"/>
          </rPr>
          <t>Item distasteful to target</t>
        </r>
      </text>
    </comment>
    <comment ref="E280" authorId="0" shapeId="0" xr:uid="{00000000-0006-0000-0200-00004E000000}">
      <text>
        <r>
          <rPr>
            <sz val="12"/>
            <color indexed="81"/>
            <rFont val="Times New Roman"/>
            <family val="1"/>
          </rPr>
          <t>Charcoal</t>
        </r>
      </text>
    </comment>
    <comment ref="E284" authorId="0" shapeId="0" xr:uid="{00000000-0006-0000-0200-00004F000000}">
      <text>
        <r>
          <rPr>
            <sz val="12"/>
            <color indexed="81"/>
            <rFont val="Times New Roman"/>
            <family val="1"/>
          </rPr>
          <t>humanoid brain tissue</t>
        </r>
      </text>
    </comment>
    <comment ref="E288" authorId="0" shapeId="0" xr:uid="{00000000-0006-0000-0200-000050000000}">
      <text/>
    </comment>
    <comment ref="E289" authorId="0" shapeId="0" xr:uid="{00000000-0006-0000-0200-000051000000}">
      <text>
        <r>
          <rPr>
            <sz val="12"/>
            <color indexed="81"/>
            <rFont val="Times New Roman"/>
            <family val="1"/>
          </rPr>
          <t>dandelion fluff and herbs</t>
        </r>
      </text>
    </comment>
    <comment ref="E290" authorId="0" shapeId="0" xr:uid="{00000000-0006-0000-0200-000052000000}">
      <text>
        <r>
          <rPr>
            <sz val="12"/>
            <color indexed="81"/>
            <rFont val="Times New Roman"/>
            <family val="1"/>
          </rPr>
          <t>Vial of holy water</t>
        </r>
      </text>
    </comment>
    <comment ref="E293" authorId="0" shapeId="0" xr:uid="{00000000-0006-0000-0200-000053000000}">
      <text/>
    </comment>
    <comment ref="E294" authorId="0" shapeId="0" xr:uid="{00000000-0006-0000-0200-000054000000}">
      <text>
        <r>
          <rPr>
            <sz val="12"/>
            <color indexed="81"/>
            <rFont val="Times New Roman"/>
            <family val="1"/>
          </rPr>
          <t>Parchment w/ holy text</t>
        </r>
      </text>
    </comment>
    <comment ref="A300" authorId="0" shapeId="0" xr:uid="{00000000-0006-0000-0200-000055000000}">
      <text>
        <r>
          <rPr>
            <sz val="12"/>
            <rFont val="Times New Roman"/>
            <family val="1"/>
          </rPr>
          <t>Cleric level 2nd
Planning level 4th</t>
        </r>
      </text>
    </comment>
    <comment ref="E302" authorId="0" shapeId="0" xr:uid="{00000000-0006-0000-0200-000056000000}">
      <text>
        <r>
          <rPr>
            <sz val="12"/>
            <rFont val="Times New Roman"/>
            <family val="1"/>
          </rPr>
          <t>Bag and candle</t>
        </r>
      </text>
    </comment>
    <comment ref="E303" authorId="0" shapeId="0" xr:uid="{00000000-0006-0000-0200-000057000000}">
      <text>
        <r>
          <rPr>
            <sz val="12"/>
            <color indexed="81"/>
            <rFont val="Times New Roman"/>
            <family val="1"/>
          </rPr>
          <t>A tiny bag, a small (not lit) candle, and a carved bone from any humanoid.</t>
        </r>
      </text>
    </comment>
    <comment ref="E304" authorId="0" shapeId="0" xr:uid="{00000000-0006-0000-0200-000058000000}">
      <text>
        <r>
          <rPr>
            <sz val="12"/>
            <color indexed="81"/>
            <rFont val="Times New Roman"/>
            <family val="1"/>
          </rPr>
          <t>flask of wine and loaf of bread</t>
        </r>
      </text>
    </comment>
    <comment ref="E306" authorId="0" shapeId="0" xr:uid="{00000000-0006-0000-0200-000059000000}">
      <text/>
    </comment>
    <comment ref="E308" authorId="0" shapeId="0" xr:uid="{00000000-0006-0000-0200-00005A000000}">
      <text>
        <r>
          <rPr>
            <sz val="12"/>
            <color indexed="81"/>
            <rFont val="Times New Roman"/>
            <family val="1"/>
          </rPr>
          <t>25 GPs' worth of powdered silver</t>
        </r>
      </text>
    </comment>
    <comment ref="E309" authorId="0" shapeId="0" xr:uid="{00000000-0006-0000-0200-00005B000000}">
      <text>
        <r>
          <rPr>
            <sz val="12"/>
            <color indexed="81"/>
            <rFont val="Times New Roman"/>
            <family val="1"/>
          </rPr>
          <t>handful of sand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K19" authorId="0" shapeId="0" xr:uid="{00000000-0006-0000-0300-000001000000}">
      <text>
        <r>
          <rPr>
            <sz val="12"/>
            <color indexed="81"/>
            <rFont val="Times New Roman"/>
            <family val="1"/>
          </rPr>
          <t>Ephod of Authority +1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hail from a land where the pen is held in higher regard than the sword.  In your youth, you received the benefit of formal schooling of some type.
</t>
        </r>
        <r>
          <rPr>
            <b/>
            <sz val="12"/>
            <color indexed="81"/>
            <rFont val="Times New Roman"/>
            <family val="1"/>
          </rPr>
          <t xml:space="preserve">Prerequisite:  </t>
        </r>
        <r>
          <rPr>
            <sz val="12"/>
            <color indexed="81"/>
            <rFont val="Times New Roman"/>
            <family val="1"/>
          </rPr>
          <t xml:space="preserve">Elf (Evermeet, Silverymoon, or Snow Eagle Aerie), gnome (Lantan), half-elf (Silverymoon), or human (Chessenta, Lantan, Silverymoon, or Waterdeep).
</t>
        </r>
        <r>
          <rPr>
            <b/>
            <sz val="12"/>
            <color indexed="81"/>
            <rFont val="Times New Roman"/>
            <family val="1"/>
          </rPr>
          <t xml:space="preserve">Benefit:  </t>
        </r>
        <r>
          <rPr>
            <sz val="12"/>
            <color indexed="81"/>
            <rFont val="Times New Roman"/>
            <family val="1"/>
          </rPr>
          <t xml:space="preserve">All Knowledge skills are class skills for your current and all your future classes.  You may also select two Knowledge skills to develop more fully.  You get a +2 bonus on all checks you make with those skills.  If you select a Knowledge skill in which you do not yet have ranks, you gain no immediate benefit, since Knowledge skills can be used only with training.  But the selection still represents your improved potential for that skill.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38</t>
        </r>
      </text>
    </comment>
    <comment ref="C2" authorId="0" shapeId="0" xr:uid="{00000000-0006-0000-0400-000002000000}">
      <text>
        <r>
          <rPr>
            <sz val="12"/>
            <color indexed="81"/>
            <rFont val="Times New Roman"/>
            <family val="1"/>
          </rPr>
          <t>A church inquisitor can use detect evil at will as a spell-like ability.
Complete Divine 26</t>
        </r>
      </text>
    </comment>
    <comment ref="A3" authorId="0" shapeId="0" xr:uid="{00000000-0006-0000-0400-000003000000}">
      <text>
        <r>
          <rPr>
            <sz val="12"/>
            <color indexed="81"/>
            <rFont val="Times New Roman"/>
            <family val="1"/>
          </rPr>
          <t xml:space="preserve">Your land is known for producing heroes.  Through pluck, determination, and resilience, your people survive when no one expects them to come through.
</t>
        </r>
        <r>
          <rPr>
            <b/>
            <sz val="12"/>
            <color indexed="81"/>
            <rFont val="Times New Roman"/>
            <family val="1"/>
          </rPr>
          <t xml:space="preserve">Regions:  </t>
        </r>
        <r>
          <rPr>
            <sz val="12"/>
            <color indexed="81"/>
            <rFont val="Times New Roman"/>
            <family val="1"/>
          </rPr>
          <t xml:space="preserve">Aglarond, Dalelands, Tethyr, the Vast.
</t>
        </r>
        <r>
          <rPr>
            <b/>
            <sz val="12"/>
            <color indexed="81"/>
            <rFont val="Times New Roman"/>
            <family val="1"/>
          </rPr>
          <t xml:space="preserve">Benefit:  </t>
        </r>
        <r>
          <rPr>
            <sz val="12"/>
            <color indexed="81"/>
            <rFont val="Times New Roman"/>
            <family val="1"/>
          </rPr>
          <t>You receive a +1 luck bonus on all saving throws and Armor Class.
FRCS 36</t>
        </r>
      </text>
    </comment>
    <comment ref="C3" authorId="0" shapeId="0" xr:uid="{00000000-0006-0000-0400-000004000000}">
      <text>
        <r>
          <rPr>
            <sz val="12"/>
            <color indexed="81"/>
            <rFont val="Times New Roman"/>
            <family val="1"/>
          </rPr>
          <t>A church inquisitor of 2nd level or higher is immune to all enchantment (charm) spells and effects.
Complete Divine 27</t>
        </r>
      </text>
    </comment>
    <comment ref="A4" authorId="0" shapeId="0" xr:uid="{00000000-0006-0000-0400-000005000000}">
      <text>
        <r>
          <rPr>
            <sz val="12"/>
            <color indexed="81"/>
            <rFont val="Times New Roman"/>
            <family val="1"/>
          </rPr>
          <t xml:space="preserve">You can channel positive energy to grant nearby living creatures the ability to recover from their wounds quickly.
</t>
        </r>
        <r>
          <rPr>
            <b/>
            <sz val="12"/>
            <color indexed="81"/>
            <rFont val="Times New Roman"/>
            <family val="1"/>
          </rPr>
          <t xml:space="preserve">Prerequisites:  </t>
        </r>
        <r>
          <rPr>
            <sz val="12"/>
            <color indexed="81"/>
            <rFont val="Times New Roman"/>
            <family val="1"/>
          </rPr>
          <t xml:space="preserve">Heal 8 ranks, ability to turn undead.
</t>
        </r>
        <r>
          <rPr>
            <b/>
            <sz val="12"/>
            <color indexed="81"/>
            <rFont val="Times New Roman"/>
            <family val="1"/>
          </rPr>
          <t xml:space="preserve">Benefit:  </t>
        </r>
        <r>
          <rPr>
            <sz val="12"/>
            <color indexed="81"/>
            <rFont val="Times New Roman"/>
            <family val="1"/>
          </rPr>
          <t>You can spend a turn attempt as a full-round action to grant fast healing 3 to all living creatures within a 60-ft. burst.  The fast healing lasts for a number of rounds equal to 1 + your Cha modifier (minimum 1 round).
Complete Divine 84</t>
        </r>
      </text>
    </comment>
    <comment ref="C4" authorId="0" shapeId="0" xr:uid="{00000000-0006-0000-0400-000006000000}">
      <text>
        <r>
          <rPr>
            <sz val="12"/>
            <color indexed="81"/>
            <rFont val="Times New Roman"/>
            <family val="1"/>
          </rPr>
          <t>A church inquisitor of 5th level or higher is immune to all compulsion spells and effects.
Complete Divine 27</t>
        </r>
      </text>
    </comment>
    <comment ref="A5" authorId="0" shapeId="0" xr:uid="{00000000-0006-0000-0400-000007000000}">
      <text>
        <r>
          <rPr>
            <sz val="12"/>
            <color indexed="81"/>
            <rFont val="Times New Roman"/>
            <family val="1"/>
          </rPr>
          <t xml:space="preserve">You can channel divine energy into healing with a touch.
</t>
        </r>
        <r>
          <rPr>
            <b/>
            <sz val="12"/>
            <color indexed="81"/>
            <rFont val="Times New Roman"/>
            <family val="1"/>
          </rPr>
          <t xml:space="preserve">Prerequisite:  </t>
        </r>
        <r>
          <rPr>
            <sz val="12"/>
            <color indexed="81"/>
            <rFont val="Times New Roman"/>
            <family val="1"/>
          </rPr>
          <t xml:space="preserve">Ability to cast 2nd-level spells.
</t>
        </r>
        <r>
          <rPr>
            <b/>
            <sz val="12"/>
            <color indexed="81"/>
            <rFont val="Times New Roman"/>
            <family val="1"/>
          </rPr>
          <t xml:space="preserve">Benefit:  </t>
        </r>
        <r>
          <rPr>
            <sz val="12"/>
            <color indexed="81"/>
            <rFont val="Times New Roman"/>
            <family val="1"/>
          </rPr>
          <t>As long as you have a conjuration (healing) spell of 2nd level or higher available to cast, you can spend a standard action to touch a target creature and heal 3 points of damage per level of the highest-level conjuration (healing) spell you have available to cast. You can use this ability only on a target that has been reduced to one-half or fewer of its total hit points.  The effect ends once you've healed the subject up to half its normal maximum hit points.  This ability has no effect on creatures that can't be healed by cure spells.  As a secondary benefit, you gain a +1 competence bonus to your caster level when casting conjuration (healing) spells.
Complete Champion 62</t>
        </r>
      </text>
    </comment>
    <comment ref="C5" authorId="0" shapeId="0" xr:uid="{00000000-0006-0000-0400-000008000000}">
      <text>
        <r>
          <rPr>
            <sz val="12"/>
            <color indexed="81"/>
            <rFont val="Times New Roman"/>
            <family val="1"/>
          </rPr>
          <t>A church inquisitor of 6th level or higher can force a creature into its natural form.  The church inquisitor must make a successful melee touch attack against the creature.  If the attack is successful, the church inquisitor makes a caster level check as if casting dispel magic against the shapechanging effect.  The church inquisitor’s +4 bonus on dispel checks (the Inquisition domain granted power) applies to this check.  This ability undoes the effect of alter self, polymorph, shapechange, and alternate form abilities, whether exceptional, spell-like, or supernatural in nature.  The affected creature cannot change its shape again for 1d6 rounds.  The church inquisitor can use this ability at will.
Complete Divine 27</t>
        </r>
      </text>
    </comment>
    <comment ref="A6" authorId="0" shapeId="0" xr:uid="{00000000-0006-0000-0400-000009000000}">
      <text>
        <r>
          <rPr>
            <sz val="12"/>
            <color indexed="81"/>
            <rFont val="Times New Roman"/>
            <family val="1"/>
          </rPr>
          <t xml:space="preserve">A character with this feat is the sort of individual others want to follow, and he or she has done some work attempting to recruit cohorts and followers.
</t>
        </r>
        <r>
          <rPr>
            <b/>
            <sz val="12"/>
            <color indexed="81"/>
            <rFont val="Times New Roman"/>
            <family val="1"/>
          </rPr>
          <t xml:space="preserve">Prerequisites:  </t>
        </r>
        <r>
          <rPr>
            <sz val="12"/>
            <color indexed="81"/>
            <rFont val="Times New Roman"/>
            <family val="1"/>
          </rPr>
          <t xml:space="preserve">A character must be at least 6th level to take this feat.
</t>
        </r>
        <r>
          <rPr>
            <b/>
            <sz val="12"/>
            <color indexed="81"/>
            <rFont val="Times New Roman"/>
            <family val="1"/>
          </rPr>
          <t xml:space="preserve">Benefits:  </t>
        </r>
        <r>
          <rPr>
            <sz val="12"/>
            <color indexed="81"/>
            <rFont val="Times New Roman"/>
            <family val="1"/>
          </rPr>
          <t>Having this feat enables the character to attract loyal companions and devoted followers, subordinates who assist her.
DMG 106</t>
        </r>
      </text>
    </comment>
    <comment ref="C6" authorId="0" shapeId="0" xr:uid="{022421B1-6306-4898-B532-5E713983F035}">
      <text>
        <r>
          <rPr>
            <sz val="12"/>
            <color indexed="81"/>
            <rFont val="Times New Roman"/>
            <family val="1"/>
          </rPr>
          <t>By touching a creature that has lied to him, a church inquisitor of 10th level or higher can force the creature to tell the truth.  The creature can make a Will save (DC 10 + the church inquisitor’s level + the church inquisitor’s Cha modifier) to resist this mind-affecting compulsion effect.  If the saving throw fails, the creature must speak the true version of the lie it uttered.  The church inquisitor can use this ability 3 times/day.
Complete Divine 27</t>
        </r>
      </text>
    </comment>
    <comment ref="A7" authorId="0" shapeId="0" xr:uid="{00000000-0006-0000-0400-00000B000000}">
      <text>
        <r>
          <rPr>
            <sz val="12"/>
            <color indexed="81"/>
            <rFont val="Times New Roman"/>
            <family val="1"/>
          </rPr>
          <t xml:space="preserve">Your turning or rebuking attempts are more powerful than normal.
</t>
        </r>
        <r>
          <rPr>
            <b/>
            <sz val="12"/>
            <color indexed="81"/>
            <rFont val="Times New Roman"/>
            <family val="1"/>
          </rPr>
          <t xml:space="preserve">Prerequisite:  </t>
        </r>
        <r>
          <rPr>
            <sz val="12"/>
            <color indexed="81"/>
            <rFont val="Times New Roman"/>
            <family val="1"/>
          </rPr>
          <t xml:space="preserve">Ability to turn or rebuke creatures.
</t>
        </r>
        <r>
          <rPr>
            <b/>
            <sz val="12"/>
            <color indexed="81"/>
            <rFont val="Times New Roman"/>
            <family val="1"/>
          </rPr>
          <t xml:space="preserve">Benefit:  </t>
        </r>
        <r>
          <rPr>
            <sz val="12"/>
            <color indexed="81"/>
            <rFont val="Times New Roman"/>
            <family val="1"/>
          </rPr>
          <t>You turn or rebuke creatures as if you were one level higher than you are in the class that grants you the ability.
DMG 96</t>
        </r>
      </text>
    </comment>
    <comment ref="C7" authorId="0" shapeId="0" xr:uid="{00000000-0006-0000-0400-00000A000000}">
      <text>
        <r>
          <rPr>
            <sz val="12"/>
            <color indexed="81"/>
            <rFont val="Times New Roman"/>
            <family val="1"/>
          </rPr>
          <t>The inquisitor has a +4 competence bonus on Spot checks against the Disguise skill.
Complete Divine 27</t>
        </r>
      </text>
    </comment>
    <comment ref="A8" authorId="0" shapeId="0" xr:uid="{84A6310C-090B-4441-A629-83086013389B}">
      <text>
        <r>
          <rPr>
            <sz val="12"/>
            <color indexed="81"/>
            <rFont val="Times New Roman"/>
            <family val="1"/>
          </rPr>
          <t xml:space="preserve">You attract a more powerful cohort than you normally would.
</t>
        </r>
        <r>
          <rPr>
            <b/>
            <sz val="12"/>
            <color indexed="81"/>
            <rFont val="Times New Roman"/>
            <family val="1"/>
          </rPr>
          <t xml:space="preserve">Prerequisites:  </t>
        </r>
        <r>
          <rPr>
            <sz val="12"/>
            <color indexed="81"/>
            <rFont val="Times New Roman"/>
            <family val="1"/>
          </rPr>
          <t xml:space="preserve">Cha 15, Leadership.
</t>
        </r>
        <r>
          <rPr>
            <b/>
            <sz val="12"/>
            <color indexed="81"/>
            <rFont val="Times New Roman"/>
            <family val="1"/>
          </rPr>
          <t xml:space="preserve">Benefit:  </t>
        </r>
        <r>
          <rPr>
            <sz val="12"/>
            <color indexed="81"/>
            <rFont val="Times New Roman"/>
            <family val="1"/>
          </rPr>
          <t xml:space="preserve">The maximum level of the cohort you gain from the Leadership feat (see page 106 of the Dungeon Master’s Guide) is one lower than your character level.
</t>
        </r>
        <r>
          <rPr>
            <b/>
            <sz val="12"/>
            <color indexed="81"/>
            <rFont val="Times New Roman"/>
            <family val="1"/>
          </rPr>
          <t xml:space="preserve">Normal:  </t>
        </r>
        <r>
          <rPr>
            <sz val="12"/>
            <color indexed="81"/>
            <rFont val="Times New Roman"/>
            <family val="1"/>
          </rPr>
          <t>Without this feat, a cohort’s maximum level is two levels below the associated PC’s level.
Heroes of Battle 98</t>
        </r>
      </text>
    </comment>
    <comment ref="C8" authorId="0" shapeId="0" xr:uid="{00000000-0006-0000-0400-00000C000000}">
      <text>
        <r>
          <rPr>
            <sz val="12"/>
            <color indexed="81"/>
            <rFont val="Times New Roman"/>
            <family val="1"/>
          </rPr>
          <t>At 3rd level, the church inquisitor gains the supernatural ability to penetrate illusions and disguises at will.  Whenever an inquisitor sees an illusion or disguise spell of any sort, he immediately makes a Will save to see through it.  The inquisitor need not interact with or touch the illusion, visual contact is enough to give the Will save.
Complete Divine 27</t>
        </r>
      </text>
    </comment>
    <comment ref="C9" authorId="0" shapeId="0" xr:uid="{00000000-0006-0000-0400-00000E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11" authorId="0" shapeId="0" xr:uid="{00000000-0006-0000-0400-00000F000000}">
      <text>
        <r>
          <rPr>
            <sz val="12"/>
            <color indexed="81"/>
            <rFont val="Times New Roman"/>
            <family val="1"/>
          </rPr>
          <t>A church inquisitor of 9th level or higher can use discern lies as a spell-like ability three times per day.
Complete Divine 27</t>
        </r>
      </text>
    </comment>
    <comment ref="C16" authorId="0" shapeId="0" xr:uid="{00000000-0006-0000-0400-000010000000}">
      <text>
        <r>
          <rPr>
            <b/>
            <sz val="12"/>
            <color indexed="81"/>
            <rFont val="Times New Roman"/>
            <family val="1"/>
          </rPr>
          <t xml:space="preserve">Planning Domain Spells
</t>
        </r>
        <r>
          <rPr>
            <sz val="12"/>
            <color indexed="81"/>
            <rFont val="Times New Roman"/>
            <family val="1"/>
          </rPr>
          <t>1 Deathwatch
2 Augury
3 Clairaudience/clairvoyance
4 Status
5 Detect scrying
6 Heroes' feast
7 Greater scrying
8 Discern location
9 Time stop</t>
        </r>
      </text>
    </comment>
    <comment ref="C17" authorId="0" shapeId="0" xr:uid="{00000000-0006-0000-0400-000011000000}">
      <text>
        <r>
          <rPr>
            <sz val="12"/>
            <color indexed="81"/>
            <rFont val="Times New Roman"/>
            <family val="1"/>
          </rPr>
          <t xml:space="preserve">You can cast spells that last longer than normal.
</t>
        </r>
        <r>
          <rPr>
            <b/>
            <sz val="12"/>
            <color indexed="81"/>
            <rFont val="Times New Roman"/>
            <family val="1"/>
          </rPr>
          <t xml:space="preserve">Benefit:  </t>
        </r>
        <r>
          <rPr>
            <sz val="12"/>
            <color indexed="81"/>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18" authorId="0" shapeId="0" xr:uid="{00000000-0006-0000-0400-000012000000}">
      <text>
        <r>
          <rPr>
            <b/>
            <sz val="12"/>
            <color indexed="81"/>
            <rFont val="Times New Roman"/>
            <family val="1"/>
          </rPr>
          <t xml:space="preserve">War Domain Spells
1 Magic Weapon:  </t>
        </r>
        <r>
          <rPr>
            <sz val="12"/>
            <color indexed="81"/>
            <rFont val="Times New Roman"/>
            <family val="1"/>
          </rPr>
          <t xml:space="preserve">Weapon gains +1 bonus.
</t>
        </r>
        <r>
          <rPr>
            <b/>
            <sz val="12"/>
            <color indexed="81"/>
            <rFont val="Times New Roman"/>
            <family val="1"/>
          </rPr>
          <t xml:space="preserve">2 Spiritual Weapon:  </t>
        </r>
        <r>
          <rPr>
            <sz val="12"/>
            <color indexed="81"/>
            <rFont val="Times New Roman"/>
            <family val="1"/>
          </rPr>
          <t xml:space="preserve">Magical weapon attacks on its own.
</t>
        </r>
        <r>
          <rPr>
            <b/>
            <sz val="12"/>
            <color indexed="81"/>
            <rFont val="Times New Roman"/>
            <family val="1"/>
          </rPr>
          <t xml:space="preserve">3 Magic Vestment:  </t>
        </r>
        <r>
          <rPr>
            <sz val="12"/>
            <color indexed="81"/>
            <rFont val="Times New Roman"/>
            <family val="1"/>
          </rPr>
          <t xml:space="preserve">Armor or shield gains +1 enhancement per
four levels.
</t>
        </r>
        <r>
          <rPr>
            <b/>
            <sz val="12"/>
            <color indexed="81"/>
            <rFont val="Times New Roman"/>
            <family val="1"/>
          </rPr>
          <t xml:space="preserve">4 Divine Power:  </t>
        </r>
        <r>
          <rPr>
            <sz val="12"/>
            <color indexed="81"/>
            <rFont val="Times New Roman"/>
            <family val="1"/>
          </rPr>
          <t xml:space="preserve">You gain attack bonus, +6 to Str, and 1 hp/level.
</t>
        </r>
        <r>
          <rPr>
            <b/>
            <sz val="12"/>
            <color indexed="81"/>
            <rFont val="Times New Roman"/>
            <family val="1"/>
          </rPr>
          <t xml:space="preserve">5 Flame Strike:  </t>
        </r>
        <r>
          <rPr>
            <sz val="12"/>
            <color indexed="81"/>
            <rFont val="Times New Roman"/>
            <family val="1"/>
          </rPr>
          <t xml:space="preserve">Smite foes with divine fire (1d6/level damage).
</t>
        </r>
        <r>
          <rPr>
            <b/>
            <sz val="12"/>
            <color indexed="81"/>
            <rFont val="Times New Roman"/>
            <family val="1"/>
          </rPr>
          <t xml:space="preserve">6 Blade Barrier:  </t>
        </r>
        <r>
          <rPr>
            <sz val="12"/>
            <color indexed="81"/>
            <rFont val="Times New Roman"/>
            <family val="1"/>
          </rPr>
          <t xml:space="preserve">Wall of blades deals 1d6/level damage.
</t>
        </r>
        <r>
          <rPr>
            <b/>
            <sz val="12"/>
            <color indexed="81"/>
            <rFont val="Times New Roman"/>
            <family val="1"/>
          </rPr>
          <t xml:space="preserve">7 Power Word Blind:  </t>
        </r>
        <r>
          <rPr>
            <sz val="12"/>
            <color indexed="81"/>
            <rFont val="Times New Roman"/>
            <family val="1"/>
          </rPr>
          <t xml:space="preserve">Blinds creature with 200 hp or less.
</t>
        </r>
        <r>
          <rPr>
            <b/>
            <sz val="12"/>
            <color indexed="81"/>
            <rFont val="Times New Roman"/>
            <family val="1"/>
          </rPr>
          <t xml:space="preserve">8 Power Word Stun:  </t>
        </r>
        <r>
          <rPr>
            <sz val="12"/>
            <color indexed="81"/>
            <rFont val="Times New Roman"/>
            <family val="1"/>
          </rPr>
          <t xml:space="preserve">Stuns creature with 150 hp or less.
</t>
        </r>
        <r>
          <rPr>
            <b/>
            <sz val="12"/>
            <color indexed="81"/>
            <rFont val="Times New Roman"/>
            <family val="1"/>
          </rPr>
          <t xml:space="preserve">9 Power Word Kill:  </t>
        </r>
        <r>
          <rPr>
            <sz val="12"/>
            <color indexed="81"/>
            <rFont val="Times New Roman"/>
            <family val="1"/>
          </rPr>
          <t>Kills creature with 100 hp or less.</t>
        </r>
      </text>
    </comment>
    <comment ref="C19" authorId="0" shapeId="0" xr:uid="{00000000-0006-0000-0400-000013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20" authorId="0" shapeId="0" xr:uid="{00000000-0006-0000-0400-000014000000}">
      <text>
        <r>
          <rPr>
            <b/>
            <sz val="12"/>
            <color indexed="81"/>
            <rFont val="Times New Roman"/>
            <family val="1"/>
          </rPr>
          <t>1 Protection from Evil:</t>
        </r>
        <r>
          <rPr>
            <sz val="12"/>
            <color indexed="81"/>
            <rFont val="Times New Roman"/>
            <family val="1"/>
          </rPr>
          <t xml:space="preserve">  +2 to AC and saves, counter mind control, hedge out elementals and outsiders.</t>
        </r>
        <r>
          <rPr>
            <b/>
            <sz val="12"/>
            <color indexed="81"/>
            <rFont val="Times New Roman"/>
            <family val="1"/>
          </rPr>
          <t xml:space="preserve">
2 Aid:  </t>
        </r>
        <r>
          <rPr>
            <sz val="12"/>
            <color indexed="81"/>
            <rFont val="Times New Roman"/>
            <family val="1"/>
          </rPr>
          <t>+1 on attack rolls, +1 on saves against fear, 1d8 temporary hp +1/level (max +10).</t>
        </r>
        <r>
          <rPr>
            <b/>
            <sz val="12"/>
            <color indexed="81"/>
            <rFont val="Times New Roman"/>
            <family val="1"/>
          </rPr>
          <t xml:space="preserve">
3 Magic Circle against Evil:  </t>
        </r>
        <r>
          <rPr>
            <sz val="12"/>
            <color indexed="81"/>
            <rFont val="Times New Roman"/>
            <family val="1"/>
          </rPr>
          <t>As protection spells, but 10-ft. radius and 10 min./level.</t>
        </r>
        <r>
          <rPr>
            <b/>
            <sz val="12"/>
            <color indexed="81"/>
            <rFont val="Times New Roman"/>
            <family val="1"/>
          </rPr>
          <t xml:space="preserve">
4 Holy Smite:  </t>
        </r>
        <r>
          <rPr>
            <sz val="12"/>
            <color indexed="81"/>
            <rFont val="Times New Roman"/>
            <family val="1"/>
          </rPr>
          <t>Damages and blinds evil creatures.</t>
        </r>
        <r>
          <rPr>
            <b/>
            <sz val="12"/>
            <color indexed="81"/>
            <rFont val="Times New Roman"/>
            <family val="1"/>
          </rPr>
          <t xml:space="preserve">
5 Dispel Evil:  </t>
        </r>
        <r>
          <rPr>
            <sz val="12"/>
            <color indexed="81"/>
            <rFont val="Times New Roman"/>
            <family val="1"/>
          </rPr>
          <t>+4 bonus against attacks by evil creatures.</t>
        </r>
        <r>
          <rPr>
            <b/>
            <sz val="12"/>
            <color indexed="81"/>
            <rFont val="Times New Roman"/>
            <family val="1"/>
          </rPr>
          <t xml:space="preserve">
6 Blade Barrier:  </t>
        </r>
        <r>
          <rPr>
            <sz val="12"/>
            <color indexed="81"/>
            <rFont val="Times New Roman"/>
            <family val="1"/>
          </rPr>
          <t>Wall of blades deals 1d6/level damage.</t>
        </r>
        <r>
          <rPr>
            <b/>
            <sz val="12"/>
            <color indexed="81"/>
            <rFont val="Times New Roman"/>
            <family val="1"/>
          </rPr>
          <t xml:space="preserve">
7 Holy Word:  </t>
        </r>
        <r>
          <rPr>
            <sz val="12"/>
            <color indexed="81"/>
            <rFont val="Times New Roman"/>
            <family val="1"/>
          </rPr>
          <t>Kills, paralyzes, slows, or deafens nongood subjects.</t>
        </r>
        <r>
          <rPr>
            <b/>
            <sz val="12"/>
            <color indexed="81"/>
            <rFont val="Times New Roman"/>
            <family val="1"/>
          </rPr>
          <t xml:space="preserve">
8 Holy Aura: </t>
        </r>
        <r>
          <rPr>
            <sz val="12"/>
            <color indexed="81"/>
            <rFont val="Times New Roman"/>
            <family val="1"/>
          </rPr>
          <t>+4 to AC, +4 resistance, and SR 25 against evil spells.</t>
        </r>
        <r>
          <rPr>
            <b/>
            <sz val="12"/>
            <color indexed="81"/>
            <rFont val="Times New Roman"/>
            <family val="1"/>
          </rPr>
          <t xml:space="preserve">
9 Summon Monster IX*:  </t>
        </r>
        <r>
          <rPr>
            <sz val="12"/>
            <color indexed="81"/>
            <rFont val="Times New Roman"/>
            <family val="1"/>
          </rPr>
          <t>Calls extraplanar creature to fight for you.
* Cast as a good spell only.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500-000001000000}">
      <text>
        <r>
          <rPr>
            <sz val="12"/>
            <color indexed="81"/>
            <rFont val="Times New Roman"/>
            <family val="1"/>
          </rPr>
          <t xml:space="preserve">Divine Wrath
</t>
        </r>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Weapon
</t>
        </r>
        <r>
          <rPr>
            <b/>
            <sz val="12"/>
            <color indexed="81"/>
            <rFont val="Times New Roman"/>
            <family val="1"/>
          </rPr>
          <t xml:space="preserve">Caster Level:  </t>
        </r>
        <r>
          <rPr>
            <sz val="12"/>
            <color indexed="81"/>
            <rFont val="Times New Roman"/>
            <family val="1"/>
          </rPr>
          <t xml:space="preserve">13th
</t>
        </r>
        <r>
          <rPr>
            <b/>
            <sz val="12"/>
            <color indexed="81"/>
            <rFont val="Times New Roman"/>
            <family val="1"/>
          </rPr>
          <t xml:space="preserve">Aura:  </t>
        </r>
        <r>
          <rPr>
            <sz val="12"/>
            <color indexed="81"/>
            <rFont val="Times New Roman"/>
            <family val="1"/>
          </rPr>
          <t xml:space="preserve">Strong; (DC 21) evocation
</t>
        </r>
        <r>
          <rPr>
            <b/>
            <sz val="12"/>
            <color indexed="81"/>
            <rFont val="Times New Roman"/>
            <family val="1"/>
          </rPr>
          <t xml:space="preserve">Activation:  </t>
        </r>
        <r>
          <rPr>
            <sz val="12"/>
            <color indexed="81"/>
            <rFont val="Times New Roman"/>
            <family val="1"/>
          </rPr>
          <t xml:space="preserve">Swift (mental)
This weapon has a golden sheen, and its grip is imprinted with a hand holding a lightning bolt.
Divine wrath weapons are especially prized by paladins and clerics of Heironeous.
Whenever you hold such a weapon in your hand, you can expend a turn undead attempt to imbue it with divine power for 1 round. If your next successful attack with it hits an undead target, the weapon deals an extra 1d6 points of damage per point of Charisma bonus you possess (minimum 1d6).
MIC 33
</t>
        </r>
        <r>
          <rPr>
            <b/>
            <sz val="12"/>
            <color indexed="81"/>
            <rFont val="Times New Roman"/>
            <family val="1"/>
          </rPr>
          <t xml:space="preserve">Dwarvencafted:  </t>
        </r>
        <r>
          <rPr>
            <sz val="12"/>
            <color indexed="81"/>
            <rFont val="Times New Roman"/>
            <family val="1"/>
          </rPr>
          <t xml:space="preserve">+20 hardness, +2 hps
Races of Stone 159
</t>
        </r>
        <r>
          <rPr>
            <b/>
            <sz val="12"/>
            <color indexed="81"/>
            <rFont val="Times New Roman"/>
            <family val="1"/>
          </rPr>
          <t xml:space="preserve">Hizagkuur:  </t>
        </r>
        <r>
          <rPr>
            <sz val="12"/>
            <color indexed="81"/>
            <rFont val="Times New Roman"/>
            <family val="1"/>
          </rPr>
          <t>+1 fire &amp; electric
Magic of Faerûn 179</t>
        </r>
      </text>
    </comment>
    <comment ref="A7" authorId="0" shapeId="0" xr:uid="{00000000-0006-0000-0500-000002000000}">
      <text>
        <r>
          <rPr>
            <b/>
            <sz val="12"/>
            <color indexed="81"/>
            <rFont val="Times New Roman"/>
            <family val="1"/>
          </rPr>
          <t xml:space="preserve">Price (Item Level):  </t>
        </r>
        <r>
          <rPr>
            <sz val="12"/>
            <color indexed="81"/>
            <rFont val="Times New Roman"/>
            <family val="1"/>
          </rPr>
          <t xml:space="preserve">100 gp (1st) (least); 400 gp (2nd) (lesser); 1,000 gp (4th) (greater)
</t>
        </r>
        <r>
          <rPr>
            <b/>
            <sz val="12"/>
            <color indexed="81"/>
            <rFont val="Times New Roman"/>
            <family val="1"/>
          </rPr>
          <t xml:space="preserve">Body Slot:  </t>
        </r>
        <r>
          <rPr>
            <sz val="12"/>
            <color indexed="81"/>
            <rFont val="Times New Roman"/>
            <family val="1"/>
          </rPr>
          <t xml:space="preserve">— (weapon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evocation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This faceted, yellow crystal glows as if a small spark burns within it.
Activating a crystal of illumination causes your weapon to glow.
</t>
        </r>
        <r>
          <rPr>
            <b/>
            <sz val="12"/>
            <color indexed="81"/>
            <rFont val="Times New Roman"/>
            <family val="1"/>
          </rPr>
          <t xml:space="preserve">Least:  </t>
        </r>
        <r>
          <rPr>
            <sz val="12"/>
            <color indexed="81"/>
            <rFont val="Times New Roman"/>
            <family val="1"/>
          </rPr>
          <t xml:space="preserve">The weapon sheds bright illumination in a 5-foot radius and shadowy illumination for 5 feet beyond that.
</t>
        </r>
        <r>
          <rPr>
            <b/>
            <sz val="12"/>
            <color indexed="81"/>
            <rFont val="Times New Roman"/>
            <family val="1"/>
          </rPr>
          <t xml:space="preserve">Lesser:  </t>
        </r>
        <r>
          <rPr>
            <sz val="12"/>
            <color indexed="81"/>
            <rFont val="Times New Roman"/>
            <family val="1"/>
          </rPr>
          <t xml:space="preserve">The weapon sheds bright illumination in a 20-foot radius and shadowy illumination for 20 feet beyond that.
</t>
        </r>
        <r>
          <rPr>
            <b/>
            <sz val="12"/>
            <color indexed="81"/>
            <rFont val="Times New Roman"/>
            <family val="1"/>
          </rPr>
          <t xml:space="preserve">Greater:  </t>
        </r>
        <r>
          <rPr>
            <sz val="12"/>
            <color indexed="81"/>
            <rFont val="Times New Roman"/>
            <family val="1"/>
          </rPr>
          <t xml:space="preserve">The weapon sheds bright illumination in a 60-foot radius and shadowy illumination for 60 feet beyond that.
</t>
        </r>
        <r>
          <rPr>
            <b/>
            <sz val="12"/>
            <color indexed="81"/>
            <rFont val="Times New Roman"/>
            <family val="1"/>
          </rPr>
          <t xml:space="preserve">Prerequisites:  </t>
        </r>
        <r>
          <rPr>
            <sz val="12"/>
            <color indexed="81"/>
            <rFont val="Times New Roman"/>
            <family val="1"/>
          </rPr>
          <t xml:space="preserve">Craft Magic Arms and Armor, daylight.
</t>
        </r>
        <r>
          <rPr>
            <b/>
            <sz val="12"/>
            <color indexed="81"/>
            <rFont val="Times New Roman"/>
            <family val="1"/>
          </rPr>
          <t xml:space="preserve">Cost to Create:  </t>
        </r>
        <r>
          <rPr>
            <sz val="12"/>
            <color indexed="81"/>
            <rFont val="Times New Roman"/>
            <family val="1"/>
          </rPr>
          <t>50 gp, 4 XP, 1 day (least); 200 gp, 16 XP, 1 day (lesser); 500 gp, 40 XP, 1 day (greater).
MIC 64</t>
        </r>
      </text>
    </comment>
    <comment ref="D13" authorId="0" shapeId="0" xr:uid="{00000000-0006-0000-0500-000003000000}">
      <text>
        <r>
          <rPr>
            <sz val="12"/>
            <color indexed="81"/>
            <rFont val="Times New Roman"/>
            <family val="1"/>
          </rPr>
          <t>Inquisition Domain</t>
        </r>
      </text>
    </comment>
    <comment ref="D20" authorId="0" shapeId="0" xr:uid="{00000000-0006-0000-0500-000004000000}">
      <text>
        <r>
          <rPr>
            <sz val="12"/>
            <color indexed="81"/>
            <rFont val="Times New Roman"/>
            <family val="1"/>
          </rPr>
          <t>Inquisition Domain</t>
        </r>
      </text>
    </comment>
    <comment ref="D24" authorId="0" shapeId="0" xr:uid="{00000000-0006-0000-0500-000005000000}">
      <text>
        <r>
          <rPr>
            <sz val="12"/>
            <color indexed="81"/>
            <rFont val="Times New Roman"/>
            <family val="1"/>
          </rPr>
          <t>Balance, Climb, Escape Artist, Hide, Jump, Move Silently, Sleight of Hand, Tumble.</t>
        </r>
      </text>
    </comment>
    <comment ref="A28" authorId="0" shapeId="0" xr:uid="{00000000-0006-0000-0500-000006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silver clasp is decorated with sparkling crystals shaped like stars.
A restful crystal is a great boon to any warrior who must stay always at the ready.
Sleeping in armor that has this augment crystal attached does not make you fatigued.
MIC 26</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00000000-0006-0000-0600-000001000000}">
      <text>
        <r>
          <rPr>
            <b/>
            <sz val="12"/>
            <color indexed="81"/>
            <rFont val="Times New Roman"/>
            <family val="1"/>
          </rPr>
          <t xml:space="preserve">Price (Item Level):  </t>
        </r>
        <r>
          <rPr>
            <sz val="12"/>
            <color indexed="81"/>
            <rFont val="Times New Roman"/>
            <family val="1"/>
          </rPr>
          <t xml:space="preserve">800 gp (3rd)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necromancy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2 lb.
This silver vestment is set with a circle of nine semiprecious gemstones surrounding a raised, silver hemisphere.
While wearing an ephod of authority, your effective cleric level is treated as one higher than your actual level for the purpose of turning (but not rebuking or commanding) undead.
MIC 215</t>
        </r>
      </text>
    </comment>
    <comment ref="A6" authorId="0" shapeId="0" xr:uid="{00000000-0006-0000-0600-000002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sz val="12"/>
            <color indexed="81"/>
            <rFont val="Times New Roman"/>
            <family val="1"/>
          </rPr>
          <t>MIC 110</t>
        </r>
      </text>
    </comment>
    <comment ref="A12" authorId="0" shapeId="0" xr:uid="{00000000-0006-0000-0600-00000300000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
This tattered strip of cloth is strangely resilient, and when you hold it, elven runes appear along its length.
A scout’s headband grants you a +2 competence bonus on Spot checks.  This is a continuous effect and requires no activation.
In addition, this circlet has 3 charges, which are renewed each day at dawn.  Spending 1 or more charges enhances your visual acuity as described below.
</t>
        </r>
        <r>
          <rPr>
            <b/>
            <sz val="12"/>
            <color indexed="81"/>
            <rFont val="Times New Roman"/>
            <family val="1"/>
          </rPr>
          <t xml:space="preserve">1 charge: </t>
        </r>
        <r>
          <rPr>
            <sz val="12"/>
            <color indexed="81"/>
            <rFont val="Times New Roman"/>
            <family val="1"/>
          </rPr>
          <t xml:space="preserve">You gain Darkvision out to 60 feet for 1 hour.
</t>
        </r>
        <r>
          <rPr>
            <b/>
            <sz val="12"/>
            <color indexed="81"/>
            <rFont val="Times New Roman"/>
            <family val="1"/>
          </rPr>
          <t xml:space="preserve">2 charges: </t>
        </r>
        <r>
          <rPr>
            <sz val="12"/>
            <color indexed="81"/>
            <rFont val="Times New Roman"/>
            <family val="1"/>
          </rPr>
          <t xml:space="preserve">You can </t>
        </r>
        <r>
          <rPr>
            <i/>
            <sz val="12"/>
            <color indexed="81"/>
            <rFont val="Times New Roman"/>
            <family val="1"/>
          </rPr>
          <t xml:space="preserve">see invisible </t>
        </r>
        <r>
          <rPr>
            <sz val="12"/>
            <color indexed="81"/>
            <rFont val="Times New Roman"/>
            <family val="1"/>
          </rPr>
          <t xml:space="preserve">creatures and objects (as see invisibility) for 10 minutes.
</t>
        </r>
        <r>
          <rPr>
            <b/>
            <sz val="12"/>
            <color indexed="81"/>
            <rFont val="Times New Roman"/>
            <family val="1"/>
          </rPr>
          <t xml:space="preserve">3 charges: </t>
        </r>
        <r>
          <rPr>
            <sz val="12"/>
            <color indexed="81"/>
            <rFont val="Times New Roman"/>
            <family val="1"/>
          </rPr>
          <t xml:space="preserve">You gain </t>
        </r>
        <r>
          <rPr>
            <i/>
            <sz val="12"/>
            <color indexed="81"/>
            <rFont val="Times New Roman"/>
            <family val="1"/>
          </rPr>
          <t xml:space="preserve">true seeing </t>
        </r>
        <r>
          <rPr>
            <sz val="12"/>
            <color indexed="81"/>
            <rFont val="Times New Roman"/>
            <family val="1"/>
          </rPr>
          <t xml:space="preserve">(as the spell) for 1 minute.
</t>
        </r>
        <r>
          <rPr>
            <b/>
            <sz val="12"/>
            <color indexed="81"/>
            <rFont val="Times New Roman"/>
            <family val="1"/>
          </rPr>
          <t xml:space="preserve">Lore: </t>
        </r>
        <r>
          <rPr>
            <sz val="12"/>
            <color indexed="81"/>
            <rFont val="Times New Roman"/>
            <family val="1"/>
          </rPr>
          <t>The runes appearing on the headband are taken from the Saga of Filix, a great elf scout from long ago (Knowledge [history] DC 10).
Filix bargained with Corellon for unparalleled powers of vision, but the gift came with a curse: The scout could see the deaths of all his friends as well (Knowledge [history] DC 15).  Driven nearly mad by the ghostly perceptions haunting him, Filix eventually fl ed society entirely, living out the rest of his long days alone in the wilderness (Knowledge [history] DC 20).
MIC 132</t>
        </r>
      </text>
    </comment>
    <comment ref="A21" authorId="0" shapeId="0" xr:uid="{00000000-0006-0000-0600-000004000000}">
      <text>
        <r>
          <rPr>
            <sz val="12"/>
            <color indexed="81"/>
            <rFont val="Times New Roman"/>
            <family val="1"/>
          </rPr>
          <t>All Gray Hand enforcers are given a small token, usually a clasp, ring, or brooch in the shape of a human hand, fingers together and palm out.  Civic officials of Waterdeep (including Lords, magistrates, and Watch and Guard officers) know the token by sight.  You gain a +5 bonus on any Charisma-based skill checks made against an officer or official of Waterdeep if you show the token.  A bearer of the token may not be arrested or hindered in Waterdeep unless the arresting official is a Lord, magistrate, or civilar of the Guard or Watch.
City of Splendors 78</t>
        </r>
      </text>
    </comment>
    <comment ref="A27" authorId="0" shapeId="0" xr:uid="{00000000-0006-0000-0600-000005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B36" authorId="0" shapeId="0" xr:uid="{00000000-0006-0000-0800-000001000000}">
      <text>
        <r>
          <rPr>
            <sz val="12"/>
            <color indexed="81"/>
            <rFont val="Times New Roman"/>
            <family val="1"/>
          </rPr>
          <t>String Instruments</t>
        </r>
      </text>
    </comment>
    <comment ref="C36" authorId="0" shapeId="0" xr:uid="{00000000-0006-0000-0800-000002000000}">
      <text>
        <r>
          <rPr>
            <sz val="12"/>
            <color indexed="81"/>
            <rFont val="Times New Roman"/>
            <family val="1"/>
          </rPr>
          <t>Vocals / Choir</t>
        </r>
      </text>
    </comment>
    <comment ref="D36" authorId="0" shapeId="0" xr:uid="{00000000-0006-0000-0800-000003000000}">
      <text>
        <r>
          <rPr>
            <sz val="12"/>
            <color indexed="81"/>
            <rFont val="Times New Roman"/>
            <family val="1"/>
          </rPr>
          <t>Spoken Word Art / Oratory</t>
        </r>
      </text>
    </comment>
    <comment ref="J36" authorId="0" shapeId="0" xr:uid="{00000000-0006-0000-0800-000004000000}">
      <text>
        <r>
          <rPr>
            <sz val="12"/>
            <color indexed="81"/>
            <rFont val="Times New Roman"/>
            <family val="1"/>
          </rPr>
          <t>Dancing</t>
        </r>
      </text>
    </comment>
  </commentList>
</comments>
</file>

<file path=xl/sharedStrings.xml><?xml version="1.0" encoding="utf-8"?>
<sst xmlns="http://schemas.openxmlformats.org/spreadsheetml/2006/main" count="4802" uniqueCount="1278">
  <si>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</si>
  <si>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</si>
  <si>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</si>
  <si>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</si>
  <si>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</si>
  <si>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</si>
  <si>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</si>
  <si>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</si>
  <si>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</si>
  <si>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</si>
  <si>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</si>
  <si>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</si>
  <si>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</si>
  <si>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</si>
  <si>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</si>
  <si>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</si>
  <si>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</si>
  <si>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</si>
  <si>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</si>
  <si>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</si>
  <si>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</si>
  <si>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</si>
  <si>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</si>
  <si>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</si>
  <si>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</si>
  <si>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</si>
  <si>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</si>
  <si>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</si>
  <si>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</si>
  <si>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</si>
  <si>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</si>
  <si>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</si>
  <si>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</si>
  <si>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</si>
  <si>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</si>
  <si>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</si>
  <si>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</si>
  <si>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</si>
  <si>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</si>
  <si>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</si>
  <si>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</si>
  <si>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</si>
  <si>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</si>
  <si>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</si>
  <si>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</si>
  <si>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</si>
  <si>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</si>
  <si>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</si>
  <si>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</si>
  <si>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</si>
  <si>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</si>
  <si>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</si>
  <si>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</si>
  <si>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</si>
  <si>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</si>
  <si>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</si>
  <si>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</si>
  <si>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</si>
  <si>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</si>
  <si>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</si>
  <si>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</si>
  <si>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</si>
  <si>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</si>
  <si>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</si>
  <si>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</si>
  <si>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</si>
  <si>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</si>
  <si>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</si>
  <si>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</si>
  <si>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</si>
  <si>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</si>
  <si>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</si>
  <si>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</si>
  <si>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</si>
  <si>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</si>
  <si>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</si>
  <si>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</si>
  <si>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</si>
  <si>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</si>
  <si>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</si>
  <si>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</si>
  <si>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</si>
  <si>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</si>
  <si>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</si>
  <si>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</si>
  <si>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</si>
  <si>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Equipment Carried</t>
  </si>
  <si>
    <t>Check</t>
  </si>
  <si>
    <t>Arcane</t>
  </si>
  <si>
    <t>Speed</t>
  </si>
  <si>
    <t>25’ + 2½’/lvl</t>
  </si>
  <si>
    <t>Speak Language</t>
  </si>
  <si>
    <t>Divination</t>
  </si>
  <si>
    <t>Cure Light Wounds</t>
  </si>
  <si>
    <t>Endure Elements</t>
  </si>
  <si>
    <t>24 hours</t>
  </si>
  <si>
    <t>Obscuring Mist</t>
  </si>
  <si>
    <t>1 day/lvl</t>
  </si>
  <si>
    <t>30’ radius</t>
  </si>
  <si>
    <t>400’ + 40’/lvl</t>
  </si>
  <si>
    <t>Longstrider</t>
  </si>
  <si>
    <t>Sleight of Hand</t>
  </si>
  <si>
    <t>Survival</t>
  </si>
  <si>
    <t>Class Features</t>
  </si>
  <si>
    <t>DC</t>
  </si>
  <si>
    <t>Weapon Proficiencies</t>
  </si>
  <si>
    <t>Shields (not tower)</t>
  </si>
  <si>
    <t>Atk</t>
  </si>
  <si>
    <t>Components</t>
  </si>
  <si>
    <t>Casting</t>
  </si>
  <si>
    <t>V S</t>
  </si>
  <si>
    <t>1 SA</t>
  </si>
  <si>
    <t>1 hr/lvl</t>
  </si>
  <si>
    <t>V S DF</t>
  </si>
  <si>
    <t>V S M</t>
  </si>
  <si>
    <t>Bull’s Strength</t>
  </si>
  <si>
    <t>V S M/DF</t>
  </si>
  <si>
    <t>Delay Poison</t>
  </si>
  <si>
    <t>100’ + 10’/lvl</t>
  </si>
  <si>
    <t>Contagion</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</si>
  <si>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</si>
  <si>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</si>
  <si>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</si>
  <si>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</si>
  <si>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</si>
  <si>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</si>
  <si>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</si>
  <si>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</si>
  <si>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</si>
  <si>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</si>
  <si>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</si>
  <si>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</si>
  <si>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</si>
  <si>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</si>
  <si>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</si>
  <si>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</si>
  <si>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</si>
  <si>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</si>
  <si>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</si>
  <si>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</si>
  <si>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</si>
  <si>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</si>
  <si>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Cure Minor Wounds</t>
  </si>
  <si>
    <t>Detect Magic</t>
  </si>
  <si>
    <t>Guidance</t>
  </si>
  <si>
    <t>Mending</t>
  </si>
  <si>
    <t>Read Magic</t>
  </si>
  <si>
    <t>Resistance</t>
  </si>
  <si>
    <t>Permanent</t>
  </si>
  <si>
    <t>1st</t>
  </si>
  <si>
    <t>2nd</t>
  </si>
  <si>
    <t>3rd</t>
  </si>
  <si>
    <t>4th</t>
  </si>
  <si>
    <t>5th</t>
  </si>
  <si>
    <t>6th</t>
  </si>
  <si>
    <t>Spells per Day</t>
  </si>
  <si>
    <t>Spell Level</t>
  </si>
  <si>
    <t>0th</t>
  </si>
  <si>
    <t>7th</t>
  </si>
  <si>
    <t>Wisdom Bonus</t>
  </si>
  <si>
    <t>Total Divine</t>
  </si>
  <si>
    <t>Feats</t>
  </si>
  <si>
    <t>Roll</t>
  </si>
  <si>
    <t>Skill/Save</t>
  </si>
  <si>
    <t>30’</t>
  </si>
  <si>
    <t>50’</t>
  </si>
  <si>
    <t>Human</t>
  </si>
  <si>
    <t>Cleric Spells</t>
  </si>
  <si>
    <t>cleric 1</t>
  </si>
  <si>
    <t>cleric 2</t>
  </si>
  <si>
    <t>cleric 3</t>
  </si>
  <si>
    <t>Aid</t>
  </si>
  <si>
    <t>Shield of Faith</t>
  </si>
  <si>
    <t>Domain</t>
  </si>
  <si>
    <t>Necromancy</t>
  </si>
  <si>
    <t>Transmutation</t>
  </si>
  <si>
    <t>Message</t>
  </si>
  <si>
    <t>Purify Food &amp; Drink</t>
  </si>
  <si>
    <t>0’</t>
  </si>
  <si>
    <t>Cause Fear</t>
  </si>
  <si>
    <t>1d4 rnds</t>
  </si>
  <si>
    <t>Command</t>
  </si>
  <si>
    <t>Deathwatch</t>
  </si>
  <si>
    <t>Detect Undead</t>
  </si>
  <si>
    <t>Divine Favor</t>
  </si>
  <si>
    <t>Doom</t>
  </si>
  <si>
    <t>Entropic Shield</t>
  </si>
  <si>
    <t>Impede</t>
  </si>
  <si>
    <t>Enchantment</t>
  </si>
  <si>
    <t>Magic Weapon</t>
  </si>
  <si>
    <t>V S F/DF</t>
  </si>
  <si>
    <t>Sanctuary</t>
  </si>
  <si>
    <t>Summon Monster I</t>
  </si>
  <si>
    <t>Analyze Portal</t>
  </si>
  <si>
    <t>Bewildering Substitution</t>
  </si>
  <si>
    <t>Illusion</t>
  </si>
  <si>
    <t>Bewildering Visions</t>
  </si>
  <si>
    <t>Calm Emotions</t>
  </si>
  <si>
    <t>Conduit of Life</t>
  </si>
  <si>
    <t>Darkness</t>
  </si>
  <si>
    <t>V M/DF</t>
  </si>
  <si>
    <t>Death Knell</t>
  </si>
  <si>
    <t>Desecrate</t>
  </si>
  <si>
    <t>Detect Thoughts</t>
  </si>
  <si>
    <t>Enthrall</t>
  </si>
  <si>
    <t>Execration</t>
  </si>
  <si>
    <t>Find Traps</t>
  </si>
  <si>
    <t>Gentle Repose</t>
  </si>
  <si>
    <t>Hold Person</t>
  </si>
  <si>
    <t>Lore of the Gods</t>
  </si>
  <si>
    <t>Make Whole</t>
  </si>
  <si>
    <t>Remove Paralysis</t>
  </si>
  <si>
    <t>Shatter</t>
  </si>
  <si>
    <t>Shield Other</t>
  </si>
  <si>
    <t>Silence</t>
  </si>
  <si>
    <t>Sound Burst</t>
  </si>
  <si>
    <t>Spiritual Weapon</t>
  </si>
  <si>
    <t>Substitute Domain</t>
  </si>
  <si>
    <t>Summon Monster II</t>
  </si>
  <si>
    <t>Turn Anathema</t>
  </si>
  <si>
    <t>Undetectable Alignment</t>
  </si>
  <si>
    <t>Zone of Truth</t>
  </si>
  <si>
    <t>Animate Dead</t>
  </si>
  <si>
    <t>Bestow Curse</t>
  </si>
  <si>
    <t>Bolster Aura</t>
  </si>
  <si>
    <t>Continual Flame</t>
  </si>
  <si>
    <t>Create Food &amp; Water</t>
  </si>
  <si>
    <t>Deeper Darkness</t>
  </si>
  <si>
    <t>Deific Bastion</t>
  </si>
  <si>
    <t>Footsteps of the Divine</t>
  </si>
  <si>
    <t>Glyph of Warding</t>
  </si>
  <si>
    <t>Discharge</t>
  </si>
  <si>
    <t>Invisibility Purge</t>
  </si>
  <si>
    <t>Light of Wisdom</t>
  </si>
  <si>
    <t>Locate Object</t>
  </si>
  <si>
    <t>M</t>
  </si>
  <si>
    <t>10’ radius</t>
  </si>
  <si>
    <t>Magic Vestment</t>
  </si>
  <si>
    <t>Obscure Object</t>
  </si>
  <si>
    <t>8 hours</t>
  </si>
  <si>
    <t>Prayer</t>
  </si>
  <si>
    <t>Rem. Blind/Deafness</t>
  </si>
  <si>
    <t>Remove Curse</t>
  </si>
  <si>
    <t>Searing Light</t>
  </si>
  <si>
    <t>Speak with Dead</t>
  </si>
  <si>
    <t>Subdue Aura</t>
  </si>
  <si>
    <t>Summon Monster III</t>
  </si>
  <si>
    <t>Tongues</t>
  </si>
  <si>
    <t>Water Walk</t>
  </si>
  <si>
    <t>Turn Undead +2</t>
  </si>
  <si>
    <t>Protection from Evil</t>
  </si>
  <si>
    <t>Domain Powers</t>
  </si>
  <si>
    <t>Knowledge:  Religion</t>
  </si>
  <si>
    <t>Summon Holy Symbol</t>
  </si>
  <si>
    <t>1d20 Roll</t>
  </si>
  <si>
    <t>2d6 Roll</t>
  </si>
  <si>
    <t>Turns/Day</t>
  </si>
  <si>
    <t>Turn Check</t>
  </si>
  <si>
    <t>Turn Dmg.</t>
  </si>
  <si>
    <t>Turns Used</t>
  </si>
  <si>
    <t>Max HD Turned</t>
  </si>
  <si>
    <t>Domain Spell</t>
  </si>
  <si>
    <t>2</t>
  </si>
  <si>
    <t>Turning Undead</t>
  </si>
  <si>
    <t>Waterdeep</t>
  </si>
  <si>
    <t>Simple Weapons</t>
  </si>
  <si>
    <t>All Armor</t>
  </si>
  <si>
    <t>Xavier Forge</t>
  </si>
  <si>
    <t>“Rook”</t>
  </si>
  <si>
    <t>Male</t>
  </si>
  <si>
    <t>Red Knight</t>
  </si>
  <si>
    <t>Martial Rogue</t>
  </si>
  <si>
    <t>Church Inquisitor</t>
  </si>
  <si>
    <t>Spells Granted by the Red Knight</t>
  </si>
  <si>
    <t>Trapfinding</t>
  </si>
  <si>
    <t>Planning</t>
  </si>
  <si>
    <t>Extend Spell</t>
  </si>
  <si>
    <t>War</t>
  </si>
  <si>
    <t>Weapon Focus:  Longsword</t>
  </si>
  <si>
    <t>Inquisition</t>
  </si>
  <si>
    <t>+4 to Dispel</t>
  </si>
  <si>
    <t>Profession:  Quartermaster</t>
  </si>
  <si>
    <t>Perform:  [type]</t>
  </si>
  <si>
    <t>Knowledge:  Arcana</t>
  </si>
  <si>
    <t>Knowledge:  The Planes</t>
  </si>
  <si>
    <t>4</t>
  </si>
  <si>
    <t>martial rogue 1</t>
  </si>
  <si>
    <t>human</t>
  </si>
  <si>
    <t>church inquisitor 1</t>
  </si>
  <si>
    <t>church inquisitor 2</t>
  </si>
  <si>
    <t>Immune to Charms</t>
  </si>
  <si>
    <t>Detect Evil at Will</t>
  </si>
  <si>
    <t>6’ 1”</t>
  </si>
  <si>
    <t>184 lbs</t>
  </si>
  <si>
    <t>Bolts</t>
  </si>
  <si>
    <t>+0</t>
  </si>
  <si>
    <t>Light Crossbow</t>
  </si>
  <si>
    <t>Value</t>
  </si>
  <si>
    <t>1d8</t>
  </si>
  <si>
    <t>Slashing</t>
  </si>
  <si>
    <t>Dwarvencrafted Black Dragonhide Spiked Heavy Shield</t>
  </si>
  <si>
    <t>Healing Belt</t>
  </si>
  <si>
    <t>Scout’s Headband</t>
  </si>
  <si>
    <t>Spell Component Pouch</t>
  </si>
  <si>
    <t>Belt Pouch</t>
  </si>
  <si>
    <t>Waterproof Backpack</t>
  </si>
  <si>
    <t>Restful Crystal</t>
  </si>
  <si>
    <t>Greater Crystal of Illumination</t>
  </si>
  <si>
    <t>Healing Kit</t>
  </si>
  <si>
    <t>Bedroll</t>
  </si>
  <si>
    <t>Journal</t>
  </si>
  <si>
    <t>Quill</t>
  </si>
  <si>
    <t>Metal Vials of Ink</t>
  </si>
  <si>
    <t>Tindertwigs in Waterproof Case</t>
  </si>
  <si>
    <t>‎Metal Flasks of Holy Water</t>
  </si>
  <si>
    <t>Small Steel Mirror</t>
  </si>
  <si>
    <t>‎Assorted Coins</t>
  </si>
  <si>
    <t>Priest’s Outfit</t>
  </si>
  <si>
    <t>Total Equity:</t>
  </si>
  <si>
    <t>Red Knightpriest</t>
  </si>
  <si>
    <t>Mass Aid</t>
  </si>
  <si>
    <t>19-20/x2</t>
  </si>
  <si>
    <t>20’</t>
  </si>
  <si>
    <t>Cold Resistance 2</t>
  </si>
  <si>
    <t>-</t>
  </si>
  <si>
    <t>Slsh/Prc</t>
  </si>
  <si>
    <t>x2</t>
  </si>
  <si>
    <t>Piercing</t>
  </si>
  <si>
    <t>1d6</t>
  </si>
  <si>
    <t>Spikes add 5 lbs to weight</t>
  </si>
  <si>
    <t>3rd:  Touch of Healing</t>
  </si>
  <si>
    <t>Close Wounds</t>
  </si>
  <si>
    <t>Immed</t>
  </si>
  <si>
    <t>Human:  Education</t>
  </si>
  <si>
    <t>Traveler’s Outfit</t>
  </si>
  <si>
    <t>eight</t>
  </si>
  <si>
    <t>Grapple, Unarmed Strike</t>
  </si>
  <si>
    <t>1d3</t>
  </si>
  <si>
    <t>Bludgeon</t>
  </si>
  <si>
    <t>see blw</t>
  </si>
  <si>
    <t>Ebon Eyes</t>
  </si>
  <si>
    <t>church inquisitor 3</t>
  </si>
  <si>
    <t>Regional:  Luck of Heroes</t>
  </si>
  <si>
    <t>1st:  Sacred Healing</t>
  </si>
  <si>
    <t>80’</t>
  </si>
  <si>
    <t>Race</t>
  </si>
  <si>
    <t>Class</t>
  </si>
  <si>
    <t>Sex</t>
  </si>
  <si>
    <t>AC</t>
  </si>
  <si>
    <t>HP</t>
  </si>
  <si>
    <t>Weapons</t>
  </si>
  <si>
    <t>Armor</t>
  </si>
  <si>
    <t>ECL</t>
  </si>
  <si>
    <t>m</t>
  </si>
  <si>
    <t>Init</t>
  </si>
  <si>
    <t>TAC</t>
  </si>
  <si>
    <t>FF</t>
  </si>
  <si>
    <t>Spells Known</t>
  </si>
  <si>
    <t>Notable Equipment</t>
  </si>
  <si>
    <t>twenty</t>
  </si>
  <si>
    <t>Purify Food and Drink</t>
  </si>
  <si>
    <t>Nightshield</t>
  </si>
  <si>
    <t>Priest Outfit (informal)</t>
  </si>
  <si>
    <t>Priest Outfit (ornate)</t>
  </si>
  <si>
    <t>Effective Caster Level:</t>
  </si>
  <si>
    <t>Effective Turning Level:</t>
  </si>
  <si>
    <t>Ephod of Authority</t>
  </si>
  <si>
    <t>Common, Celestial, Abyssal</t>
  </si>
  <si>
    <t>Weapon of the Deity</t>
  </si>
  <si>
    <t>Spell Compendium</t>
  </si>
  <si>
    <t>Spiritual Greatsword</t>
  </si>
  <si>
    <t>2d6</t>
  </si>
  <si>
    <t>19-20, x2</t>
  </si>
  <si>
    <t>Lawful Neutral</t>
  </si>
  <si>
    <t>Pierce Illusion</t>
  </si>
  <si>
    <t>Pierce Disguise</t>
  </si>
  <si>
    <t>church inquisitor 4</t>
  </si>
  <si>
    <t>Aerial Alacrity</t>
  </si>
  <si>
    <t>Air Walk</t>
  </si>
  <si>
    <t>Aligned Aura</t>
  </si>
  <si>
    <t>Assay Resistance</t>
  </si>
  <si>
    <t>Assay Spell Resistance</t>
  </si>
  <si>
    <t>Astral Hospice</t>
  </si>
  <si>
    <t>Beast Claws</t>
  </si>
  <si>
    <t>Blight</t>
  </si>
  <si>
    <t>Blindsight</t>
  </si>
  <si>
    <t>Blood of the Martyr</t>
  </si>
  <si>
    <t>Castigate</t>
  </si>
  <si>
    <t>Celestial Brilliance</t>
  </si>
  <si>
    <t>Confound</t>
  </si>
  <si>
    <t>Conjure Ice Beast IV</t>
  </si>
  <si>
    <t>Control Water</t>
  </si>
  <si>
    <t>Cure Critical Wounds</t>
  </si>
  <si>
    <t>Dampen Magic</t>
  </si>
  <si>
    <t>Death Ward</t>
  </si>
  <si>
    <t>Dimensional Anchor</t>
  </si>
  <si>
    <t>Discern Lies</t>
  </si>
  <si>
    <t>Dismissal</t>
  </si>
  <si>
    <t>Divine Power</t>
  </si>
  <si>
    <t>Divine Storm</t>
  </si>
  <si>
    <t>Dragon Blight</t>
  </si>
  <si>
    <t>Dust to Dust</t>
  </si>
  <si>
    <t>Focus Touchstone Energy</t>
  </si>
  <si>
    <t>Freedom of Movement</t>
  </si>
  <si>
    <t>Giant Vermin</t>
  </si>
  <si>
    <t>Greater Status</t>
  </si>
  <si>
    <t>Harrier</t>
  </si>
  <si>
    <t>Holy Transformation, Lesser</t>
  </si>
  <si>
    <t>Imbue w Spell Ability</t>
  </si>
  <si>
    <t>Inflict Critical Wounds</t>
  </si>
  <si>
    <t>Light of Purity</t>
  </si>
  <si>
    <t>Magic Weapon, Greater</t>
  </si>
  <si>
    <t>Moral Façade</t>
  </si>
  <si>
    <t>Nchaser’s Glowing Orb</t>
  </si>
  <si>
    <t>Neutralize Poison</t>
  </si>
  <si>
    <t>Planar Ally, Lesser</t>
  </si>
  <si>
    <t>Planar Tolerance</t>
  </si>
  <si>
    <t>Poison</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</si>
  <si>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</si>
  <si>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</si>
  <si>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</si>
  <si>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</si>
  <si>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</si>
  <si>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</si>
  <si>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</si>
  <si>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</si>
  <si>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</si>
  <si>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</si>
  <si>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</si>
  <si>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</si>
  <si>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</si>
  <si>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</si>
  <si>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Summon Monster IV</t>
  </si>
  <si>
    <t>Summon Undead IV</t>
  </si>
  <si>
    <t>Sustain</t>
  </si>
  <si>
    <t>Sword of Conscience</t>
  </si>
  <si>
    <t>Unfailing Endurance</t>
  </si>
  <si>
    <t>Wall of Good</t>
  </si>
  <si>
    <t>Wall of Sand</t>
  </si>
  <si>
    <t>Weather Eye</t>
  </si>
  <si>
    <t>Swift</t>
  </si>
  <si>
    <t>Races of the Wild</t>
  </si>
  <si>
    <t>PHB</t>
  </si>
  <si>
    <t>20’ or 60’</t>
  </si>
  <si>
    <t>Complete Champion</t>
  </si>
  <si>
    <t>Complete Arcane</t>
  </si>
  <si>
    <t>Planar Handbook</t>
  </si>
  <si>
    <t>Defenders of the Faith</t>
  </si>
  <si>
    <t>Magic of Faerûn</t>
  </si>
  <si>
    <t>Book of Exalted Deeds</t>
  </si>
  <si>
    <t>Frostburn</t>
  </si>
  <si>
    <t>Dragons of Faerûn</t>
  </si>
  <si>
    <t>V S DF0 min</t>
  </si>
  <si>
    <t>Player’s Guide to Faerûn</t>
  </si>
  <si>
    <t>Unapproachable East</t>
  </si>
  <si>
    <t>S</t>
  </si>
  <si>
    <t>Champions of Valor</t>
  </si>
  <si>
    <t>10+1 rnd/lvl</t>
  </si>
  <si>
    <t>12 hours</t>
  </si>
  <si>
    <t>Libris Mortis</t>
  </si>
  <si>
    <t>6 hrs/lvl</t>
  </si>
  <si>
    <t>V DF</t>
  </si>
  <si>
    <t>Conc. + 1/lvl</t>
  </si>
  <si>
    <t>1+1 mile/lvl</t>
  </si>
  <si>
    <t>Reference</t>
  </si>
  <si>
    <t>Page</t>
  </si>
  <si>
    <t>Comprehend Languages</t>
  </si>
  <si>
    <t>Owl’s Wisdom</t>
  </si>
  <si>
    <t>Clairvoyance/Clairaudience</t>
  </si>
  <si>
    <t>Daily Spells</t>
  </si>
  <si>
    <t>Played by JR Roberts</t>
  </si>
  <si>
    <t>Immune to Compulsions</t>
  </si>
  <si>
    <t>Remove Blind/Deafness</t>
  </si>
  <si>
    <t>Ring of Feather Falling</t>
  </si>
  <si>
    <t>Rook Leadership</t>
  </si>
  <si>
    <t>Great Renown</t>
  </si>
  <si>
    <t>Leadership Score</t>
  </si>
  <si>
    <t>Cohort Level:</t>
  </si>
  <si>
    <t>1st-level</t>
  </si>
  <si>
    <t>2nd-level</t>
  </si>
  <si>
    <t>3rd-level</t>
  </si>
  <si>
    <t>Max</t>
  </si>
  <si>
    <t>Actual</t>
  </si>
  <si>
    <t>Amanuensis</t>
  </si>
  <si>
    <t>Inflict Minor Wounds</t>
  </si>
  <si>
    <t>instant</t>
  </si>
  <si>
    <t>Book of Vile Darkness</t>
  </si>
  <si>
    <t>Preserve Organ</t>
  </si>
  <si>
    <t>Slash Tongue</t>
  </si>
  <si>
    <t>Virtue</t>
  </si>
  <si>
    <t>Angry Ache</t>
  </si>
  <si>
    <t>Bane</t>
  </si>
  <si>
    <t>Blade of Blood</t>
  </si>
  <si>
    <t>PHB II</t>
  </si>
  <si>
    <t>Bless</t>
  </si>
  <si>
    <t>Bless Water</t>
  </si>
  <si>
    <t>Blood Wind</t>
  </si>
  <si>
    <t>Savage Species</t>
  </si>
  <si>
    <t>Burial Blessing</t>
  </si>
  <si>
    <t>V S M XP</t>
  </si>
  <si>
    <t>Conjure Ice Beast I</t>
  </si>
  <si>
    <t>Curse Water</t>
  </si>
  <si>
    <t>Detect Animals/Plants</t>
  </si>
  <si>
    <t>Detect C/E/G/L</t>
  </si>
  <si>
    <t>40’</t>
  </si>
  <si>
    <t>Divine Inspiration</t>
  </si>
  <si>
    <t>Sacrifice</t>
  </si>
  <si>
    <t>Extract Drug</t>
  </si>
  <si>
    <t>Eyes of the Avoral</t>
  </si>
  <si>
    <t>V S F DF</t>
  </si>
  <si>
    <t>Grave Strike</t>
  </si>
  <si>
    <t>Complete Adventurer</t>
  </si>
  <si>
    <t>Guiding Light</t>
  </si>
  <si>
    <t>Healthful Rest</t>
  </si>
  <si>
    <t>Heartache</t>
  </si>
  <si>
    <t>Hide from Undead</t>
  </si>
  <si>
    <t>Inflict Light Wounds</t>
  </si>
  <si>
    <t>Ironguts</t>
  </si>
  <si>
    <t>Light of Lunia</t>
  </si>
  <si>
    <t>Magic Stone</t>
  </si>
  <si>
    <t>30 minutes</t>
  </si>
  <si>
    <t>Nimbus of Light</t>
  </si>
  <si>
    <t>Complete Divine</t>
  </si>
  <si>
    <t>Omen of Peril</t>
  </si>
  <si>
    <t>V F</t>
  </si>
  <si>
    <t>Remove Fear</t>
  </si>
  <si>
    <t>Resist Planar Alignment</t>
  </si>
  <si>
    <t>Sacrificial Skill</t>
  </si>
  <si>
    <t>Slow Consumption</t>
  </si>
  <si>
    <t>V S Location</t>
  </si>
  <si>
    <t>Sorrow</t>
  </si>
  <si>
    <t>Spell Flower</t>
  </si>
  <si>
    <t>Spider Hand</t>
  </si>
  <si>
    <t>Stupor</t>
  </si>
  <si>
    <t>S M</t>
  </si>
  <si>
    <t>Summon Undead I</t>
  </si>
  <si>
    <t>Suspend Disease</t>
  </si>
  <si>
    <t>Twilight Luck</t>
  </si>
  <si>
    <t>V Abstinence</t>
  </si>
  <si>
    <t>Vigor, Lesser</t>
  </si>
  <si>
    <t>Vision of Heaven</t>
  </si>
  <si>
    <t>Addiction</t>
  </si>
  <si>
    <t>V S Drug</t>
  </si>
  <si>
    <t>Align Weapon</t>
  </si>
  <si>
    <t>Manual of the Planes</t>
  </si>
  <si>
    <t>Augury</t>
  </si>
  <si>
    <t>Avoid Planar Effects</t>
  </si>
  <si>
    <t>Ayailla’s Radiant Burst</t>
  </si>
  <si>
    <t>V S Sacr.</t>
  </si>
  <si>
    <t>Bear’s Endurance</t>
  </si>
  <si>
    <t>Benediction</t>
  </si>
  <si>
    <t>Body Blades</t>
  </si>
  <si>
    <t>Boneblast</t>
  </si>
  <si>
    <t>Brambles</t>
  </si>
  <si>
    <t>Cat’s Grace</t>
  </si>
  <si>
    <t>Conjure Ice Beast II</t>
  </si>
  <si>
    <t>Consecrate</t>
  </si>
  <si>
    <t>Dance of Ruin</t>
  </si>
  <si>
    <t>Darkbolt</t>
  </si>
  <si>
    <t>Deific Vengeance</t>
  </si>
  <si>
    <t>Divine Flame</t>
  </si>
  <si>
    <t>15’</t>
  </si>
  <si>
    <t>Divine Insight</t>
  </si>
  <si>
    <t>Divine Zephyr</t>
  </si>
  <si>
    <t>Eagle’s Splendor</t>
  </si>
  <si>
    <t>Ease Pain</t>
  </si>
  <si>
    <t>S DF</t>
  </si>
  <si>
    <t>Estanna’s Stew</t>
  </si>
  <si>
    <t>Eyes of the Zombie</t>
  </si>
  <si>
    <t>Filter</t>
  </si>
  <si>
    <t>Tome &amp; Blood</t>
  </si>
  <si>
    <t>Gaze Screen</t>
  </si>
  <si>
    <t>Healing Lorecall</t>
  </si>
  <si>
    <t>Inflict Moderate Wounds</t>
  </si>
  <si>
    <t>Interfaith Blessing</t>
  </si>
  <si>
    <t>Knife Spray</t>
  </si>
  <si>
    <t>Lastai’s Caress</t>
  </si>
  <si>
    <t>Lesser Telepathic Bond</t>
  </si>
  <si>
    <t>Light of Faith</t>
  </si>
  <si>
    <t>Locate Touchstone</t>
  </si>
  <si>
    <t>Luminous Armor</t>
  </si>
  <si>
    <t>Master Cavalier</t>
  </si>
  <si>
    <t>Portal Well</t>
  </si>
  <si>
    <t>Remove Addiction</t>
  </si>
  <si>
    <t>Resist Energy</t>
  </si>
  <si>
    <t>Restoration, Lesser</t>
  </si>
  <si>
    <t>Sap Strength</t>
  </si>
  <si>
    <t>Soul Ward</t>
  </si>
  <si>
    <t>Spider Legs</t>
  </si>
  <si>
    <t>Status</t>
  </si>
  <si>
    <t>Stay the Hand</t>
  </si>
  <si>
    <t>Summon Undead II</t>
  </si>
  <si>
    <t>Sweet Water</t>
  </si>
  <si>
    <t>Wave of Grief</t>
  </si>
  <si>
    <t>Wither Limb</t>
  </si>
  <si>
    <t>Affliction</t>
  </si>
  <si>
    <t>Air Breathing</t>
  </si>
  <si>
    <t>S M/DF</t>
  </si>
  <si>
    <t>Stormwrack</t>
  </si>
  <si>
    <t>Attune Form</t>
  </si>
  <si>
    <t>Bladebane</t>
  </si>
  <si>
    <t>Blessed Aim</t>
  </si>
  <si>
    <t>Blessed Sight</t>
  </si>
  <si>
    <t>Blindness/Deafness</t>
  </si>
  <si>
    <t>Briar Web</t>
  </si>
  <si>
    <t>Chain of Eyes</t>
  </si>
  <si>
    <t>Circle Dance</t>
  </si>
  <si>
    <t>Circle of Nausea</t>
  </si>
  <si>
    <t>Cloak of Bravery</t>
  </si>
  <si>
    <t>Clutch of Orcus</t>
  </si>
  <si>
    <t>Conjure Ice Beast III</t>
  </si>
  <si>
    <t>Curse of the Brute</t>
  </si>
  <si>
    <t>Devil’s Eye</t>
  </si>
  <si>
    <t>Energize Potion</t>
  </si>
  <si>
    <t>Flame of Faith</t>
  </si>
  <si>
    <t>Flesh Ripper</t>
  </si>
  <si>
    <t>V S Und Fnd</t>
  </si>
  <si>
    <t>Forest Eyes</t>
  </si>
  <si>
    <t>Unlimited</t>
  </si>
  <si>
    <t>Heart’s Ease</t>
  </si>
  <si>
    <t>Hesitate</t>
  </si>
  <si>
    <t>1 IA</t>
  </si>
  <si>
    <t>Inflict Serious Wounds</t>
  </si>
  <si>
    <t>Inspired Aim</t>
  </si>
  <si>
    <t>Invoke the Cerulean Sign</t>
  </si>
  <si>
    <t>Lords of Madness</t>
  </si>
  <si>
    <t>Locate Node</t>
  </si>
  <si>
    <t>1 mile/lvl</t>
  </si>
  <si>
    <t>Champions of Ruin</t>
  </si>
  <si>
    <t>Masochism</t>
  </si>
  <si>
    <t>Protection from Energy</t>
  </si>
  <si>
    <t>Refreshment</t>
  </si>
  <si>
    <t>Remove Nausea</t>
  </si>
  <si>
    <t>Resist Energy, Mass</t>
  </si>
  <si>
    <t>Ring of Blades</t>
  </si>
  <si>
    <t>Sadism</t>
  </si>
  <si>
    <t>Shriveling</t>
  </si>
  <si>
    <t>V S Disease</t>
  </si>
  <si>
    <t>Skull Watch</t>
  </si>
  <si>
    <t>Slashing Darkness</t>
  </si>
  <si>
    <t>Spikes</t>
  </si>
  <si>
    <t>Summon Undead III</t>
  </si>
  <si>
    <t>Sword Stream</t>
  </si>
  <si>
    <t>Unliving Weapon</t>
  </si>
  <si>
    <t>Vigor</t>
  </si>
  <si>
    <t>Vigor, Mass, Lesser</t>
  </si>
  <si>
    <t>Vile Lance</t>
  </si>
  <si>
    <t>Wrack</t>
  </si>
  <si>
    <t>Abyssal Might</t>
  </si>
  <si>
    <t>V S M Demon</t>
  </si>
  <si>
    <t>Claws of the Savage</t>
  </si>
  <si>
    <t>Identify Transgressor</t>
  </si>
  <si>
    <t>V S Drug Locat.</t>
  </si>
  <si>
    <t>Psychic Poison</t>
  </si>
  <si>
    <t>Shield of Faith, Mass</t>
  </si>
  <si>
    <t>Stop Heart</t>
  </si>
  <si>
    <t>S Drug</t>
  </si>
  <si>
    <t>Protection from C/E/G</t>
  </si>
  <si>
    <t>Magic Circle v C/E/G</t>
  </si>
  <si>
    <t>Holy Smite</t>
  </si>
  <si>
    <t>Clairaudience/voyance</t>
  </si>
  <si>
    <t>+4 vs. Disguise</t>
  </si>
  <si>
    <t>Reliquary Holy Symbol of Red Knight</t>
  </si>
  <si>
    <t>church inquisitor 5</t>
  </si>
  <si>
    <t>Bypass Spell Resistance</t>
  </si>
  <si>
    <t>Ranged Touch Attack</t>
  </si>
  <si>
    <t>Fairness &amp; Generosity</t>
  </si>
  <si>
    <t>Stash:  Shipshape Way</t>
  </si>
  <si>
    <t>Force Shapechange</t>
  </si>
  <si>
    <t>Lasts 1d6 rounds</t>
  </si>
  <si>
    <t>Armor Bonus</t>
  </si>
  <si>
    <t>church inquisitor 6</t>
  </si>
  <si>
    <t>F</t>
  </si>
  <si>
    <t>LN</t>
  </si>
  <si>
    <t>NG</t>
  </si>
  <si>
    <t>N</t>
  </si>
  <si>
    <t>LG</t>
  </si>
  <si>
    <t>bard</t>
  </si>
  <si>
    <t>dwarf</t>
  </si>
  <si>
    <t>halfling</t>
  </si>
  <si>
    <t>druid</t>
  </si>
  <si>
    <t>Thoret</t>
  </si>
  <si>
    <t>Wynmannkewaru</t>
  </si>
  <si>
    <t>BAB</t>
  </si>
  <si>
    <t>half-elf</t>
  </si>
  <si>
    <t>Gray Hand Token</t>
  </si>
  <si>
    <t>all cleric 0 - 2</t>
  </si>
  <si>
    <t>all cleric 0 - 1</t>
  </si>
  <si>
    <t>all druid 0 - 1</t>
  </si>
  <si>
    <r>
      <t>66</t>
    </r>
    <r>
      <rPr>
        <sz val="13"/>
        <rFont val="Times New Roman"/>
        <family val="1"/>
      </rPr>
      <t>/</t>
    </r>
    <r>
      <rPr>
        <sz val="13"/>
        <color indexed="51"/>
        <rFont val="Times New Roman"/>
        <family val="1"/>
      </rPr>
      <t>133</t>
    </r>
    <r>
      <rPr>
        <sz val="13"/>
        <rFont val="Times New Roman"/>
        <family val="1"/>
      </rPr>
      <t>/</t>
    </r>
    <r>
      <rPr>
        <sz val="13"/>
        <color indexed="10"/>
        <rFont val="Times New Roman"/>
        <family val="1"/>
      </rPr>
      <t>200</t>
    </r>
  </si>
  <si>
    <t>Martial Rogue 1:  Martial Weapon Proficiency</t>
  </si>
  <si>
    <r>
      <t xml:space="preserve">2
</t>
    </r>
    <r>
      <rPr>
        <sz val="10"/>
        <color rgb="FFFF0000"/>
        <rFont val="Times New Roman"/>
        <family val="1"/>
      </rPr>
      <t>0</t>
    </r>
  </si>
  <si>
    <t>DWDH Longsword, 2nd attack</t>
  </si>
  <si>
    <t>Summon Instrument, Read Magic, Message, Prestidigitation</t>
  </si>
  <si>
    <t>Summon Instrument, Read Magic, Resistance, Prestidigitation</t>
  </si>
  <si>
    <t>Mage Hand, Read Magic, Message, Light</t>
  </si>
  <si>
    <t>longsword, hand crossbow</t>
  </si>
  <si>
    <t>short sword,
shortbow, dagger</t>
  </si>
  <si>
    <t>Spear, dagger</t>
  </si>
  <si>
    <t>rapier, shortbow, dagger</t>
  </si>
  <si>
    <t>longsword, whip, dagger</t>
  </si>
  <si>
    <t>shortsword, sap, dagger</t>
  </si>
  <si>
    <t>Age</t>
  </si>
  <si>
    <t>Physical Description</t>
  </si>
  <si>
    <t>Personality</t>
  </si>
  <si>
    <t>Background</t>
  </si>
  <si>
    <t>Relationships</t>
  </si>
  <si>
    <t>Profession</t>
  </si>
  <si>
    <t>Cook</t>
  </si>
  <si>
    <t>Native to Suzail.
In Waterdeep for two years.</t>
  </si>
  <si>
    <t>Seamstress</t>
  </si>
  <si>
    <t>Butcher</t>
  </si>
  <si>
    <t>Kindly, task-oriented</t>
  </si>
  <si>
    <t>Native to Silverymoon.
In Waterdeep for five years.</t>
  </si>
  <si>
    <t>Baker</t>
  </si>
  <si>
    <t>Tailor</t>
  </si>
  <si>
    <t>Married to Thywine</t>
  </si>
  <si>
    <t>Bard</t>
  </si>
  <si>
    <t>Miner</t>
  </si>
  <si>
    <t>Counselor</t>
  </si>
  <si>
    <t>Groom</t>
  </si>
  <si>
    <t>Mischievous</t>
  </si>
  <si>
    <t>Native to Secomber
In Waterdeep for five months.</t>
  </si>
  <si>
    <t>Gardener</t>
  </si>
  <si>
    <t>Native to Triel
In Waterdeep for three years.</t>
  </si>
  <si>
    <t>Orator</t>
  </si>
  <si>
    <t>Witty, gregarious</t>
  </si>
  <si>
    <t>Native to Yartar
In Waterdeep for four months. Lost his new bride on the trip to Waterdeep to a brigand attack.</t>
  </si>
  <si>
    <t>Historian</t>
  </si>
  <si>
    <t>Native to Scornubel
In Waterdeep for one year.</t>
  </si>
  <si>
    <t>Herbalist</t>
  </si>
  <si>
    <t>Groundskeeper</t>
  </si>
  <si>
    <t>Native to Daggerford
In Waterdeep for six months.</t>
  </si>
  <si>
    <t>Scribe</t>
  </si>
  <si>
    <t>Close friends with Esclas</t>
  </si>
  <si>
    <t>Housekeeping</t>
  </si>
  <si>
    <t>Native to Loudwater
In Waterdeep for two years.
Fled her home after killing her abusive husband.</t>
  </si>
  <si>
    <t>Pious, quiet</t>
  </si>
  <si>
    <t>Administration</t>
  </si>
  <si>
    <t>Encouraging, uplifting</t>
  </si>
  <si>
    <t>Native to Ireabor
In Waterdeep for one year</t>
  </si>
  <si>
    <t>Stoic, kindly</t>
  </si>
  <si>
    <t>Native to Amn
In Waterdeep for two years.</t>
  </si>
  <si>
    <t>Stonemason</t>
  </si>
  <si>
    <t>Happy, pleasant</t>
  </si>
  <si>
    <t>Serious, level headed</t>
  </si>
  <si>
    <t>Native to Neverwinter
In Waterdeep for four years.</t>
  </si>
  <si>
    <t>Studious</t>
  </si>
  <si>
    <t>Obnoxious</t>
  </si>
  <si>
    <t>Only close to Habirlun, barely tolerates any of his peers, shy around superiors</t>
  </si>
  <si>
    <t>Valet</t>
  </si>
  <si>
    <t>Reclusive</t>
  </si>
  <si>
    <t>Weaver</t>
  </si>
  <si>
    <t>Native to Baldur’s Gate.
In Waterdeep for two years.</t>
  </si>
  <si>
    <t>Native to Hill’s Edge
In Waterdeep for one year.</t>
  </si>
  <si>
    <t>Native to Baldur’s Gate
In Waterdeep for two years.</t>
  </si>
  <si>
    <t>Platinum blonde, pale complexion, slim, 5’7”, 135 lbs, attractive appearance</t>
  </si>
  <si>
    <t>Grey hair, dark complexion, stocky, 4’ 3”, 155 lbs, average appearance</t>
  </si>
  <si>
    <t>Blonde, medium complexion, voluptuous, 3”4”, 65 lbs, attractive appearance</t>
  </si>
  <si>
    <t>Brown hair, medium complexion, stout, 5’6”, 165 lbs, average appearance</t>
  </si>
  <si>
    <t>Brunette, light complexion, stocky, 130 lbs, 5’3”, average appearance</t>
  </si>
  <si>
    <t>Blond, medium complexion, athletic, 5’9”, 170 lbs, average appearance</t>
  </si>
  <si>
    <t>Brunette, dark complexion, voluptuous, 5’3”, 115 lbs, attractive appearance</t>
  </si>
  <si>
    <t>Brown hair, medium complexion, athletic build, 5”8”, 160 lbs, attractive appearance</t>
  </si>
  <si>
    <t>Redhead, pale complexion, slim build, 5’8”, 135 lbs, average appearance</t>
  </si>
  <si>
    <t>Brunette, medium complexion, slim build, 110 lbs, 5’5”, average appearance</t>
  </si>
  <si>
    <t>Auburn hair, ruddy complexion, bulky build, 5’5”, 160 lbs, average appearance.</t>
  </si>
  <si>
    <t>Brunette, medium complexion, slim, 105 lbs, 5’2”, average appearance</t>
  </si>
  <si>
    <t>Brunet, dark complexion, slim, 120 lbs, 5’4”, average appearance</t>
  </si>
  <si>
    <t>Brown hair, light complexion, athletic build, 5”6”, 130 lbs, attractive appearance</t>
  </si>
  <si>
    <t>Blond, pale complexion, slim, 135 lbs, 5’6”, average appearance</t>
  </si>
  <si>
    <t>brown hair, medium complexion, athletic build, 3”6”, 60 lbs, attractive appearance</t>
  </si>
  <si>
    <t>Redhead, average build, 5”6”, 130 lbs, average appearance</t>
  </si>
  <si>
    <t>Brunette, very dark complexion, average build, 120 lbs, 5’4”, average appearance</t>
  </si>
  <si>
    <t>Blond, light complexion, slim, 130 lbs, 5’5”, average appearance</t>
  </si>
  <si>
    <t>Brunette, light complexion, slim, 100 lbs, 5’3”, average appearance</t>
  </si>
  <si>
    <t>Redhead, fit build, 125 lbs, 5’5”, attractive appearance</t>
  </si>
  <si>
    <t>Brunet, medium complexion, stocky, 120 lbs, 4’8”, average appearance</t>
  </si>
  <si>
    <t>Brunette, dark complexion, 3’1”, 55 lbs, attractive appearance</t>
  </si>
  <si>
    <t>Blond, light complexion, slim, 145 lbs, 5’6”, average appearance</t>
  </si>
  <si>
    <t>Blonde, light complexion, slim, 120 lbs, 5’5”, attractive appearance</t>
  </si>
  <si>
    <t>Brunette, medium complexion, slim, 100 lbs, 5’3”, average appearance</t>
  </si>
  <si>
    <t>Spells Prepared / Cast</t>
  </si>
  <si>
    <t>Perform-4, Knowledge (Local)-4, Knowledge (History (4), Knowledge (Religion)-4. Concentration-2,Spellcraft-2 / Persuasive / Bardic music, bardic knowledge, countersong, fascinate, inspire courage +1 / Summon Instrument, Read Magic, Message, Prestidigitation</t>
  </si>
  <si>
    <t>Perform-4, Knowledge (Local)-4, Knowledge (History (4), Knowledge (Religion)-4. Concentration-2,Spellcraft-2 / Persuasive / Bardic music, bardic knowledge, countersong, fascinate, inspire courage +1 / Mage Hand, Read Magic, Message, Light</t>
  </si>
  <si>
    <t xml:space="preserve">Followers </t>
  </si>
  <si>
    <t>Leather,
Lt. Shield</t>
  </si>
  <si>
    <t>q</t>
  </si>
  <si>
    <t>Scrolls and Potions</t>
  </si>
  <si>
    <t>CLev</t>
  </si>
  <si>
    <r>
      <t xml:space="preserve">Potion of </t>
    </r>
    <r>
      <rPr>
        <i/>
        <sz val="12"/>
        <rFont val="Times New Roman"/>
        <family val="1"/>
      </rPr>
      <t>cure moderate wounds</t>
    </r>
  </si>
  <si>
    <r>
      <t xml:space="preserve">DWDH Longsword, </t>
    </r>
    <r>
      <rPr>
        <i/>
        <sz val="12"/>
        <rFont val="Times New Roman"/>
        <family val="1"/>
      </rPr>
      <t>haste</t>
    </r>
  </si>
  <si>
    <t>Grapple, Unarmed Strike, 2nd Attack</t>
  </si>
  <si>
    <t>Profession (2), Knowledge (Religion) (2), Heal (2), Knowledge (History) (1), Spellcraft (1) / Armor Proficiency (Light), Martial Weapon Proficiency, Weapon Focus (Longsword)</t>
  </si>
  <si>
    <t>Profession (2), Knowledge (Religion) (2), Heal (2), Knowledge (History) (2), Spellcraft (2), Concentration (2) / Armor Proficiency (Light), Improved Initiative, Improved Turning, Martial Weapon Proficiency, Weapon Focus (Longsword)</t>
  </si>
  <si>
    <t>Profession (2), Knowledge (Religion) (2), Heal (2), Knowledge (History) (2), Spellcraft (2) / Armor Proficiency (Light), Improved Initiative, Martial Weapon Proficiency, Weapon Focus (Longsword)</t>
  </si>
  <si>
    <t>Profession (2), Knowledge (Religion) (2), Heal (2), Knowledge (History) (1), Spellcraft (1)) / Armor Proficiency (Light), Martial Weapon Proficiency, Weapon Focus (Longsword)</t>
  </si>
  <si>
    <t>Profession (2), Knowledge (Religion) (2), Heal (2), Knowledge (History) (1), Spellcraft (1) / Armor Proficiency (Light), Improved Initiative, Martial Weapon Proficiency, Weapon Focus (Longsword)</t>
  </si>
  <si>
    <t>Concentration (2), Handle Animal (2), Knowledge (Nature) (2), Profession (2), Ride (2), Spellcraft (2), Survival (2), Spot (2), Swim (2), Listen (2) / Improved Initiative, Armor Proficiency (Light)</t>
  </si>
  <si>
    <t>Profession (2), Knowledge (Religion) (2), Heal (2), Knowledge (History) (1), Spellcraft (1), Martial Weapon Proficiency, Weapon Focus (Longsword)</t>
  </si>
  <si>
    <t>Profession (2), Knowledge (Religion) (2), Heal (2), Knowledge (History) (2), Spellcraft (2), Concentration (2) / Armor Proficiency (Light), Improved Initiative, Martial Weapon Proficiency, Weapon Focus (Longsword)</t>
  </si>
  <si>
    <t>Perform-4, Knowledge (Local)-4, Knowledge (History (4), Knowledge (Religion)-4. Concentration-2,Spellcraft-2 / Persuasive / Bardic music, bardic knowledge, countersong, fascinate, inspire courage +1</t>
  </si>
  <si>
    <t>Profession (3), Knowledge (Religion) (3), Heal (3), Knowledge (History) (3), Spellcraft (2), Concentration (2) / Armor Proficiency (Light), Improved Initiative, Martial Weapon Proficiency, Weapon Focus (Longsword)</t>
  </si>
  <si>
    <t>Concentration (2), Handle Animal (2), Knowledge (Nature) (2), Profession (2), Ride (2), Spellcraft (2), Survival (1), Spot (1), Swim (1), Listen (1) / Improved Initiative</t>
  </si>
  <si>
    <t>Profession (2), Knowledge (Religion) (2) / Armor Proficiency (Light), Improved Initiative, Martial Weapon Proficiency, Weapon Focus (Longsword)</t>
  </si>
  <si>
    <t>Profession (2), Knowledge (Religion) (2) / Armor Proficiency (Light), Martial Weapon Proficiency, Weapon Focus (Longsword)</t>
  </si>
  <si>
    <t>cleric of Red Knight</t>
  </si>
  <si>
    <t>Fort</t>
  </si>
  <si>
    <t>Ref</t>
  </si>
  <si>
    <r>
      <t>Mending, Message (0/3);</t>
    </r>
    <r>
      <rPr>
        <b/>
        <sz val="10"/>
        <rFont val="Times New Roman"/>
        <family val="1"/>
      </rPr>
      <t xml:space="preserve"> Burial Blessing, Read Magic, Bless, Bless; </t>
    </r>
    <r>
      <rPr>
        <i/>
        <sz val="10"/>
        <rFont val="Times New Roman"/>
        <family val="1"/>
      </rPr>
      <t>Ease Pain, Interfaith Blessing</t>
    </r>
  </si>
  <si>
    <r>
      <t xml:space="preserve">Mending, Message (0/3), Read Magic; </t>
    </r>
    <r>
      <rPr>
        <b/>
        <sz val="10"/>
        <rFont val="Times New Roman"/>
        <family val="1"/>
      </rPr>
      <t>Bless (0/2), Burial Blessing</t>
    </r>
  </si>
  <si>
    <r>
      <t xml:space="preserve">Mending, Message (0/2), Read Magic; </t>
    </r>
    <r>
      <rPr>
        <b/>
        <sz val="10"/>
        <rFont val="Times New Roman"/>
        <family val="1"/>
      </rPr>
      <t>Burial Blessing, Bless</t>
    </r>
  </si>
  <si>
    <r>
      <t>Mending, Know Direction, Read Magic;</t>
    </r>
    <r>
      <rPr>
        <b/>
        <sz val="10"/>
        <rFont val="Times New Roman"/>
        <family val="1"/>
      </rPr>
      <t xml:space="preserve"> Speak with Animals, Suspend Disease</t>
    </r>
  </si>
  <si>
    <r>
      <t xml:space="preserve">+1 </t>
    </r>
    <r>
      <rPr>
        <i/>
        <sz val="13"/>
        <rFont val="Times New Roman"/>
        <family val="1"/>
      </rPr>
      <t>haste</t>
    </r>
  </si>
  <si>
    <t>Craft:  [type]</t>
  </si>
  <si>
    <t>9th:  Improved Turning</t>
  </si>
  <si>
    <t>Constitution</t>
  </si>
  <si>
    <t>Charisma</t>
  </si>
  <si>
    <t>Intelligence</t>
  </si>
  <si>
    <t>Wisdom</t>
  </si>
  <si>
    <t>Dexterity</t>
  </si>
  <si>
    <t>Strength</t>
  </si>
  <si>
    <t>Region</t>
  </si>
  <si>
    <t>Deity</t>
  </si>
  <si>
    <t>Alignment</t>
  </si>
  <si>
    <t>Attack Bonus</t>
  </si>
  <si>
    <t>Initiative</t>
  </si>
  <si>
    <t>Height</t>
  </si>
  <si>
    <t>Weight</t>
  </si>
  <si>
    <t>Leadership</t>
  </si>
  <si>
    <t>Lb. Capacity</t>
  </si>
  <si>
    <t>Lb. Carried</t>
  </si>
  <si>
    <t>Hit Points</t>
  </si>
  <si>
    <t>Touch AC</t>
  </si>
  <si>
    <t>FF AC</t>
  </si>
  <si>
    <t>First</t>
  </si>
  <si>
    <t>Last</t>
  </si>
  <si>
    <t>Thywine</t>
  </si>
  <si>
    <t>An</t>
  </si>
  <si>
    <t>Ani</t>
  </si>
  <si>
    <t>Dall</t>
  </si>
  <si>
    <t>Cyka</t>
  </si>
  <si>
    <t>Holsan</t>
  </si>
  <si>
    <t>Ivevara</t>
  </si>
  <si>
    <t>Varel</t>
  </si>
  <si>
    <t>Rilay</t>
  </si>
  <si>
    <t>Baldza</t>
  </si>
  <si>
    <t>Karina</t>
  </si>
  <si>
    <t>Juhl</t>
  </si>
  <si>
    <t>Grousgroic</t>
  </si>
  <si>
    <t>Graymail</t>
  </si>
  <si>
    <t>Semolina</t>
  </si>
  <si>
    <t>Tinyfoot</t>
  </si>
  <si>
    <t>Samark</t>
  </si>
  <si>
    <t>Elffred</t>
  </si>
  <si>
    <t>Marsyl</t>
  </si>
  <si>
    <t>Muelord</t>
  </si>
  <si>
    <t>Venthana</t>
  </si>
  <si>
    <t>Liayarus</t>
  </si>
  <si>
    <t>Osu</t>
  </si>
  <si>
    <t>Reginso</t>
  </si>
  <si>
    <t>Pehar</t>
  </si>
  <si>
    <t>Ar-mar</t>
  </si>
  <si>
    <t>Car’tom</t>
  </si>
  <si>
    <t>Wynchard</t>
  </si>
  <si>
    <t>Cassandra</t>
  </si>
  <si>
    <t>Took-Took</t>
  </si>
  <si>
    <t>Danbras</t>
  </si>
  <si>
    <t>Red</t>
  </si>
  <si>
    <t>Kaeal</t>
  </si>
  <si>
    <t>Brasfled</t>
  </si>
  <si>
    <t>Gloryra</t>
  </si>
  <si>
    <t>Inasalor</t>
  </si>
  <si>
    <t>Ridwulf</t>
  </si>
  <si>
    <t>Carpa</t>
  </si>
  <si>
    <t>Chelan</t>
  </si>
  <si>
    <t>Niward</t>
  </si>
  <si>
    <t>Habirlun</t>
  </si>
  <si>
    <t>Ironmaker</t>
  </si>
  <si>
    <t>Madelgarde</t>
  </si>
  <si>
    <t>Silverstring</t>
  </si>
  <si>
    <t>Esclas</t>
  </si>
  <si>
    <t>Stanjoan</t>
  </si>
  <si>
    <t>Clamithy</t>
  </si>
  <si>
    <t>Drytter</t>
  </si>
  <si>
    <t>Guth</t>
  </si>
  <si>
    <t>Merika</t>
  </si>
  <si>
    <t>Xyrfaen</t>
  </si>
  <si>
    <t>Sylsatra</t>
  </si>
  <si>
    <t>Wil</t>
  </si>
  <si>
    <t>Skill Ranks</t>
  </si>
  <si>
    <t>Native to Waterdeep</t>
  </si>
  <si>
    <t>Skills / Abilities / Feats</t>
  </si>
  <si>
    <t>longsword +1, hand crossbow</t>
  </si>
  <si>
    <t>MW Leather,
Lt. Shield</t>
  </si>
  <si>
    <t>Leather +1,
MW Lt. Shield</t>
  </si>
  <si>
    <t>MW longsword, hand crossbow</t>
  </si>
  <si>
    <t>MW Leather,
MW Lt. Shield</t>
  </si>
  <si>
    <t>MW longsword, spear, dagger</t>
  </si>
  <si>
    <r>
      <t xml:space="preserve">Potions of </t>
    </r>
    <r>
      <rPr>
        <i/>
        <sz val="12"/>
        <rFont val="Times New Roman"/>
        <family val="1"/>
      </rPr>
      <t>endure elements</t>
    </r>
    <r>
      <rPr>
        <sz val="12"/>
        <rFont val="Times New Roman"/>
        <family val="1"/>
      </rPr>
      <t xml:space="preserve"> (4)</t>
    </r>
  </si>
  <si>
    <r>
      <t xml:space="preserve">Potions of </t>
    </r>
    <r>
      <rPr>
        <i/>
        <sz val="12"/>
        <rFont val="Times New Roman"/>
        <family val="1"/>
      </rPr>
      <t xml:space="preserve">invisibility </t>
    </r>
    <r>
      <rPr>
        <sz val="12"/>
        <rFont val="Times New Roman"/>
        <family val="1"/>
      </rPr>
      <t>(2)</t>
    </r>
  </si>
  <si>
    <r>
      <t xml:space="preserve">Potion of </t>
    </r>
    <r>
      <rPr>
        <i/>
        <sz val="12"/>
        <rFont val="Times New Roman"/>
        <family val="1"/>
      </rPr>
      <t xml:space="preserve">gentle repose </t>
    </r>
    <r>
      <rPr>
        <sz val="12"/>
        <rFont val="Times New Roman"/>
        <family val="1"/>
      </rPr>
      <t>(1)</t>
    </r>
  </si>
  <si>
    <r>
      <t xml:space="preserve">Potion of </t>
    </r>
    <r>
      <rPr>
        <i/>
        <sz val="12"/>
        <rFont val="Times New Roman"/>
        <family val="1"/>
      </rPr>
      <t>fireball</t>
    </r>
    <r>
      <rPr>
        <sz val="12"/>
        <rFont val="Times New Roman"/>
        <family val="1"/>
      </rPr>
      <t xml:space="preserve"> (1), potion of </t>
    </r>
    <r>
      <rPr>
        <i/>
        <sz val="12"/>
        <rFont val="Times New Roman"/>
        <family val="1"/>
      </rPr>
      <t>fly</t>
    </r>
    <r>
      <rPr>
        <sz val="12"/>
        <rFont val="Times New Roman"/>
        <family val="1"/>
      </rPr>
      <t xml:space="preserve"> (1)</t>
    </r>
  </si>
  <si>
    <r>
      <t xml:space="preserve">Potion of </t>
    </r>
    <r>
      <rPr>
        <i/>
        <sz val="12"/>
        <rFont val="Times New Roman"/>
        <family val="1"/>
      </rPr>
      <t xml:space="preserve">dispel magic </t>
    </r>
    <r>
      <rPr>
        <sz val="12"/>
        <rFont val="Times New Roman"/>
        <family val="1"/>
      </rPr>
      <t>(1)</t>
    </r>
  </si>
  <si>
    <t>Group</t>
  </si>
  <si>
    <r>
      <rPr>
        <i/>
        <sz val="10"/>
        <rFont val="Times New Roman"/>
        <family val="1"/>
      </rPr>
      <t>Resistance,</t>
    </r>
    <r>
      <rPr>
        <sz val="10"/>
        <rFont val="Times New Roman"/>
        <family val="1"/>
      </rPr>
      <t xml:space="preserve"> Message (0/2), Read Magic; </t>
    </r>
    <r>
      <rPr>
        <b/>
        <i/>
        <sz val="10"/>
        <rFont val="Times New Roman"/>
        <family val="1"/>
      </rPr>
      <t>Magic Weapon</t>
    </r>
    <r>
      <rPr>
        <b/>
        <sz val="10"/>
        <rFont val="Times New Roman"/>
        <family val="1"/>
      </rPr>
      <t>, Bless</t>
    </r>
  </si>
  <si>
    <r>
      <rPr>
        <i/>
        <sz val="10"/>
        <rFont val="Times New Roman"/>
        <family val="1"/>
      </rPr>
      <t xml:space="preserve">Purify Food, Resistance, Guidance, </t>
    </r>
    <r>
      <rPr>
        <b/>
        <i/>
        <sz val="10"/>
        <rFont val="Times New Roman"/>
        <family val="1"/>
      </rPr>
      <t>Obscuring Mist, Sanctuary</t>
    </r>
  </si>
  <si>
    <r>
      <rPr>
        <i/>
        <sz val="10"/>
        <rFont val="Times New Roman"/>
        <family val="1"/>
      </rPr>
      <t>Resistance,</t>
    </r>
    <r>
      <rPr>
        <sz val="10"/>
        <rFont val="Times New Roman"/>
        <family val="1"/>
      </rPr>
      <t xml:space="preserve"> Know Direction, </t>
    </r>
    <r>
      <rPr>
        <i/>
        <sz val="10"/>
        <rFont val="Times New Roman"/>
        <family val="1"/>
      </rPr>
      <t>Light</t>
    </r>
    <r>
      <rPr>
        <sz val="10"/>
        <rFont val="Times New Roman"/>
        <family val="1"/>
      </rPr>
      <t>;</t>
    </r>
    <r>
      <rPr>
        <b/>
        <sz val="10"/>
        <rFont val="Times New Roman"/>
        <family val="1"/>
      </rPr>
      <t xml:space="preserve"> </t>
    </r>
    <r>
      <rPr>
        <b/>
        <i/>
        <sz val="10"/>
        <rFont val="Times New Roman"/>
        <family val="1"/>
      </rPr>
      <t>Entangle,</t>
    </r>
    <r>
      <rPr>
        <b/>
        <sz val="10"/>
        <rFont val="Times New Roman"/>
        <family val="1"/>
      </rPr>
      <t xml:space="preserve"> Suspend Disease</t>
    </r>
  </si>
  <si>
    <r>
      <rPr>
        <i/>
        <sz val="10"/>
        <rFont val="Times New Roman"/>
        <family val="1"/>
      </rPr>
      <t>Light,</t>
    </r>
    <r>
      <rPr>
        <sz val="10"/>
        <rFont val="Times New Roman"/>
        <family val="1"/>
      </rPr>
      <t xml:space="preserve"> Message (0/3), Read Magic; </t>
    </r>
    <r>
      <rPr>
        <b/>
        <i/>
        <sz val="10"/>
        <rFont val="Times New Roman"/>
        <family val="1"/>
      </rPr>
      <t>Magic Weapon, Sanctuary</t>
    </r>
    <r>
      <rPr>
        <b/>
        <sz val="10"/>
        <rFont val="Times New Roman"/>
        <family val="1"/>
      </rPr>
      <t xml:space="preserve"> (0/2)</t>
    </r>
  </si>
  <si>
    <t>Active Character</t>
  </si>
  <si>
    <t>Knowledge:  Arch. &amp; Eng.</t>
  </si>
  <si>
    <t>Knowledge:  Dungeoneering</t>
  </si>
  <si>
    <t>Knowledge:  Geography</t>
  </si>
  <si>
    <t>Knowledge:  History</t>
  </si>
  <si>
    <t>Knowledge:  Local</t>
  </si>
  <si>
    <t>Knowledge:  Nature</t>
  </si>
  <si>
    <t>Knowledge:  Nobility &amp; Royalty</t>
  </si>
  <si>
    <t>Profession:  Priest</t>
  </si>
  <si>
    <t>Perform</t>
  </si>
  <si>
    <t>Craft:  Weaponsmithing</t>
  </si>
  <si>
    <t>church inquisitor 7</t>
  </si>
  <si>
    <t>church inquisitor 8</t>
  </si>
  <si>
    <t>12th:  Improved Cohort</t>
  </si>
  <si>
    <t>6th:  Leadership</t>
  </si>
  <si>
    <t>Immunity to Possession</t>
  </si>
  <si>
    <t>Atonement</t>
  </si>
  <si>
    <t>Break Enchantment</t>
  </si>
  <si>
    <t>Condemnation</t>
  </si>
  <si>
    <t>Dance of the Unicorn</t>
  </si>
  <si>
    <t>Dispel Cold</t>
  </si>
  <si>
    <t>Dispel Evil</t>
  </si>
  <si>
    <t>Dispel Fire</t>
  </si>
  <si>
    <t>Divine Retribution</t>
  </si>
  <si>
    <t>Mana Flux</t>
  </si>
  <si>
    <t>Spell Theft</t>
  </si>
  <si>
    <t>Telepathy Block</t>
  </si>
  <si>
    <t>Call Zelekhut</t>
  </si>
  <si>
    <t>Conjure Ice Beast V</t>
  </si>
  <si>
    <t>Darts of Life</t>
  </si>
  <si>
    <t>Door of Decay</t>
  </si>
  <si>
    <t>Frostbite</t>
  </si>
  <si>
    <t>Healing Circle</t>
  </si>
  <si>
    <t>Insect Plague</t>
  </si>
  <si>
    <t>Invest Heavy Protection</t>
  </si>
  <si>
    <t>Magic Convalescence</t>
  </si>
  <si>
    <t>Summon Bralani Eladrin</t>
  </si>
  <si>
    <t>Summon Monster V</t>
  </si>
  <si>
    <t>Summon Undead V</t>
  </si>
  <si>
    <t>Vigor, Greater</t>
  </si>
  <si>
    <t>Wall of Ooze</t>
  </si>
  <si>
    <t>Wall of Stone</t>
  </si>
  <si>
    <t>Warding Gems</t>
  </si>
  <si>
    <t>Commune</t>
  </si>
  <si>
    <t>Sacred Guardian</t>
  </si>
  <si>
    <t>Scrying</t>
  </si>
  <si>
    <t>True Seeing</t>
  </si>
  <si>
    <t>Bewildering Mischance</t>
  </si>
  <si>
    <t>Chaav’s Laugh</t>
  </si>
  <si>
    <t>Command, Greater</t>
  </si>
  <si>
    <t>Mark of Sin</t>
  </si>
  <si>
    <t>Morality Undone</t>
  </si>
  <si>
    <t>Righteous Wrath of the Faithful</t>
  </si>
  <si>
    <t>Blistering Radiance</t>
  </si>
  <si>
    <t>Boreal Wind</t>
  </si>
  <si>
    <t>Curtain of Light</t>
  </si>
  <si>
    <t>Dragon Breath</t>
  </si>
  <si>
    <t>Flame Strike</t>
  </si>
  <si>
    <t>Hallow</t>
  </si>
  <si>
    <t>Radiance</t>
  </si>
  <si>
    <t>Stalwart Pact</t>
  </si>
  <si>
    <t>Unhallow</t>
  </si>
  <si>
    <t>False Sending</t>
  </si>
  <si>
    <t>Bleed</t>
  </si>
  <si>
    <t>Charnel Fire</t>
  </si>
  <si>
    <t>Death Throes</t>
  </si>
  <si>
    <t>Haunt Shift</t>
  </si>
  <si>
    <t>Hibernate</t>
  </si>
  <si>
    <t>Incorporeal Nova</t>
  </si>
  <si>
    <t>Mass Inflict Light Wounds</t>
  </si>
  <si>
    <t>Necrotic Skull Bomb</t>
  </si>
  <si>
    <t>Oath of Blood</t>
  </si>
  <si>
    <t>Opalescent Glare</t>
  </si>
  <si>
    <t>Sicken Evil</t>
  </si>
  <si>
    <t>Slay Living</t>
  </si>
  <si>
    <t>Soul Scour</t>
  </si>
  <si>
    <t>Symbol of Pain</t>
  </si>
  <si>
    <t>Symbol of Sleep</t>
  </si>
  <si>
    <t>Bear’s Heart</t>
  </si>
  <si>
    <t>Bebilith Blessing</t>
  </si>
  <si>
    <t>Convert Wand</t>
  </si>
  <si>
    <t>Disrupting Weapon</t>
  </si>
  <si>
    <t>Divine Agility</t>
  </si>
  <si>
    <t>Etherealness, Swift</t>
  </si>
  <si>
    <t>Fire in the Blood</t>
  </si>
  <si>
    <t>Greater Stone Shape</t>
  </si>
  <si>
    <t>Heartclutch</t>
  </si>
  <si>
    <t>Hibernal Healing</t>
  </si>
  <si>
    <t>Meteoric Strike</t>
  </si>
  <si>
    <t>Pass through Ice</t>
  </si>
  <si>
    <t>Resonating Resistance</t>
  </si>
  <si>
    <t>Righteous Might</t>
  </si>
  <si>
    <t>Subvert Planar Essence</t>
  </si>
  <si>
    <t>Surge of Fortune</t>
  </si>
  <si>
    <t>Swift Etherealness</t>
  </si>
  <si>
    <t>Zone of Peace</t>
  </si>
  <si>
    <t>Cure Light Wounds, Mass</t>
  </si>
  <si>
    <t>Antilife Shell</t>
  </si>
  <si>
    <t>Banishment</t>
  </si>
  <si>
    <t>Dispel Magic, Greater</t>
  </si>
  <si>
    <t>Energy Immunity</t>
  </si>
  <si>
    <t>Exalted Raiment</t>
  </si>
  <si>
    <t>Forbiddance</t>
  </si>
  <si>
    <t>Ghost Trap</t>
  </si>
  <si>
    <t>Glyph of Warding, Greater</t>
  </si>
  <si>
    <t>Light of Courage</t>
  </si>
  <si>
    <t>Snare Astral Traveler</t>
  </si>
  <si>
    <t>Cloud of the Achaierai</t>
  </si>
  <si>
    <t>Cometfall</t>
  </si>
  <si>
    <t>Conjure Ice Beast VI</t>
  </si>
  <si>
    <t>Create Undead</t>
  </si>
  <si>
    <t>Heroes’ Feast</t>
  </si>
  <si>
    <t>Planar Ally</t>
  </si>
  <si>
    <t>Planar Exchange</t>
  </si>
  <si>
    <t>Summon Babau Demon</t>
  </si>
  <si>
    <t>Summon Monster VI</t>
  </si>
  <si>
    <t>Summon Undead VI</t>
  </si>
  <si>
    <t>Thousand Needles</t>
  </si>
  <si>
    <t>Valiant Steed</t>
  </si>
  <si>
    <t>Vigorous Circle</t>
  </si>
  <si>
    <t>Word of Recall</t>
  </si>
  <si>
    <t>Eyes of the Oracle</t>
  </si>
  <si>
    <t>Find the Path</t>
  </si>
  <si>
    <t>Cloak of Hate</t>
  </si>
  <si>
    <t>Geas/Quest</t>
  </si>
  <si>
    <t>Blade Barrier</t>
  </si>
  <si>
    <t>Ice Rift</t>
  </si>
  <si>
    <t>Spiritual Guardian</t>
  </si>
  <si>
    <t>Storm of Shards</t>
  </si>
  <si>
    <t>Weight of Sin</t>
  </si>
  <si>
    <t>Zealot Pact</t>
  </si>
  <si>
    <t>Barghest’s Feast</t>
  </si>
  <si>
    <t>Frostburn, Mass</t>
  </si>
  <si>
    <t>Harm</t>
  </si>
  <si>
    <t>Inflict Moderate Wounds, Mass</t>
  </si>
  <si>
    <t>Symbol of Fear</t>
  </si>
  <si>
    <t>Symbol of Persuasion</t>
  </si>
  <si>
    <t>Undeath to Death</t>
  </si>
  <si>
    <t>Algid Enhancement</t>
  </si>
  <si>
    <t>Animate Objects</t>
  </si>
  <si>
    <t>Bear’s Endurance, Mass</t>
  </si>
  <si>
    <t>Bull’s Strength, Mass</t>
  </si>
  <si>
    <t>Cat’s Grace, Mass</t>
  </si>
  <si>
    <t>Chasing Perfection</t>
  </si>
  <si>
    <t>Eagle’s Splendor, Mass</t>
  </si>
  <si>
    <t>Fiendish Quickening</t>
  </si>
  <si>
    <t>Mantle of the Icy Soul</t>
  </si>
  <si>
    <t>Owl’s Wisdom, Mass</t>
  </si>
  <si>
    <t>Touch of Adamantine</t>
  </si>
  <si>
    <t>Visage of the Deity</t>
  </si>
  <si>
    <t>Wind Walk</t>
  </si>
  <si>
    <t>Cure Moderate Wounds, Mass</t>
  </si>
  <si>
    <t>V S M F DF XP</t>
  </si>
  <si>
    <t>Complete Scoundrel</t>
  </si>
  <si>
    <t>V S DF XP</t>
  </si>
  <si>
    <t>see text</t>
  </si>
  <si>
    <t>V S M DF XP</t>
  </si>
  <si>
    <t>V S Celestial</t>
  </si>
  <si>
    <t>V S M/DF F</t>
  </si>
  <si>
    <t>Special</t>
  </si>
  <si>
    <t>V S Sacrifice</t>
  </si>
  <si>
    <t>V S M DF</t>
  </si>
  <si>
    <t>1 wk/lvl</t>
  </si>
  <si>
    <t>Heroes of Horror</t>
  </si>
  <si>
    <t>Drow of the Underdark</t>
  </si>
  <si>
    <t>V S Frostfell</t>
  </si>
  <si>
    <t>V Fiend</t>
  </si>
  <si>
    <t>Cityscape</t>
  </si>
  <si>
    <t>V DF Sacrifice</t>
  </si>
  <si>
    <t>6 FR</t>
  </si>
  <si>
    <t>10 rds +1/lvl</t>
  </si>
  <si>
    <t>Dragon Magic</t>
  </si>
  <si>
    <t>3 FR</t>
  </si>
  <si>
    <t>5’</t>
  </si>
  <si>
    <t>V S Coldfire</t>
  </si>
  <si>
    <t>V S Fiend</t>
  </si>
  <si>
    <t>Tomorrow’ Spells</t>
  </si>
  <si>
    <t>Dgrf</t>
  </si>
  <si>
    <t>Invstg.</t>
  </si>
  <si>
    <t>Standby</t>
  </si>
  <si>
    <t>4th-level</t>
  </si>
  <si>
    <t>Vacancies</t>
  </si>
  <si>
    <t>Cha Bonus</t>
  </si>
  <si>
    <t>Heal?</t>
  </si>
  <si>
    <t>Courting Clamithy</t>
  </si>
  <si>
    <t>Gets along with everyone - except Guth</t>
  </si>
  <si>
    <t>Third cousin once removed to Cassandra</t>
  </si>
  <si>
    <t>Friends with Samark and Thoret</t>
  </si>
  <si>
    <t>Friends with Marsyl and Samark</t>
  </si>
  <si>
    <t>Constant companion to Ani</t>
  </si>
  <si>
    <t>Hs no idea that Wynmannkewaru likes him - she’s his good friend</t>
  </si>
  <si>
    <t>When he is not playing or socializing in a group, he keeps to himself, and seems sad</t>
  </si>
  <si>
    <t>Third cousin once removed to Semolina</t>
  </si>
  <si>
    <t>Close friends with Ridwulf</t>
  </si>
  <si>
    <t>Afraid of men - killed her husband in self defense. Tolerates Thywine’s presence in the kitchen, but not elsewhere</t>
  </si>
  <si>
    <t>Close friends with Danbras</t>
  </si>
  <si>
    <t>Performs well with Madelgarde</t>
  </si>
  <si>
    <t>Befriended and attempts to mentor Guth</t>
  </si>
  <si>
    <t>Performs well with Chelan</t>
  </si>
  <si>
    <t>Close friends with Kaeal</t>
  </si>
  <si>
    <t>Seeks out Ivevara for advice</t>
  </si>
  <si>
    <t>Betrothed to a farmer’s daughter from just outside of Waterdeep. Planning to marry in a year when she is 18</t>
  </si>
  <si>
    <t>Mentors Xyrfaen</t>
  </si>
  <si>
    <t>Keeps everyone politely at a distance, except when he is training them in the longsword. ”Bruises teach,” he says a lot</t>
  </si>
  <si>
    <t>Friends with Marsyl and Thoret</t>
  </si>
  <si>
    <t>Married to Karina</t>
  </si>
  <si>
    <t>Being courted by Car’tom</t>
  </si>
  <si>
    <t>Has a crush on Osu, which everyone but Osu knows about</t>
  </si>
  <si>
    <t>Constant companion to Venthana</t>
  </si>
  <si>
    <t>Carthage</t>
  </si>
  <si>
    <t>Antioch</t>
  </si>
  <si>
    <t>Half-elf</t>
  </si>
  <si>
    <t>Druid 1</t>
  </si>
  <si>
    <t>Merchant</t>
  </si>
  <si>
    <t>Spiked Club, Darts</t>
  </si>
  <si>
    <t>Studded Leather</t>
  </si>
  <si>
    <t>Dr. Trifling</t>
  </si>
  <si>
    <t>Goldnugget</t>
  </si>
  <si>
    <t>Dwarf</t>
  </si>
  <si>
    <t>Expert 1</t>
  </si>
  <si>
    <t>Mathematician</t>
  </si>
  <si>
    <t>Hand Axe, Hand Crossbow</t>
  </si>
  <si>
    <t>Padded</t>
  </si>
  <si>
    <t>Rev. Grarlush</t>
  </si>
  <si>
    <t>Kedin</t>
  </si>
  <si>
    <t>Gnome</t>
  </si>
  <si>
    <t>Translator</t>
  </si>
  <si>
    <t>Quarterstaff, Sling</t>
  </si>
  <si>
    <t>Prof. Charletta</t>
  </si>
  <si>
    <t>Pasiempre</t>
  </si>
  <si>
    <t>Hammer, Light Crossbow</t>
  </si>
  <si>
    <t>Mme. Tulip</t>
  </si>
  <si>
    <t>Shessifam</t>
  </si>
  <si>
    <t>Elf</t>
  </si>
  <si>
    <t>Planar Theorist</t>
  </si>
  <si>
    <t>Darts, Shortbow</t>
  </si>
  <si>
    <t>Armand</t>
  </si>
  <si>
    <t>Hagalotodo</t>
  </si>
  <si>
    <t>Halfling</t>
  </si>
  <si>
    <t>Factotum 1</t>
  </si>
  <si>
    <t>Student</t>
  </si>
  <si>
    <t>Short Sword, Darts</t>
  </si>
  <si>
    <t>Sir Mor-Tox</t>
  </si>
  <si>
    <t>of the House Ironheart</t>
  </si>
  <si>
    <t>Knight 1</t>
  </si>
  <si>
    <t>Bodyguard</t>
  </si>
  <si>
    <t>Longsword</t>
  </si>
  <si>
    <t>Half Plate, Large Shield</t>
  </si>
  <si>
    <t>Angus the Younger</t>
  </si>
  <si>
    <t>Malcolmson</t>
  </si>
  <si>
    <t>Monk 1</t>
  </si>
  <si>
    <t>Worshipper</t>
  </si>
  <si>
    <t>Quarterstaff, Darts</t>
  </si>
  <si>
    <t>Wis bonus</t>
  </si>
  <si>
    <t>Servantpawn</t>
  </si>
  <si>
    <t>II</t>
  </si>
  <si>
    <t>Paladin 1</t>
  </si>
  <si>
    <t>Military Combatant</t>
  </si>
  <si>
    <t>Greatsword, Light Crossbow</t>
  </si>
  <si>
    <t>Leather</t>
  </si>
  <si>
    <t>Padawan</t>
  </si>
  <si>
    <t>Lechter, Esq.</t>
  </si>
  <si>
    <t>Light Flail, Light Crossbow</t>
  </si>
  <si>
    <t>Guidinghand</t>
  </si>
  <si>
    <t>Morningstars</t>
  </si>
  <si>
    <t>Bastard Sword, Heavy Crossbow</t>
  </si>
  <si>
    <t>Alhandra</t>
  </si>
  <si>
    <t>Neverafter</t>
  </si>
  <si>
    <t>Longsword, Longbow</t>
  </si>
  <si>
    <t>+2</t>
  </si>
  <si>
    <t>+3</t>
  </si>
  <si>
    <t>+1</t>
  </si>
  <si>
    <t>+4</t>
  </si>
  <si>
    <t>Stoic, perceptive</t>
  </si>
  <si>
    <t>Dour, even tempered</t>
  </si>
  <si>
    <t>Reserved, cautious</t>
  </si>
  <si>
    <t xml:space="preserve">Introspective, hospitable </t>
  </si>
  <si>
    <t>Perceptive, gregarious</t>
  </si>
  <si>
    <t>Absent minded, passionate (teaching)</t>
  </si>
  <si>
    <t>Studious, thoughtful</t>
  </si>
  <si>
    <t>Happy, creative</t>
  </si>
  <si>
    <t>Placid, agreeable</t>
  </si>
  <si>
    <t>Composed, witty</t>
  </si>
  <si>
    <t>Meticulous, fastidious</t>
  </si>
  <si>
    <t>Inscrutable, quiet</t>
  </si>
  <si>
    <t>Thoughtful, insightful</t>
  </si>
  <si>
    <t>Meek, insightful</t>
  </si>
  <si>
    <t>Temperamental, judicious</t>
  </si>
  <si>
    <t>Meticulous, perceptive</t>
  </si>
  <si>
    <t>Energetic, obsessive</t>
  </si>
  <si>
    <t>new</t>
  </si>
  <si>
    <t>new in town</t>
  </si>
  <si>
    <t>Has family in Waterdeep</t>
  </si>
  <si>
    <t>Resistance, Know Direction, Light; Entangle, Suspend Disease</t>
  </si>
  <si>
    <t>Profession (2), Knowledge (History) (4), Knowledge (Maths) (4) / Armor Proficiency (Light), Improved Initiative, Martial Weapon Proficiency, Weapon Focus (Crossbow)</t>
  </si>
  <si>
    <t>Profession (2), Knowledge (History) (4), Language (4) / Armor Proficiency (Light), Improved Initiative, Martial Weapon Proficiency, Weapon Focus (sling)</t>
  </si>
  <si>
    <t>Profession (2), Knowledge (History) (4), Knowledge (Local Lore) (4) / Armor Proficiency (Light), Improved Initiative, Martial Weapon Proficiency, Weapon Focus (Crossbow)</t>
  </si>
  <si>
    <t>Profession (2), Knowledge (History) (4), Knowledge (Planes) (4) / Armor Proficiency (Light), Improved Initiative, Martial Weapon Proficiency, Weapon Focus (Shortbow)</t>
  </si>
  <si>
    <t>Profession (2), Spellcraft (2), Knowledge (Arcane) (4), Use Magic Device(2) / Armor Proficiency (Light), Improved Initiative, Martial Weapon Proficiency, Weapon Focus (Short sword), Inspiration (2), Cunning Insight, cunning Knowledge, Trapfinding</t>
  </si>
  <si>
    <t>Profession (2), Ride (2), Knowledge (Local) (2) / Armor Proficiency (all but tower shields), Improved Initiative, Martial&amp;Simple Weapon Proficiency, Weapon Focus (Longsword)</t>
  </si>
  <si>
    <t>Profession (2), Balance (Dex), Climb (Str), Concentration (Con), Craft (Int), Diplomacy (Cha), Escape Artist (Dex), Hide (Dex), Jump (Str), Knowledge
(arcana) (Int), Knowledge (religion) (Int), Listen (Wis), Move Silently (Dex), Perform (Cha), Profession (Wis), Sense Motive (Wis), Spot (Wis), Swim (Str), and Tumble (Dex)/  Improved Initiative, Special Weapon Proficiency, Weapon Focus (QStaff)</t>
  </si>
  <si>
    <t>Profession (2), Concentration (Con), Craft (Int), Diplomacy (Cha), Handle Animal (Cha), Heal (Wis), Knowledge (nobility and royalty) (Int),
Knowledge (religion) (Int), Profession (Wis), Ride (Dex), and Sense
Motive (Wis) / Armor Proficiency (all),  Improved Initiative, Simple &amp; Martial Weapon Proficiency, Weapon Focus (Greatsword)</t>
  </si>
  <si>
    <t>Profession (2), Concentration (Con), Craft (Int), Diplomacy (Cha), Handle Animal (Cha), Heal (Wis), Knowledge (nobility and royalty) (Int),
Knowledge (religion) (Int), Profession (Wis), Ride (Dex), and Sense
Motive (Wis) / Armor Proficiency (all),  Improved Initiative, Simple &amp; Martial Weapon Proficiency, Weapon Focus (Flail)</t>
  </si>
  <si>
    <t>Profession (2), Concentration (Con), Craft (Int), Diplomacy (Cha), Handle Animal (Cha), Heal (Wis), Knowledge (nobility and royalty) (Int),
Knowledge (religion) (Int), Profession (Wis), Ride (Dex), and Sense
Motive (Wis) / Armor Proficiency (all),  Improved Initiative, Simple &amp; Martial Weapon Proficiency, Weapon Focus (Bastard Sword)</t>
  </si>
  <si>
    <t>Profession (2), Concentration (Con), Craft (Int), Diplomacy (Cha), Handle Animal (Cha), Heal (Wis), Knowledge (nobility and royalty) (Int),
Knowledge (religion) (Int), Profession (Wis), Ride (Dex), and Sense
Motive (Wis) / Armor Proficiency (all),  Improved Initiative, Simple &amp; Martial Weapon Proficiency, Weapon Focus (Longsword)</t>
  </si>
  <si>
    <t>none</t>
  </si>
  <si>
    <t>Blond, pale complexion, slim, 135 lbs, 5’6”, attractive appearance</t>
  </si>
  <si>
    <t>honorable, kind</t>
  </si>
  <si>
    <t>From Daggerford</t>
  </si>
  <si>
    <t>logical, analytical, well spoken</t>
  </si>
  <si>
    <t>Blonde, light complexion, slim, 50 lbs, 3’7”, very attractive appearance</t>
  </si>
  <si>
    <t>naïve, thoughtful</t>
  </si>
  <si>
    <t>Redhead, ruddy complexion, heavyset, 5’1”, 145 lbs, average appearance</t>
  </si>
  <si>
    <t>dour, antisocial</t>
  </si>
  <si>
    <t>scholarly, single minded</t>
  </si>
  <si>
    <t>immature, self centered</t>
  </si>
  <si>
    <t>honorable, aloof</t>
  </si>
  <si>
    <t>perceptive, introspective</t>
  </si>
  <si>
    <t>idealistic, naïve</t>
  </si>
  <si>
    <t>Silver hair, medium complexion, stout, 150lbs, 4’1”, average appearance</t>
  </si>
  <si>
    <t>White hair, pale complexion, willowy, 5’ 2”,  100 lbs, average appearance</t>
  </si>
  <si>
    <t>Black hair, dark complexion, muscular, 3’8”, 60 lbs, average appearance</t>
  </si>
  <si>
    <t>Brown hair, medium complexion, muscular, 6’4”, 230 lbs, handsome appearance</t>
  </si>
  <si>
    <t>Black hair, dark complexion, athletic, 4’0”, 120 lbs, average appearance</t>
  </si>
  <si>
    <t>Blonde hair, light complexion, muscular, 6’1”, 170 lbs, very attractive appearance</t>
  </si>
  <si>
    <t>Brown hair, medium complexion, athletic, 5’6”, 140 lbs, very attractive appearance</t>
  </si>
  <si>
    <t>Black hair, dark complexion, muscular, 6’1”, 200 lbs, handsome appearance</t>
  </si>
  <si>
    <t>Black hair, very dark complexion, athletic, 5’8”, 145 lbs, very attractive appearance</t>
  </si>
  <si>
    <t>Exact Location</t>
  </si>
  <si>
    <t>Bedroom</t>
  </si>
  <si>
    <t>Divine Wrath Dwarvencrafted Hizagkuur Longsword +2</t>
  </si>
  <si>
    <t>1d8+2</t>
  </si>
  <si>
    <t>Dwarvencrafted Black Dragonhide Full Plate +2</t>
  </si>
  <si>
    <t>Dwarvencrafted Black Dragonhide Spiked Heavy Shield +2</t>
  </si>
  <si>
    <t>Ring of Spell Battle</t>
  </si>
  <si>
    <t>Cloak of Charisma +4</t>
  </si>
  <si>
    <t>Boots of Striding and Springing</t>
  </si>
  <si>
    <t>Gloves of Dexterity +5</t>
  </si>
  <si>
    <t>Bracers of Armor +5</t>
  </si>
  <si>
    <t>Dagger +1</t>
  </si>
  <si>
    <t>Dagger +1, 2nd Attack</t>
  </si>
  <si>
    <r>
      <t xml:space="preserve">Dagger +1, </t>
    </r>
    <r>
      <rPr>
        <i/>
        <sz val="12"/>
        <rFont val="Times New Roman"/>
        <family val="1"/>
      </rPr>
      <t>haste</t>
    </r>
  </si>
  <si>
    <t>1d4+1</t>
  </si>
  <si>
    <t>Greater Truedeath Crystal</t>
  </si>
  <si>
    <t>vs.</t>
  </si>
  <si>
    <t>undead</t>
  </si>
  <si>
    <t>+ Sneak Attack</t>
  </si>
  <si>
    <t>church inquisitor 9</t>
  </si>
  <si>
    <t>Personal Grooming Kit</t>
  </si>
  <si>
    <t>50’ Rope</t>
  </si>
  <si>
    <t>Night Clothes</t>
  </si>
  <si>
    <t>Large Canteen</t>
  </si>
  <si>
    <t>Trail Rations</t>
  </si>
  <si>
    <t>Iron Pitons</t>
  </si>
  <si>
    <t>Climber’s Kit</t>
  </si>
  <si>
    <t>1 gallon</t>
  </si>
  <si>
    <t>Heward’s Handy Haversack</t>
  </si>
  <si>
    <t>2-yd Bolt of Linen Cloth</t>
  </si>
  <si>
    <t>Learn the Truth</t>
  </si>
  <si>
    <t xml:space="preserve">15th:  </t>
  </si>
  <si>
    <t>church inquisitor 10</t>
  </si>
  <si>
    <t>cleric 4</t>
  </si>
  <si>
    <t xml:space="preserve">Mass Cure Serious Wounds </t>
  </si>
  <si>
    <t>Shield of the Archons</t>
  </si>
  <si>
    <t>Book of Exalted Deeds, p. 107</t>
  </si>
  <si>
    <t>Mass Spell Resistance</t>
  </si>
  <si>
    <t>Complete Divine, p. 181</t>
  </si>
  <si>
    <t>þ</t>
  </si>
  <si>
    <t>DWDH Longsword, 3rd attack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</si>
</sst>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81"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sz val="12"/>
      <color rgb="FF0000FF"/>
      <name val="Times New Roman"/>
      <family val="1"/>
    </font>
    <font>
      <sz val="13"/>
      <color rgb="FFFF0000"/>
      <name val="Times New Roman"/>
      <family val="1"/>
    </font>
    <font>
      <i/>
      <sz val="12"/>
      <color indexed="81"/>
      <name val="Times New Roman"/>
      <family val="1"/>
    </font>
    <font>
      <b/>
      <sz val="13"/>
      <color rgb="FF00CC66"/>
      <name val="Times New Roman"/>
      <family val="1"/>
    </font>
    <font>
      <b/>
      <i/>
      <sz val="12"/>
      <name val="Times New Roman"/>
      <family val="1"/>
    </font>
    <font>
      <sz val="10"/>
      <name val="Times New Roman"/>
      <family val="1"/>
    </font>
    <font>
      <b/>
      <sz val="13"/>
      <name val="Symbol"/>
      <family val="1"/>
      <charset val="2"/>
    </font>
    <font>
      <b/>
      <sz val="13"/>
      <color rgb="FF00FF00"/>
      <name val="Times New Roman"/>
      <family val="1"/>
    </font>
    <font>
      <b/>
      <i/>
      <sz val="12"/>
      <color theme="1"/>
      <name val="Times New Roman"/>
      <family val="1"/>
    </font>
    <font>
      <b/>
      <sz val="12"/>
      <color rgb="FF7030A0"/>
      <name val="Times New Roman"/>
      <family val="1"/>
    </font>
    <font>
      <b/>
      <sz val="12"/>
      <color rgb="FF0000FF"/>
      <name val="Times New Roman"/>
      <family val="1"/>
    </font>
    <font>
      <sz val="12"/>
      <color theme="0" tint="-0.249977111117893"/>
      <name val="Times New Roman"/>
      <family val="1"/>
    </font>
    <font>
      <i/>
      <sz val="18"/>
      <color rgb="FFFF0000"/>
      <name val="Times New Roman"/>
      <family val="1"/>
    </font>
    <font>
      <b/>
      <sz val="10"/>
      <name val="Times New Roman"/>
      <family val="1"/>
    </font>
    <font>
      <i/>
      <sz val="10"/>
      <name val="Times New Roman"/>
      <family val="1"/>
    </font>
    <font>
      <sz val="10"/>
      <color rgb="FFFF0000"/>
      <name val="Times New Roman"/>
      <family val="1"/>
    </font>
    <font>
      <i/>
      <sz val="12"/>
      <name val="Times New Roman"/>
      <family val="1"/>
    </font>
    <font>
      <i/>
      <sz val="13"/>
      <name val="Times New Roman"/>
      <family val="1"/>
    </font>
    <font>
      <sz val="13"/>
      <color rgb="FF9999FF"/>
      <name val="Times New Roman"/>
      <family val="1"/>
    </font>
    <font>
      <b/>
      <sz val="13"/>
      <color rgb="FF9999FF"/>
      <name val="Times New Roman"/>
      <family val="1"/>
    </font>
    <font>
      <b/>
      <sz val="13"/>
      <color theme="0"/>
      <name val="Times New Roman"/>
      <family val="1"/>
    </font>
    <font>
      <b/>
      <i/>
      <sz val="10"/>
      <name val="Times New Roman"/>
      <family val="1"/>
    </font>
    <font>
      <sz val="13"/>
      <color indexed="46"/>
      <name val="Times New Roman"/>
      <family val="1"/>
    </font>
    <font>
      <i/>
      <sz val="17"/>
      <name val="Times New Roman"/>
      <family val="1"/>
    </font>
  </fonts>
  <fills count="2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rgb="FF66FF33"/>
        <bgColor indexed="64"/>
      </patternFill>
    </fill>
    <fill>
      <patternFill patternType="solid">
        <fgColor rgb="FFCCFFCC"/>
        <bgColor indexed="55"/>
      </patternFill>
    </fill>
    <fill>
      <patternFill patternType="solid">
        <fgColor theme="0"/>
        <bgColor indexed="64"/>
      </patternFill>
    </fill>
    <fill>
      <patternFill patternType="solid">
        <fgColor rgb="FF9966FF"/>
        <bgColor indexed="64"/>
      </patternFill>
    </fill>
    <fill>
      <patternFill patternType="solid">
        <fgColor rgb="FF9999FF"/>
        <bgColor indexed="64"/>
      </patternFill>
    </fill>
    <fill>
      <patternFill patternType="solid">
        <fgColor rgb="FF00FFFF"/>
        <bgColor indexed="64"/>
      </patternFill>
    </fill>
    <fill>
      <patternFill patternType="solid">
        <fgColor rgb="FF009900"/>
        <bgColor indexed="64"/>
      </patternFill>
    </fill>
    <fill>
      <patternFill patternType="solid">
        <fgColor rgb="FFFFFF00"/>
        <bgColor indexed="64"/>
      </patternFill>
    </fill>
  </fills>
  <borders count="15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hair">
        <color indexed="64"/>
      </right>
      <top style="medium">
        <color indexed="64"/>
      </top>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right/>
      <top/>
      <bottom style="thin">
        <color indexed="64"/>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hair">
        <color indexed="64"/>
      </right>
      <top style="medium">
        <color indexed="64"/>
      </top>
      <bottom/>
      <diagonal/>
    </border>
    <border>
      <left style="double">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medium">
        <color indexed="64"/>
      </left>
      <right/>
      <top/>
      <bottom style="hair">
        <color indexed="64"/>
      </bottom>
      <diagonal/>
    </border>
    <border>
      <left style="hair">
        <color indexed="64"/>
      </left>
      <right/>
      <top style="hair">
        <color indexed="64"/>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top/>
      <bottom style="hair">
        <color indexed="64"/>
      </bottom>
      <diagonal/>
    </border>
  </borders>
  <cellStyleXfs count="14">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8" fillId="0" borderId="0"/>
    <xf numFmtId="0" fontId="2" fillId="0" borderId="0"/>
    <xf numFmtId="0" fontId="41"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8" fillId="0" borderId="0"/>
  </cellStyleXfs>
  <cellXfs count="704">
    <xf numFmtId="0" fontId="0" fillId="0" borderId="0" xfId="0"/>
    <xf numFmtId="9" fontId="7" fillId="0" borderId="28" xfId="2" applyFont="1" applyFill="1" applyBorder="1" applyAlignment="1">
      <alignment horizontal="center" vertical="center" shrinkToFit="1"/>
    </xf>
    <xf numFmtId="0" fontId="12" fillId="3" borderId="45" xfId="0" applyFont="1" applyFill="1" applyBorder="1" applyAlignment="1">
      <alignment horizontal="center" vertical="center" wrapText="1"/>
    </xf>
    <xf numFmtId="0" fontId="4" fillId="0" borderId="0" xfId="0" applyFont="1" applyBorder="1" applyAlignment="1">
      <alignment vertical="center"/>
    </xf>
    <xf numFmtId="0" fontId="7" fillId="0" borderId="28" xfId="2" applyNumberFormat="1" applyFont="1" applyFill="1" applyBorder="1" applyAlignment="1">
      <alignment horizontal="center" vertical="center" shrinkToFit="1"/>
    </xf>
    <xf numFmtId="9" fontId="7" fillId="0" borderId="28" xfId="2" applyFont="1" applyBorder="1" applyAlignment="1">
      <alignment horizontal="center" vertical="center" shrinkToFit="1"/>
    </xf>
    <xf numFmtId="9" fontId="7" fillId="0" borderId="14" xfId="2" applyFont="1" applyFill="1" applyBorder="1" applyAlignment="1">
      <alignment horizontal="center" vertical="center" shrinkToFit="1"/>
    </xf>
    <xf numFmtId="0" fontId="7" fillId="10" borderId="27" xfId="8" applyFont="1" applyFill="1" applyBorder="1" applyAlignment="1">
      <alignment horizontal="center" vertical="center"/>
    </xf>
    <xf numFmtId="9" fontId="7" fillId="0" borderId="27" xfId="2" applyFont="1" applyBorder="1" applyAlignment="1">
      <alignment horizontal="center" vertical="center" shrinkToFit="1"/>
    </xf>
    <xf numFmtId="0" fontId="7" fillId="0" borderId="28" xfId="2" applyNumberFormat="1" applyFont="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4" fillId="0" borderId="78" xfId="0" applyFont="1" applyFill="1" applyBorder="1" applyAlignment="1">
      <alignment horizontal="right" vertical="center"/>
    </xf>
    <xf numFmtId="0" fontId="4" fillId="0" borderId="80" xfId="0" applyFont="1" applyFill="1" applyBorder="1" applyAlignment="1">
      <alignment horizontal="right" vertical="center"/>
    </xf>
    <xf numFmtId="0" fontId="49" fillId="13" borderId="95" xfId="0" applyFont="1" applyFill="1" applyBorder="1" applyAlignment="1">
      <alignment horizontal="right" vertical="center"/>
    </xf>
    <xf numFmtId="0" fontId="49" fillId="13" borderId="78" xfId="0" applyFont="1" applyFill="1" applyBorder="1" applyAlignment="1">
      <alignment horizontal="right" vertical="center"/>
    </xf>
    <xf numFmtId="0" fontId="4" fillId="0" borderId="100" xfId="0" applyFont="1" applyFill="1" applyBorder="1" applyAlignment="1">
      <alignment horizontal="right" vertical="center"/>
    </xf>
    <xf numFmtId="0" fontId="4" fillId="0" borderId="102" xfId="0" applyFont="1" applyFill="1" applyBorder="1" applyAlignment="1">
      <alignment horizontal="right" vertical="center"/>
    </xf>
    <xf numFmtId="0" fontId="7" fillId="0" borderId="63" xfId="0" applyFont="1" applyFill="1" applyBorder="1" applyAlignment="1">
      <alignment horizontal="centerContinuous" vertical="center"/>
    </xf>
    <xf numFmtId="0" fontId="36" fillId="2" borderId="70" xfId="0" applyFont="1" applyFill="1" applyBorder="1" applyAlignment="1">
      <alignment horizontal="right" vertical="center"/>
    </xf>
    <xf numFmtId="0" fontId="37" fillId="2" borderId="71" xfId="0" applyFont="1" applyFill="1" applyBorder="1" applyAlignment="1">
      <alignment horizontal="left" vertical="center"/>
    </xf>
    <xf numFmtId="0" fontId="20" fillId="2" borderId="71" xfId="0" applyFont="1" applyFill="1" applyBorder="1" applyAlignment="1">
      <alignment horizontal="left" vertical="center"/>
    </xf>
    <xf numFmtId="0" fontId="4" fillId="2" borderId="71" xfId="0" applyFont="1" applyFill="1" applyBorder="1" applyAlignment="1">
      <alignment horizontal="centerContinuous" vertical="center"/>
    </xf>
    <xf numFmtId="0" fontId="5" fillId="2" borderId="71" xfId="0" applyFont="1" applyFill="1" applyBorder="1" applyAlignment="1">
      <alignment horizontal="centerContinuous" vertical="center"/>
    </xf>
    <xf numFmtId="0" fontId="35" fillId="2" borderId="72"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5" xfId="0" applyFont="1" applyFill="1" applyBorder="1" applyAlignment="1">
      <alignment horizontal="right" vertical="center"/>
    </xf>
    <xf numFmtId="0" fontId="6" fillId="4" borderId="98" xfId="0" applyFont="1" applyFill="1" applyBorder="1" applyAlignment="1">
      <alignment horizontal="right" vertical="center"/>
    </xf>
    <xf numFmtId="49" fontId="7" fillId="0" borderId="76"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8" fillId="4" borderId="60"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5" fillId="0" borderId="14" xfId="0" applyNumberFormat="1" applyFont="1" applyBorder="1" applyAlignment="1">
      <alignment horizontal="center" vertical="center"/>
    </xf>
    <xf numFmtId="0" fontId="8" fillId="4" borderId="58"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2" fillId="2" borderId="4" xfId="0" applyFont="1" applyFill="1" applyBorder="1" applyAlignment="1">
      <alignment horizontal="right" vertical="center"/>
    </xf>
    <xf numFmtId="0" fontId="11" fillId="4" borderId="58"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49" fontId="25" fillId="0" borderId="26" xfId="0" applyNumberFormat="1" applyFont="1" applyBorder="1" applyAlignment="1">
      <alignment horizontal="center" vertical="center"/>
    </xf>
    <xf numFmtId="0" fontId="11" fillId="4" borderId="59" xfId="0" applyFont="1" applyFill="1" applyBorder="1" applyAlignment="1">
      <alignment horizontal="right"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19" fillId="0" borderId="0" xfId="0" applyFont="1" applyBorder="1" applyAlignment="1">
      <alignment vertical="center"/>
    </xf>
    <xf numFmtId="0" fontId="31"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5" fillId="0" borderId="0" xfId="0" applyNumberFormat="1" applyFont="1" applyBorder="1" applyAlignment="1">
      <alignment horizontal="left" vertical="center"/>
    </xf>
    <xf numFmtId="0" fontId="7" fillId="10" borderId="54" xfId="8" applyFont="1" applyFill="1" applyBorder="1" applyAlignment="1">
      <alignment horizontal="center" vertical="center"/>
    </xf>
    <xf numFmtId="9" fontId="7" fillId="0" borderId="54" xfId="2" applyFont="1" applyFill="1" applyBorder="1" applyAlignment="1">
      <alignment horizontal="center" vertical="center" shrinkToFit="1"/>
    </xf>
    <xf numFmtId="0" fontId="4" fillId="0" borderId="5" xfId="0" applyFont="1" applyBorder="1" applyAlignment="1">
      <alignment horizontal="centerContinuous" vertical="center"/>
    </xf>
    <xf numFmtId="0" fontId="55" fillId="0" borderId="1" xfId="0" applyFont="1" applyBorder="1" applyAlignment="1">
      <alignment horizontal="center" vertical="center" shrinkToFit="1"/>
    </xf>
    <xf numFmtId="0" fontId="7" fillId="0" borderId="27" xfId="0" applyFont="1" applyBorder="1" applyAlignment="1">
      <alignment horizontal="center" vertical="center"/>
    </xf>
    <xf numFmtId="49" fontId="7" fillId="0" borderId="27" xfId="0" applyNumberFormat="1" applyFont="1" applyBorder="1" applyAlignment="1">
      <alignment horizontal="center" vertical="center"/>
    </xf>
    <xf numFmtId="0" fontId="34" fillId="8" borderId="29" xfId="2" applyNumberFormat="1" applyFont="1" applyFill="1" applyBorder="1" applyAlignment="1">
      <alignment horizontal="center" vertical="center" shrinkToFit="1"/>
    </xf>
    <xf numFmtId="0" fontId="55" fillId="0" borderId="1" xfId="0" applyFont="1" applyFill="1" applyBorder="1" applyAlignment="1">
      <alignment horizontal="center" vertical="center" shrinkToFit="1"/>
    </xf>
    <xf numFmtId="0" fontId="7" fillId="0" borderId="54" xfId="0" applyFont="1" applyBorder="1" applyAlignment="1">
      <alignment horizontal="center" vertical="center"/>
    </xf>
    <xf numFmtId="49" fontId="7" fillId="0" borderId="54" xfId="0" applyNumberFormat="1" applyFont="1" applyBorder="1" applyAlignment="1">
      <alignment horizontal="center" vertical="center"/>
    </xf>
    <xf numFmtId="0" fontId="34" fillId="8" borderId="41" xfId="2" applyNumberFormat="1" applyFont="1" applyFill="1" applyBorder="1" applyAlignment="1">
      <alignment horizontal="center" vertical="center" shrinkToFit="1"/>
    </xf>
    <xf numFmtId="0" fontId="54" fillId="0" borderId="91" xfId="0" applyFont="1" applyBorder="1" applyAlignment="1">
      <alignment horizontal="centerContinuous" vertical="center"/>
    </xf>
    <xf numFmtId="0" fontId="54" fillId="0" borderId="92" xfId="0" applyFont="1" applyBorder="1" applyAlignment="1">
      <alignment horizontal="centerContinuous" vertical="center"/>
    </xf>
    <xf numFmtId="0" fontId="57" fillId="0" borderId="93" xfId="0" applyFont="1" applyFill="1" applyBorder="1" applyAlignment="1">
      <alignment horizontal="centerContinuous" vertical="center"/>
    </xf>
    <xf numFmtId="0" fontId="4" fillId="0" borderId="96" xfId="0" applyFont="1" applyBorder="1" applyAlignment="1">
      <alignment vertical="center"/>
    </xf>
    <xf numFmtId="0" fontId="4" fillId="0" borderId="78" xfId="0" applyFont="1" applyBorder="1" applyAlignment="1">
      <alignment horizontal="right" vertical="center"/>
    </xf>
    <xf numFmtId="0" fontId="2" fillId="0" borderId="103" xfId="0" applyFont="1" applyFill="1" applyBorder="1" applyAlignment="1">
      <alignment horizontal="center" vertical="center"/>
    </xf>
    <xf numFmtId="49" fontId="50" fillId="13" borderId="94" xfId="0" applyNumberFormat="1" applyFont="1" applyFill="1" applyBorder="1" applyAlignment="1">
      <alignment vertical="center"/>
    </xf>
    <xf numFmtId="0" fontId="50" fillId="13" borderId="104" xfId="0" applyFont="1" applyFill="1" applyBorder="1" applyAlignment="1">
      <alignment horizontal="center" vertical="center"/>
    </xf>
    <xf numFmtId="49" fontId="2" fillId="0" borderId="96" xfId="0" applyNumberFormat="1" applyFont="1" applyFill="1" applyBorder="1" applyAlignment="1">
      <alignment vertical="center"/>
    </xf>
    <xf numFmtId="0" fontId="50" fillId="13" borderId="96" xfId="0" applyNumberFormat="1" applyFont="1" applyFill="1" applyBorder="1" applyAlignment="1">
      <alignment vertical="center"/>
    </xf>
    <xf numFmtId="0" fontId="50" fillId="13" borderId="105" xfId="0" applyNumberFormat="1" applyFont="1" applyFill="1" applyBorder="1" applyAlignment="1">
      <alignment horizontal="center" vertical="center"/>
    </xf>
    <xf numFmtId="0" fontId="2" fillId="0" borderId="101" xfId="0" applyNumberFormat="1" applyFont="1" applyFill="1" applyBorder="1" applyAlignment="1">
      <alignment vertical="center"/>
    </xf>
    <xf numFmtId="0" fontId="2" fillId="0" borderId="99" xfId="0" applyNumberFormat="1" applyFont="1" applyFill="1" applyBorder="1" applyAlignment="1">
      <alignment vertical="center"/>
    </xf>
    <xf numFmtId="0" fontId="2" fillId="0" borderId="107" xfId="0" applyNumberFormat="1" applyFont="1" applyFill="1" applyBorder="1" applyAlignment="1">
      <alignment horizontal="center" vertical="center"/>
    </xf>
    <xf numFmtId="49" fontId="2" fillId="0" borderId="97" xfId="0" applyNumberFormat="1" applyFont="1" applyFill="1" applyBorder="1" applyAlignment="1">
      <alignment vertical="center"/>
    </xf>
    <xf numFmtId="0" fontId="2" fillId="14" borderId="86" xfId="0" applyNumberFormat="1" applyFont="1" applyFill="1" applyBorder="1" applyAlignment="1">
      <alignment horizontal="center" vertical="center"/>
    </xf>
    <xf numFmtId="0" fontId="3" fillId="0" borderId="0" xfId="0" applyFont="1" applyBorder="1" applyAlignment="1">
      <alignment horizontal="centerContinuous" vertical="center"/>
    </xf>
    <xf numFmtId="0" fontId="51" fillId="0" borderId="37" xfId="0" applyFont="1" applyBorder="1" applyAlignment="1">
      <alignment horizontal="centerContinuous" vertical="center"/>
    </xf>
    <xf numFmtId="0" fontId="26" fillId="0" borderId="43" xfId="0" applyFont="1" applyFill="1" applyBorder="1" applyAlignment="1">
      <alignment horizontal="centerContinuous" vertical="center"/>
    </xf>
    <xf numFmtId="0" fontId="55" fillId="0" borderId="43" xfId="0" applyFont="1" applyFill="1" applyBorder="1" applyAlignment="1">
      <alignment horizontal="center" vertical="center" shrinkToFit="1"/>
    </xf>
    <xf numFmtId="0" fontId="56" fillId="13" borderId="37" xfId="0" applyFont="1" applyFill="1" applyBorder="1" applyAlignment="1">
      <alignment horizontal="centerContinuous" vertical="center"/>
    </xf>
    <xf numFmtId="0" fontId="26" fillId="0" borderId="90" xfId="0" applyFont="1" applyFill="1" applyBorder="1" applyAlignment="1">
      <alignment horizontal="centerContinuous" vertical="center" shrinkToFit="1"/>
    </xf>
    <xf numFmtId="0" fontId="26" fillId="0" borderId="63" xfId="0" applyFont="1" applyFill="1" applyBorder="1" applyAlignment="1">
      <alignment horizontal="center" vertical="center" shrinkToFit="1"/>
    </xf>
    <xf numFmtId="0" fontId="26" fillId="0" borderId="62" xfId="0" quotePrefix="1" applyFont="1" applyFill="1" applyBorder="1" applyAlignment="1">
      <alignment horizontal="center" vertical="center" shrinkToFit="1"/>
    </xf>
    <xf numFmtId="0" fontId="7" fillId="0" borderId="61" xfId="0" applyFont="1" applyFill="1" applyBorder="1" applyAlignment="1">
      <alignment horizontal="centerContinuous" vertical="center"/>
    </xf>
    <xf numFmtId="0" fontId="7" fillId="0" borderId="56" xfId="0" applyFont="1" applyFill="1" applyBorder="1" applyAlignment="1">
      <alignment horizontal="centerContinuous" vertical="center"/>
    </xf>
    <xf numFmtId="0" fontId="7" fillId="0" borderId="62"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horizontal="center" vertical="center"/>
    </xf>
    <xf numFmtId="0" fontId="21" fillId="3" borderId="44" xfId="0" applyFont="1" applyFill="1" applyBorder="1" applyAlignment="1">
      <alignment horizontal="center" vertical="center"/>
    </xf>
    <xf numFmtId="164" fontId="21" fillId="3" borderId="45" xfId="0" applyNumberFormat="1" applyFont="1" applyFill="1" applyBorder="1" applyAlignment="1">
      <alignment horizontal="center" vertical="center"/>
    </xf>
    <xf numFmtId="0" fontId="21" fillId="3" borderId="44" xfId="0" applyFont="1" applyFill="1" applyBorder="1" applyAlignment="1">
      <alignment horizontal="right" vertical="center"/>
    </xf>
    <xf numFmtId="0" fontId="21" fillId="3" borderId="46" xfId="0" applyFont="1" applyFill="1" applyBorder="1" applyAlignment="1">
      <alignment vertical="center"/>
    </xf>
    <xf numFmtId="0" fontId="2" fillId="0" borderId="83" xfId="0" applyFont="1" applyBorder="1" applyAlignment="1">
      <alignment horizontal="center" vertical="center" shrinkToFit="1"/>
    </xf>
    <xf numFmtId="0" fontId="5" fillId="0" borderId="52" xfId="0" applyFont="1" applyBorder="1" applyAlignment="1">
      <alignment horizontal="left" vertical="center"/>
    </xf>
    <xf numFmtId="0" fontId="5" fillId="0" borderId="51" xfId="0" applyFont="1" applyBorder="1" applyAlignment="1">
      <alignment horizontal="left" vertical="center" shrinkToFit="1"/>
    </xf>
    <xf numFmtId="0" fontId="2" fillId="0" borderId="0" xfId="0" applyFont="1" applyBorder="1" applyAlignment="1">
      <alignment horizontal="center" vertical="center"/>
    </xf>
    <xf numFmtId="0" fontId="2" fillId="0" borderId="84" xfId="0" applyFont="1" applyBorder="1" applyAlignment="1">
      <alignment horizontal="center" vertical="center" shrinkToFit="1"/>
    </xf>
    <xf numFmtId="0" fontId="5" fillId="0" borderId="47" xfId="0" applyFont="1" applyBorder="1" applyAlignment="1">
      <alignment horizontal="center" vertical="center" shrinkToFit="1"/>
    </xf>
    <xf numFmtId="164" fontId="2" fillId="0" borderId="47" xfId="0" applyNumberFormat="1" applyFont="1" applyBorder="1" applyAlignment="1">
      <alignment horizontal="center" vertical="center" shrinkToFit="1"/>
    </xf>
    <xf numFmtId="0" fontId="5" fillId="0" borderId="47" xfId="0" applyFont="1" applyBorder="1" applyAlignment="1">
      <alignment horizontal="left" vertical="center"/>
    </xf>
    <xf numFmtId="0" fontId="5" fillId="0" borderId="48" xfId="0" applyFont="1" applyBorder="1" applyAlignment="1">
      <alignment horizontal="left" vertical="center" shrinkToFit="1"/>
    </xf>
    <xf numFmtId="0" fontId="2" fillId="0" borderId="87" xfId="0" applyFont="1" applyBorder="1" applyAlignment="1">
      <alignment horizontal="center" vertical="center" shrinkToFit="1"/>
    </xf>
    <xf numFmtId="0" fontId="5" fillId="0" borderId="88" xfId="0" applyFont="1" applyBorder="1" applyAlignment="1">
      <alignment horizontal="center" vertical="center" shrinkToFit="1"/>
    </xf>
    <xf numFmtId="164" fontId="2" fillId="0" borderId="88" xfId="0" applyNumberFormat="1" applyFont="1" applyBorder="1" applyAlignment="1">
      <alignment horizontal="center" vertical="center" shrinkToFit="1"/>
    </xf>
    <xf numFmtId="0" fontId="5" fillId="0" borderId="88" xfId="0" applyFont="1" applyBorder="1" applyAlignment="1">
      <alignment horizontal="left" vertical="center"/>
    </xf>
    <xf numFmtId="0" fontId="5" fillId="0" borderId="89" xfId="0" applyFont="1" applyBorder="1" applyAlignment="1">
      <alignment horizontal="left" vertical="center" shrinkToFit="1"/>
    </xf>
    <xf numFmtId="164" fontId="5" fillId="0" borderId="88" xfId="0" applyNumberFormat="1" applyFont="1" applyBorder="1" applyAlignment="1">
      <alignment horizontal="center" vertical="center" shrinkToFit="1"/>
    </xf>
    <xf numFmtId="0" fontId="2" fillId="0" borderId="85" xfId="0" applyFont="1" applyBorder="1" applyAlignment="1">
      <alignment horizontal="center" vertical="center" shrinkToFit="1"/>
    </xf>
    <xf numFmtId="0" fontId="2" fillId="0" borderId="49" xfId="0" applyFont="1" applyBorder="1" applyAlignment="1">
      <alignment horizontal="center" vertical="center" shrinkToFit="1"/>
    </xf>
    <xf numFmtId="164" fontId="2" fillId="0" borderId="49" xfId="0" applyNumberFormat="1" applyFont="1" applyBorder="1" applyAlignment="1">
      <alignment horizontal="center" vertical="center" shrinkToFit="1"/>
    </xf>
    <xf numFmtId="0" fontId="5" fillId="0" borderId="49" xfId="0" applyFont="1" applyBorder="1" applyAlignment="1">
      <alignment horizontal="left" vertical="center"/>
    </xf>
    <xf numFmtId="0" fontId="5" fillId="0" borderId="50"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52" xfId="0" applyFont="1" applyBorder="1" applyAlignment="1">
      <alignment horizontal="center" vertical="center" shrinkToFit="1"/>
    </xf>
    <xf numFmtId="0" fontId="2" fillId="0" borderId="47" xfId="0" applyFont="1" applyBorder="1" applyAlignment="1">
      <alignment horizontal="center" vertical="center" shrinkToFit="1"/>
    </xf>
    <xf numFmtId="164" fontId="5" fillId="0" borderId="47" xfId="0" applyNumberFormat="1" applyFont="1" applyBorder="1" applyAlignment="1">
      <alignment horizontal="center" vertical="center" shrinkToFit="1"/>
    </xf>
    <xf numFmtId="164" fontId="5" fillId="0" borderId="49" xfId="0" applyNumberFormat="1" applyFont="1" applyBorder="1" applyAlignment="1">
      <alignment horizontal="center" vertical="center" shrinkToFit="1"/>
    </xf>
    <xf numFmtId="0" fontId="2" fillId="0" borderId="49" xfId="0" applyFont="1" applyBorder="1" applyAlignment="1">
      <alignment horizontal="left" vertical="center"/>
    </xf>
    <xf numFmtId="164" fontId="5" fillId="0" borderId="0" xfId="0" applyNumberFormat="1" applyFont="1" applyBorder="1" applyAlignment="1">
      <alignment horizontal="center" vertical="center"/>
    </xf>
    <xf numFmtId="0" fontId="3" fillId="0" borderId="0" xfId="0" applyFont="1" applyBorder="1" applyAlignment="1">
      <alignment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9"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Border="1" applyAlignment="1">
      <alignment horizontal="centerContinuous" vertical="center"/>
    </xf>
    <xf numFmtId="0" fontId="21" fillId="11" borderId="21" xfId="0" applyFont="1" applyFill="1" applyBorder="1" applyAlignment="1">
      <alignment horizontal="centerContinuous" vertical="center"/>
    </xf>
    <xf numFmtId="0" fontId="21" fillId="11" borderId="77" xfId="0" applyFont="1" applyFill="1" applyBorder="1" applyAlignment="1">
      <alignment horizontal="centerContinuous" vertical="center"/>
    </xf>
    <xf numFmtId="0" fontId="21" fillId="11" borderId="57" xfId="0" applyFont="1" applyFill="1" applyBorder="1" applyAlignment="1">
      <alignment horizontal="centerContinuous" vertical="center"/>
    </xf>
    <xf numFmtId="164" fontId="2" fillId="0" borderId="78" xfId="0" applyNumberFormat="1" applyFont="1" applyFill="1" applyBorder="1" applyAlignment="1">
      <alignment horizontal="centerContinuous" vertical="center"/>
    </xf>
    <xf numFmtId="0" fontId="5" fillId="0" borderId="79" xfId="0" quotePrefix="1" applyFont="1" applyBorder="1" applyAlignment="1">
      <alignment horizontal="centerContinuous" vertical="center"/>
    </xf>
    <xf numFmtId="164" fontId="2" fillId="0" borderId="80" xfId="0" applyNumberFormat="1" applyFont="1" applyFill="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2" fillId="0" borderId="32" xfId="0" applyFont="1" applyFill="1" applyBorder="1" applyAlignment="1">
      <alignment horizontal="centerContinuous" vertical="center"/>
    </xf>
    <xf numFmtId="49" fontId="2" fillId="0" borderId="9" xfId="0" applyNumberFormat="1" applyFont="1" applyFill="1" applyBorder="1" applyAlignment="1">
      <alignment horizontal="centerContinuous" vertical="center"/>
    </xf>
    <xf numFmtId="0" fontId="5" fillId="0" borderId="82" xfId="0" applyFont="1" applyFill="1" applyBorder="1" applyAlignment="1">
      <alignment horizontal="centerContinuous" vertical="center"/>
    </xf>
    <xf numFmtId="49" fontId="17" fillId="0" borderId="41" xfId="0" applyNumberFormat="1" applyFont="1" applyBorder="1" applyAlignment="1">
      <alignment horizontal="center" shrinkToFit="1"/>
    </xf>
    <xf numFmtId="0" fontId="7" fillId="0" borderId="0" xfId="0" quotePrefix="1" applyFont="1" applyBorder="1" applyAlignment="1">
      <alignment vertical="center"/>
    </xf>
    <xf numFmtId="0" fontId="55" fillId="0" borderId="38" xfId="0" applyFont="1" applyFill="1" applyBorder="1" applyAlignment="1">
      <alignment horizontal="center" vertical="center" shrinkToFit="1"/>
    </xf>
    <xf numFmtId="0" fontId="2" fillId="0" borderId="49" xfId="0" applyFont="1" applyBorder="1" applyAlignment="1">
      <alignment horizontal="center" vertical="center"/>
    </xf>
    <xf numFmtId="1" fontId="50" fillId="12" borderId="49" xfId="0" applyNumberFormat="1" applyFont="1" applyFill="1" applyBorder="1" applyAlignment="1">
      <alignment horizontal="center" vertical="center"/>
    </xf>
    <xf numFmtId="164" fontId="2" fillId="0" borderId="49" xfId="0" applyNumberFormat="1" applyFont="1" applyFill="1" applyBorder="1" applyAlignment="1">
      <alignment horizontal="center" vertical="center"/>
    </xf>
    <xf numFmtId="0" fontId="2" fillId="0" borderId="52" xfId="0" quotePrefix="1" applyFont="1" applyBorder="1" applyAlignment="1">
      <alignment horizontal="center" vertical="center"/>
    </xf>
    <xf numFmtId="0" fontId="2" fillId="0" borderId="52" xfId="0" applyFont="1" applyBorder="1" applyAlignment="1">
      <alignment horizontal="center" vertical="center"/>
    </xf>
    <xf numFmtId="9" fontId="2" fillId="0" borderId="52" xfId="0" applyNumberFormat="1" applyFont="1" applyBorder="1" applyAlignment="1">
      <alignment horizontal="center" vertical="center"/>
    </xf>
    <xf numFmtId="164" fontId="5" fillId="0" borderId="52" xfId="0" applyNumberFormat="1" applyFont="1" applyFill="1" applyBorder="1" applyAlignment="1">
      <alignment horizontal="center" vertical="center"/>
    </xf>
    <xf numFmtId="164" fontId="2" fillId="0" borderId="111" xfId="0" applyNumberFormat="1" applyFont="1" applyFill="1" applyBorder="1" applyAlignment="1">
      <alignment horizontal="centerContinuous" vertical="center"/>
    </xf>
    <xf numFmtId="164" fontId="2" fillId="0" borderId="112" xfId="0" applyNumberFormat="1" applyFont="1" applyFill="1" applyBorder="1" applyAlignment="1">
      <alignment horizontal="centerContinuous" vertical="center"/>
    </xf>
    <xf numFmtId="0" fontId="5" fillId="0" borderId="113" xfId="0" applyFont="1" applyFill="1" applyBorder="1" applyAlignment="1">
      <alignment horizontal="centerContinuous" vertical="center"/>
    </xf>
    <xf numFmtId="0" fontId="5" fillId="0" borderId="110" xfId="0" applyFont="1" applyFill="1" applyBorder="1" applyAlignment="1">
      <alignment horizontal="centerContinuous" vertical="center"/>
    </xf>
    <xf numFmtId="164" fontId="5" fillId="0" borderId="110" xfId="0" applyNumberFormat="1" applyFont="1" applyFill="1" applyBorder="1" applyAlignment="1">
      <alignment horizontal="center" vertical="center"/>
    </xf>
    <xf numFmtId="49" fontId="2" fillId="0" borderId="110" xfId="0" applyNumberFormat="1" applyFont="1" applyFill="1" applyBorder="1" applyAlignment="1">
      <alignment horizontal="center" vertical="center"/>
    </xf>
    <xf numFmtId="49" fontId="2" fillId="0" borderId="114" xfId="0" applyNumberFormat="1" applyFont="1" applyFill="1" applyBorder="1" applyAlignment="1">
      <alignment horizontal="centerContinuous" vertical="center"/>
    </xf>
    <xf numFmtId="0" fontId="21" fillId="11" borderId="37" xfId="0" applyFont="1" applyFill="1" applyBorder="1" applyAlignment="1">
      <alignment horizontal="center" vertical="center"/>
    </xf>
    <xf numFmtId="164" fontId="21" fillId="3" borderId="37" xfId="0" applyNumberFormat="1" applyFont="1" applyFill="1" applyBorder="1" applyAlignment="1">
      <alignment horizontal="center" vertical="center"/>
    </xf>
    <xf numFmtId="164" fontId="2" fillId="0" borderId="115" xfId="0" applyNumberFormat="1" applyFont="1" applyFill="1" applyBorder="1" applyAlignment="1">
      <alignment horizontal="centerContinuous" vertical="center"/>
    </xf>
    <xf numFmtId="0" fontId="2" fillId="0" borderId="47" xfId="0" applyFont="1" applyBorder="1" applyAlignment="1">
      <alignment horizontal="center" vertical="center"/>
    </xf>
    <xf numFmtId="164" fontId="2" fillId="0" borderId="117" xfId="0" applyNumberFormat="1" applyFont="1" applyFill="1" applyBorder="1" applyAlignment="1">
      <alignment horizontal="centerContinuous" vertical="center"/>
    </xf>
    <xf numFmtId="0" fontId="2" fillId="0" borderId="88" xfId="0" applyFont="1" applyBorder="1" applyAlignment="1">
      <alignment horizontal="center" vertical="center" shrinkToFit="1"/>
    </xf>
    <xf numFmtId="164" fontId="2" fillId="0" borderId="47"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7" fillId="0" borderId="27" xfId="5" applyFont="1" applyBorder="1" applyAlignment="1">
      <alignment horizontal="center" vertical="center" shrinkToFit="1"/>
    </xf>
    <xf numFmtId="0" fontId="2" fillId="0" borderId="84" xfId="0" applyFont="1" applyFill="1" applyBorder="1" applyAlignment="1">
      <alignment horizontal="center" vertical="center" shrinkToFit="1"/>
    </xf>
    <xf numFmtId="0" fontId="2" fillId="0" borderId="47" xfId="0" applyFont="1" applyFill="1" applyBorder="1" applyAlignment="1">
      <alignment horizontal="center" vertical="center"/>
    </xf>
    <xf numFmtId="49" fontId="2" fillId="0" borderId="47"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9" fontId="7" fillId="0" borderId="53" xfId="2" applyFont="1" applyFill="1" applyBorder="1" applyAlignment="1">
      <alignment horizontal="center" vertical="center" shrinkToFit="1"/>
    </xf>
    <xf numFmtId="9" fontId="7" fillId="0" borderId="55" xfId="2" applyFont="1" applyFill="1" applyBorder="1" applyAlignment="1">
      <alignment horizontal="center" vertical="center" shrinkToFit="1"/>
    </xf>
    <xf numFmtId="0" fontId="7" fillId="0" borderId="55" xfId="2" applyNumberFormat="1" applyFont="1" applyFill="1" applyBorder="1" applyAlignment="1">
      <alignment horizontal="center" vertical="center" shrinkToFit="1"/>
    </xf>
    <xf numFmtId="1" fontId="2" fillId="0" borderId="63" xfId="0" applyNumberFormat="1" applyFont="1" applyBorder="1" applyAlignment="1">
      <alignment horizontal="center" vertical="center" shrinkToFit="1"/>
    </xf>
    <xf numFmtId="1" fontId="2" fillId="0" borderId="56" xfId="0" applyNumberFormat="1" applyFont="1" applyBorder="1" applyAlignment="1">
      <alignment horizontal="center" vertical="center" shrinkToFit="1"/>
    </xf>
    <xf numFmtId="1" fontId="5" fillId="0" borderId="0" xfId="0" applyNumberFormat="1" applyFont="1" applyBorder="1" applyAlignment="1">
      <alignment vertical="center"/>
    </xf>
    <xf numFmtId="1" fontId="21" fillId="3" borderId="3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0" fontId="61" fillId="0" borderId="25" xfId="5" applyFont="1" applyBorder="1" applyAlignment="1">
      <alignment horizontal="center" vertical="center"/>
    </xf>
    <xf numFmtId="0" fontId="4" fillId="0" borderId="25" xfId="5" applyFont="1" applyBorder="1" applyAlignment="1">
      <alignment horizontal="center" vertical="center"/>
    </xf>
    <xf numFmtId="0" fontId="8" fillId="0" borderId="25" xfId="5" applyFont="1" applyFill="1" applyBorder="1" applyAlignment="1">
      <alignment horizontal="center" vertical="center"/>
    </xf>
    <xf numFmtId="0" fontId="13" fillId="0" borderId="25" xfId="5" applyFont="1" applyFill="1" applyBorder="1" applyAlignment="1">
      <alignment horizontal="center" vertical="center"/>
    </xf>
    <xf numFmtId="0" fontId="10" fillId="0" borderId="25" xfId="5" applyFont="1" applyFill="1" applyBorder="1" applyAlignment="1">
      <alignment horizontal="center" vertical="center"/>
    </xf>
    <xf numFmtId="0" fontId="11" fillId="0" borderId="25" xfId="5" applyFont="1" applyFill="1" applyBorder="1" applyAlignment="1">
      <alignment horizontal="center" vertical="center"/>
    </xf>
    <xf numFmtId="0" fontId="22" fillId="0" borderId="25" xfId="5" applyFont="1" applyFill="1" applyBorder="1" applyAlignment="1">
      <alignment horizontal="center" vertical="center"/>
    </xf>
    <xf numFmtId="0" fontId="14" fillId="0" borderId="25" xfId="5" applyFont="1" applyFill="1" applyBorder="1" applyAlignment="1">
      <alignment horizontal="center" vertical="center"/>
    </xf>
    <xf numFmtId="0" fontId="63" fillId="0" borderId="25" xfId="0" applyFont="1" applyFill="1" applyBorder="1" applyAlignment="1">
      <alignment horizontal="center" vertical="center"/>
    </xf>
    <xf numFmtId="0" fontId="64" fillId="0" borderId="25" xfId="5" applyFont="1" applyFill="1" applyBorder="1" applyAlignment="1">
      <alignment horizontal="center" vertical="center"/>
    </xf>
    <xf numFmtId="49" fontId="4" fillId="0" borderId="25" xfId="5" applyNumberFormat="1" applyFont="1" applyFill="1" applyBorder="1" applyAlignment="1">
      <alignment horizontal="center" vertical="center"/>
    </xf>
    <xf numFmtId="0" fontId="4" fillId="0" borderId="25" xfId="5" applyFont="1" applyFill="1" applyBorder="1" applyAlignment="1">
      <alignment horizontal="center" vertical="center"/>
    </xf>
    <xf numFmtId="0" fontId="4" fillId="0" borderId="120" xfId="5" applyFont="1" applyFill="1" applyBorder="1" applyAlignment="1">
      <alignment horizontal="center" vertical="center"/>
    </xf>
    <xf numFmtId="0" fontId="2" fillId="0" borderId="0" xfId="5" applyAlignment="1">
      <alignment horizontal="center" vertical="center"/>
    </xf>
    <xf numFmtId="0" fontId="2" fillId="0" borderId="47" xfId="0" applyFont="1" applyFill="1" applyBorder="1" applyAlignment="1">
      <alignment horizontal="center" vertical="center" wrapText="1"/>
    </xf>
    <xf numFmtId="0" fontId="7" fillId="0" borderId="121" xfId="0" applyFont="1" applyFill="1" applyBorder="1" applyAlignment="1">
      <alignment horizontal="center" vertical="center" wrapText="1"/>
    </xf>
    <xf numFmtId="0" fontId="0" fillId="0" borderId="118" xfId="0" applyFill="1" applyBorder="1" applyAlignment="1">
      <alignment horizontal="center" vertical="center" wrapText="1"/>
    </xf>
    <xf numFmtId="0" fontId="0" fillId="0" borderId="47" xfId="0" applyFill="1" applyBorder="1" applyAlignment="1">
      <alignment horizontal="center" vertical="center" wrapText="1"/>
    </xf>
    <xf numFmtId="0" fontId="0" fillId="0" borderId="117" xfId="0" applyFill="1" applyBorder="1" applyAlignment="1">
      <alignment horizontal="center" vertical="center" wrapText="1"/>
    </xf>
    <xf numFmtId="164" fontId="0" fillId="0" borderId="122" xfId="0" applyNumberFormat="1" applyFill="1" applyBorder="1" applyAlignment="1">
      <alignment horizontal="center" vertical="center" wrapText="1"/>
    </xf>
    <xf numFmtId="0" fontId="0" fillId="0" borderId="122" xfId="0" applyFill="1" applyBorder="1" applyAlignment="1">
      <alignment horizontal="center" vertical="center" wrapText="1"/>
    </xf>
    <xf numFmtId="0" fontId="2" fillId="0" borderId="64" xfId="0" applyFont="1" applyFill="1" applyBorder="1" applyAlignment="1">
      <alignment horizontal="center" vertical="center" wrapText="1"/>
    </xf>
    <xf numFmtId="0" fontId="2" fillId="0" borderId="119" xfId="0" applyFont="1" applyFill="1" applyBorder="1" applyAlignment="1">
      <alignment horizontal="center" vertical="center" wrapText="1"/>
    </xf>
    <xf numFmtId="0" fontId="0" fillId="0" borderId="118" xfId="0" quotePrefix="1" applyFill="1" applyBorder="1" applyAlignment="1">
      <alignment horizontal="center" vertical="center" wrapText="1"/>
    </xf>
    <xf numFmtId="0" fontId="65" fillId="16" borderId="78" xfId="0" applyFont="1" applyFill="1" applyBorder="1" applyAlignment="1">
      <alignment horizontal="right" vertical="center" wrapText="1"/>
    </xf>
    <xf numFmtId="0" fontId="61" fillId="0" borderId="0" xfId="5" applyFont="1" applyAlignment="1">
      <alignment horizontal="right" vertical="center"/>
    </xf>
    <xf numFmtId="164" fontId="2" fillId="0" borderId="52" xfId="0" applyNumberFormat="1" applyFont="1" applyBorder="1" applyAlignment="1">
      <alignment horizontal="center" vertical="center" shrinkToFit="1"/>
    </xf>
    <xf numFmtId="0" fontId="2" fillId="0" borderId="48" xfId="0" applyFont="1" applyBorder="1" applyAlignment="1">
      <alignment horizontal="left" vertical="center" shrinkToFit="1"/>
    </xf>
    <xf numFmtId="1" fontId="2" fillId="0" borderId="105" xfId="0" applyNumberFormat="1" applyFont="1" applyFill="1" applyBorder="1" applyAlignment="1">
      <alignment horizontal="center" vertical="center"/>
    </xf>
    <xf numFmtId="49" fontId="2" fillId="0" borderId="106" xfId="0" applyNumberFormat="1" applyFont="1" applyFill="1" applyBorder="1" applyAlignment="1">
      <alignment horizontal="center" vertical="center"/>
    </xf>
    <xf numFmtId="1" fontId="50" fillId="12" borderId="47" xfId="0" applyNumberFormat="1" applyFont="1" applyFill="1" applyBorder="1" applyAlignment="1">
      <alignment horizontal="center" vertical="center"/>
    </xf>
    <xf numFmtId="0" fontId="2" fillId="0" borderId="0" xfId="0" applyFont="1" applyBorder="1" applyAlignment="1">
      <alignment vertical="center"/>
    </xf>
    <xf numFmtId="165" fontId="2" fillId="0" borderId="0" xfId="0" applyNumberFormat="1" applyFont="1" applyBorder="1" applyAlignment="1">
      <alignment horizontal="center" vertical="center"/>
    </xf>
    <xf numFmtId="0" fontId="46" fillId="0" borderId="1" xfId="0" applyFont="1" applyBorder="1" applyAlignment="1">
      <alignment horizontal="center" vertical="center" shrinkToFit="1"/>
    </xf>
    <xf numFmtId="0" fontId="46" fillId="0" borderId="1" xfId="0" applyFont="1" applyFill="1" applyBorder="1" applyAlignment="1">
      <alignment horizontal="center" vertical="center" shrinkToFit="1"/>
    </xf>
    <xf numFmtId="1" fontId="7" fillId="0" borderId="30" xfId="0" applyNumberFormat="1" applyFont="1" applyBorder="1" applyAlignment="1">
      <alignment horizontal="center" vertical="center"/>
    </xf>
    <xf numFmtId="0" fontId="2" fillId="0" borderId="123" xfId="0" applyFont="1" applyBorder="1" applyAlignment="1">
      <alignment horizontal="center" vertical="center" shrinkToFit="1"/>
    </xf>
    <xf numFmtId="0" fontId="2" fillId="0" borderId="124" xfId="0" applyFont="1" applyFill="1" applyBorder="1" applyAlignment="1">
      <alignment horizontal="center" vertical="center"/>
    </xf>
    <xf numFmtId="49" fontId="2" fillId="0" borderId="124" xfId="0" applyNumberFormat="1" applyFont="1" applyFill="1" applyBorder="1" applyAlignment="1">
      <alignment horizontal="center" vertical="center"/>
    </xf>
    <xf numFmtId="0" fontId="2" fillId="0" borderId="126" xfId="0" applyFont="1" applyFill="1" applyBorder="1" applyAlignment="1">
      <alignment horizontal="center" vertical="center"/>
    </xf>
    <xf numFmtId="164" fontId="2" fillId="10" borderId="124" xfId="0" applyNumberFormat="1" applyFont="1" applyFill="1" applyBorder="1" applyAlignment="1">
      <alignment horizontal="center" vertical="center"/>
    </xf>
    <xf numFmtId="1" fontId="2" fillId="0" borderId="43" xfId="0" applyNumberFormat="1" applyFont="1" applyFill="1" applyBorder="1" applyAlignment="1">
      <alignment horizontal="center" vertical="center"/>
    </xf>
    <xf numFmtId="1" fontId="2" fillId="10" borderId="90" xfId="0" applyNumberFormat="1" applyFont="1" applyFill="1" applyBorder="1" applyAlignment="1">
      <alignment horizontal="center" vertical="center"/>
    </xf>
    <xf numFmtId="1" fontId="2" fillId="0" borderId="90" xfId="0" applyNumberFormat="1" applyFont="1" applyFill="1" applyBorder="1" applyAlignment="1">
      <alignment horizontal="center" vertical="center"/>
    </xf>
    <xf numFmtId="1" fontId="2" fillId="0" borderId="56" xfId="0" applyNumberFormat="1" applyFont="1" applyFill="1" applyBorder="1" applyAlignment="1">
      <alignment horizontal="center" vertical="center"/>
    </xf>
    <xf numFmtId="0" fontId="6" fillId="4" borderId="11" xfId="0" applyFont="1" applyFill="1" applyBorder="1" applyAlignment="1">
      <alignment horizontal="right" vertical="center"/>
    </xf>
    <xf numFmtId="49" fontId="7" fillId="0" borderId="127" xfId="0" applyNumberFormat="1" applyFont="1" applyBorder="1" applyAlignment="1">
      <alignment horizontal="centerContinuous" vertical="center"/>
    </xf>
    <xf numFmtId="0" fontId="2" fillId="0" borderId="128" xfId="0" applyFont="1" applyBorder="1" applyAlignment="1">
      <alignment horizontal="centerContinuous" vertical="center"/>
    </xf>
    <xf numFmtId="0" fontId="60" fillId="17" borderId="26" xfId="0" quotePrefix="1" applyFont="1" applyFill="1" applyBorder="1" applyAlignment="1">
      <alignment horizontal="center" vertical="center"/>
    </xf>
    <xf numFmtId="0" fontId="2" fillId="0" borderId="125" xfId="0" quotePrefix="1" applyFont="1" applyFill="1" applyBorder="1" applyAlignment="1">
      <alignment horizontal="center" vertical="center"/>
    </xf>
    <xf numFmtId="0" fontId="2" fillId="0" borderId="48" xfId="0" quotePrefix="1" applyFont="1" applyFill="1" applyBorder="1" applyAlignment="1">
      <alignment horizontal="center" vertical="center"/>
    </xf>
    <xf numFmtId="1" fontId="2" fillId="0" borderId="0" xfId="5" applyNumberFormat="1" applyAlignment="1">
      <alignment horizontal="center" vertical="center"/>
    </xf>
    <xf numFmtId="0" fontId="61" fillId="0" borderId="129" xfId="5" applyFont="1" applyBorder="1" applyAlignment="1">
      <alignment horizontal="right" vertical="center"/>
    </xf>
    <xf numFmtId="0" fontId="2" fillId="0" borderId="129" xfId="5" applyBorder="1" applyAlignment="1">
      <alignment horizontal="center" vertical="center"/>
    </xf>
    <xf numFmtId="0" fontId="61" fillId="0" borderId="0" xfId="5" applyFont="1" applyAlignment="1">
      <alignment horizontal="centerContinuous" vertical="center"/>
    </xf>
    <xf numFmtId="0" fontId="2" fillId="0" borderId="0" xfId="5" applyAlignment="1">
      <alignment horizontal="centerContinuous" vertical="center"/>
    </xf>
    <xf numFmtId="0" fontId="2" fillId="0" borderId="117" xfId="0" applyFont="1" applyFill="1" applyBorder="1" applyAlignment="1">
      <alignment horizontal="center" vertical="center" wrapText="1"/>
    </xf>
    <xf numFmtId="0" fontId="2" fillId="0" borderId="87" xfId="0" applyFont="1" applyFill="1" applyBorder="1" applyAlignment="1">
      <alignment horizontal="center" vertical="center" shrinkToFit="1"/>
    </xf>
    <xf numFmtId="0" fontId="5" fillId="0" borderId="49" xfId="0" applyFont="1" applyBorder="1" applyAlignment="1">
      <alignment horizontal="center" vertical="center" shrinkToFit="1"/>
    </xf>
    <xf numFmtId="0" fontId="7" fillId="0" borderId="131" xfId="5" applyFont="1" applyBorder="1" applyAlignment="1">
      <alignment horizontal="center" vertical="center" shrinkToFit="1"/>
    </xf>
    <xf numFmtId="9" fontId="7" fillId="0" borderId="132" xfId="2" applyFont="1" applyBorder="1" applyAlignment="1">
      <alignment horizontal="center" vertical="center" shrinkToFit="1"/>
    </xf>
    <xf numFmtId="0" fontId="7" fillId="0" borderId="132" xfId="2" applyNumberFormat="1" applyFont="1" applyBorder="1" applyAlignment="1">
      <alignment horizontal="center" vertical="center" shrinkToFit="1"/>
    </xf>
    <xf numFmtId="0" fontId="7" fillId="0" borderId="28" xfId="0" applyNumberFormat="1" applyFont="1" applyFill="1" applyBorder="1" applyAlignment="1">
      <alignment horizontal="center" vertical="center" shrinkToFit="1"/>
    </xf>
    <xf numFmtId="0" fontId="7" fillId="0" borderId="27" xfId="0" applyFont="1" applyFill="1" applyBorder="1" applyAlignment="1">
      <alignment horizontal="center" vertical="center" shrinkToFit="1"/>
    </xf>
    <xf numFmtId="0" fontId="7" fillId="0" borderId="14" xfId="0" applyNumberFormat="1" applyFont="1" applyFill="1" applyBorder="1" applyAlignment="1">
      <alignment horizontal="center" vertical="center" shrinkToFit="1"/>
    </xf>
    <xf numFmtId="9" fontId="7" fillId="0" borderId="28" xfId="10" applyFont="1" applyFill="1" applyBorder="1" applyAlignment="1">
      <alignment horizontal="center" vertical="center" shrinkToFit="1"/>
    </xf>
    <xf numFmtId="9" fontId="7" fillId="0" borderId="27" xfId="10" applyFont="1" applyFill="1" applyBorder="1" applyAlignment="1">
      <alignment horizontal="center" vertical="center" shrinkToFit="1"/>
    </xf>
    <xf numFmtId="0" fontId="7" fillId="0" borderId="28" xfId="10" applyNumberFormat="1" applyFont="1" applyFill="1" applyBorder="1" applyAlignment="1">
      <alignment horizontal="center" vertical="center" shrinkToFit="1"/>
    </xf>
    <xf numFmtId="0" fontId="7" fillId="0" borderId="29"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shrinkToFit="1"/>
    </xf>
    <xf numFmtId="0" fontId="7" fillId="0" borderId="14" xfId="2" applyNumberFormat="1" applyFont="1" applyBorder="1" applyAlignment="1">
      <alignment horizontal="center" vertical="center" shrinkToFit="1"/>
    </xf>
    <xf numFmtId="0" fontId="7" fillId="0" borderId="28" xfId="5" applyNumberFormat="1" applyFont="1" applyFill="1" applyBorder="1" applyAlignment="1">
      <alignment horizontal="center" vertical="center"/>
    </xf>
    <xf numFmtId="0" fontId="7" fillId="0" borderId="29" xfId="5" applyNumberFormat="1" applyFont="1" applyFill="1" applyBorder="1" applyAlignment="1">
      <alignment horizontal="center" vertical="center"/>
    </xf>
    <xf numFmtId="0" fontId="7" fillId="0" borderId="27" xfId="0" applyFont="1" applyBorder="1" applyAlignment="1">
      <alignment horizontal="center" vertical="center" shrinkToFit="1"/>
    </xf>
    <xf numFmtId="0" fontId="7" fillId="10" borderId="53" xfId="8" applyFont="1" applyFill="1" applyBorder="1" applyAlignment="1">
      <alignment horizontal="center" vertical="center"/>
    </xf>
    <xf numFmtId="0" fontId="7" fillId="0" borderId="55" xfId="0" applyNumberFormat="1" applyFont="1" applyFill="1" applyBorder="1" applyAlignment="1">
      <alignment horizontal="center" vertical="center" shrinkToFit="1"/>
    </xf>
    <xf numFmtId="1" fontId="50" fillId="12" borderId="135" xfId="0" applyNumberFormat="1" applyFont="1" applyFill="1" applyBorder="1" applyAlignment="1">
      <alignment horizontal="center" vertical="center"/>
    </xf>
    <xf numFmtId="0" fontId="2" fillId="17" borderId="83" xfId="0" applyFont="1" applyFill="1" applyBorder="1" applyAlignment="1">
      <alignment horizontal="center" vertical="center"/>
    </xf>
    <xf numFmtId="0" fontId="2" fillId="17" borderId="52" xfId="0" applyFont="1" applyFill="1" applyBorder="1" applyAlignment="1">
      <alignment horizontal="center" vertical="center"/>
    </xf>
    <xf numFmtId="49" fontId="2" fillId="17" borderId="52" xfId="0" applyNumberFormat="1" applyFont="1" applyFill="1" applyBorder="1" applyAlignment="1">
      <alignment horizontal="center" vertical="center"/>
    </xf>
    <xf numFmtId="0" fontId="2" fillId="17" borderId="51" xfId="0" applyFont="1" applyFill="1" applyBorder="1" applyAlignment="1">
      <alignment horizontal="center" vertical="center"/>
    </xf>
    <xf numFmtId="0" fontId="2" fillId="17" borderId="63" xfId="0" applyFont="1" applyFill="1" applyBorder="1" applyAlignment="1">
      <alignment horizontal="center" vertical="center"/>
    </xf>
    <xf numFmtId="0" fontId="2" fillId="17" borderId="123" xfId="0" applyFont="1" applyFill="1" applyBorder="1" applyAlignment="1">
      <alignment horizontal="center" vertical="center"/>
    </xf>
    <xf numFmtId="0" fontId="2" fillId="17" borderId="124" xfId="0" applyFont="1" applyFill="1" applyBorder="1" applyAlignment="1">
      <alignment horizontal="center" vertical="center"/>
    </xf>
    <xf numFmtId="49" fontId="2" fillId="17" borderId="124" xfId="0" applyNumberFormat="1" applyFont="1" applyFill="1" applyBorder="1" applyAlignment="1">
      <alignment horizontal="center" vertical="center"/>
    </xf>
    <xf numFmtId="0" fontId="2" fillId="17" borderId="125" xfId="0" applyFont="1" applyFill="1" applyBorder="1" applyAlignment="1">
      <alignment horizontal="center" vertical="center"/>
    </xf>
    <xf numFmtId="0" fontId="2" fillId="17" borderId="47" xfId="0" applyFont="1" applyFill="1" applyBorder="1" applyAlignment="1">
      <alignment horizontal="center" vertical="center"/>
    </xf>
    <xf numFmtId="1" fontId="2" fillId="17" borderId="47" xfId="0" applyNumberFormat="1" applyFont="1" applyFill="1" applyBorder="1" applyAlignment="1">
      <alignment horizontal="center" vertical="center"/>
    </xf>
    <xf numFmtId="0" fontId="2" fillId="0" borderId="84" xfId="0" applyFont="1" applyBorder="1" applyAlignment="1">
      <alignment horizontal="center" vertical="center"/>
    </xf>
    <xf numFmtId="0" fontId="2" fillId="17" borderId="134" xfId="0" applyFont="1" applyFill="1" applyBorder="1" applyAlignment="1">
      <alignment horizontal="center" vertical="center"/>
    </xf>
    <xf numFmtId="0" fontId="2" fillId="17" borderId="135" xfId="0" applyFont="1" applyFill="1" applyBorder="1" applyAlignment="1">
      <alignment horizontal="center" vertical="center"/>
    </xf>
    <xf numFmtId="49" fontId="2" fillId="0" borderId="47" xfId="0" applyNumberFormat="1" applyFont="1" applyBorder="1" applyAlignment="1">
      <alignment horizontal="center" vertical="center"/>
    </xf>
    <xf numFmtId="49" fontId="2" fillId="17" borderId="135" xfId="0" applyNumberFormat="1" applyFont="1" applyFill="1" applyBorder="1" applyAlignment="1">
      <alignment horizontal="center" vertical="center"/>
    </xf>
    <xf numFmtId="164" fontId="2" fillId="0" borderId="47" xfId="0" applyNumberFormat="1" applyFont="1" applyBorder="1" applyAlignment="1">
      <alignment horizontal="center" vertical="center"/>
    </xf>
    <xf numFmtId="1" fontId="2" fillId="17" borderId="135" xfId="0" applyNumberFormat="1" applyFont="1" applyFill="1" applyBorder="1" applyAlignment="1">
      <alignment horizontal="center" vertical="center"/>
    </xf>
    <xf numFmtId="0" fontId="2" fillId="0" borderId="48" xfId="0" applyFont="1" applyBorder="1" applyAlignment="1">
      <alignment horizontal="center" vertical="center"/>
    </xf>
    <xf numFmtId="0" fontId="2" fillId="17" borderId="136" xfId="0" applyFont="1" applyFill="1" applyBorder="1" applyAlignment="1">
      <alignment horizontal="center" vertical="center"/>
    </xf>
    <xf numFmtId="0" fontId="2" fillId="17" borderId="62" xfId="0" applyFont="1" applyFill="1" applyBorder="1" applyAlignment="1">
      <alignment horizontal="center" vertical="center"/>
    </xf>
    <xf numFmtId="0" fontId="2" fillId="0" borderId="87" xfId="0" applyFont="1" applyBorder="1" applyAlignment="1">
      <alignment horizontal="center" vertical="center"/>
    </xf>
    <xf numFmtId="0" fontId="2" fillId="17" borderId="85" xfId="0" applyFont="1" applyFill="1" applyBorder="1" applyAlignment="1">
      <alignment horizontal="center" vertical="center" shrinkToFit="1"/>
    </xf>
    <xf numFmtId="0" fontId="2" fillId="0" borderId="88" xfId="0" applyFont="1" applyBorder="1" applyAlignment="1">
      <alignment horizontal="center" vertical="center"/>
    </xf>
    <xf numFmtId="0" fontId="2" fillId="17" borderId="49" xfId="0" applyFont="1" applyFill="1" applyBorder="1" applyAlignment="1">
      <alignment horizontal="center" vertical="center"/>
    </xf>
    <xf numFmtId="49" fontId="2" fillId="0" borderId="88" xfId="2" applyNumberFormat="1" applyFont="1" applyBorder="1" applyAlignment="1">
      <alignment horizontal="center" vertical="center"/>
    </xf>
    <xf numFmtId="49" fontId="2" fillId="17" borderId="49" xfId="0" applyNumberFormat="1" applyFont="1" applyFill="1" applyBorder="1" applyAlignment="1">
      <alignment horizontal="center" vertical="center"/>
    </xf>
    <xf numFmtId="164" fontId="5" fillId="0" borderId="88" xfId="0" applyNumberFormat="1" applyFont="1" applyBorder="1" applyAlignment="1">
      <alignment horizontal="center" vertical="center"/>
    </xf>
    <xf numFmtId="164" fontId="2" fillId="17" borderId="49"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 fontId="5" fillId="0" borderId="47" xfId="0" applyNumberFormat="1" applyFont="1" applyBorder="1" applyAlignment="1">
      <alignment horizontal="center" vertical="center"/>
    </xf>
    <xf numFmtId="1" fontId="2" fillId="17" borderId="49" xfId="0" applyNumberFormat="1" applyFont="1" applyFill="1" applyBorder="1" applyAlignment="1">
      <alignment horizontal="center" vertical="center"/>
    </xf>
    <xf numFmtId="0" fontId="2" fillId="0" borderId="89" xfId="0" quotePrefix="1" applyFont="1" applyBorder="1" applyAlignment="1">
      <alignment horizontal="center" vertical="center"/>
    </xf>
    <xf numFmtId="0" fontId="2" fillId="17" borderId="50" xfId="0" quotePrefix="1" applyFont="1" applyFill="1" applyBorder="1" applyAlignment="1">
      <alignment horizontal="center" vertical="center"/>
    </xf>
    <xf numFmtId="1" fontId="2" fillId="17" borderId="56" xfId="0" applyNumberFormat="1" applyFont="1" applyFill="1" applyBorder="1" applyAlignment="1">
      <alignment horizontal="center" vertical="center"/>
    </xf>
    <xf numFmtId="0" fontId="2" fillId="0" borderId="47" xfId="0" quotePrefix="1" applyFont="1" applyFill="1" applyBorder="1" applyAlignment="1">
      <alignment horizontal="center" vertical="center"/>
    </xf>
    <xf numFmtId="0" fontId="2" fillId="0" borderId="49" xfId="0" quotePrefix="1" applyFont="1" applyBorder="1" applyAlignment="1">
      <alignment horizontal="center" vertical="center"/>
    </xf>
    <xf numFmtId="9" fontId="2" fillId="0" borderId="47" xfId="0" applyNumberFormat="1" applyFont="1" applyFill="1" applyBorder="1" applyAlignment="1">
      <alignment horizontal="center" vertical="center"/>
    </xf>
    <xf numFmtId="9" fontId="2" fillId="0" borderId="49" xfId="0" applyNumberFormat="1" applyFont="1" applyBorder="1" applyAlignment="1">
      <alignment horizontal="center" vertical="center"/>
    </xf>
    <xf numFmtId="0" fontId="2" fillId="0" borderId="116" xfId="0" applyFont="1" applyFill="1" applyBorder="1" applyAlignment="1">
      <alignment horizontal="centerContinuous" vertical="center"/>
    </xf>
    <xf numFmtId="0" fontId="5" fillId="0" borderId="81" xfId="0" quotePrefix="1" applyFont="1" applyBorder="1" applyAlignment="1">
      <alignment horizontal="centerContinuous" vertical="center"/>
    </xf>
    <xf numFmtId="164" fontId="2" fillId="0" borderId="126" xfId="0" applyNumberFormat="1" applyFont="1" applyFill="1" applyBorder="1" applyAlignment="1">
      <alignment horizontal="center" vertical="center"/>
    </xf>
    <xf numFmtId="1" fontId="50" fillId="12" borderId="126" xfId="0" applyNumberFormat="1" applyFont="1" applyFill="1" applyBorder="1" applyAlignment="1">
      <alignment horizontal="center" vertical="center"/>
    </xf>
    <xf numFmtId="1" fontId="2" fillId="0" borderId="126" xfId="0" applyNumberFormat="1" applyFont="1" applyFill="1" applyBorder="1" applyAlignment="1">
      <alignment horizontal="center" vertical="center"/>
    </xf>
    <xf numFmtId="0" fontId="2" fillId="0" borderId="137" xfId="0" quotePrefix="1" applyFont="1" applyFill="1" applyBorder="1" applyAlignment="1">
      <alignment horizontal="center" vertical="center"/>
    </xf>
    <xf numFmtId="1" fontId="50" fillId="12" borderId="124" xfId="0" applyNumberFormat="1" applyFont="1" applyFill="1" applyBorder="1" applyAlignment="1">
      <alignment horizontal="center" vertical="center"/>
    </xf>
    <xf numFmtId="1" fontId="2" fillId="0" borderId="124" xfId="0" applyNumberFormat="1" applyFont="1" applyFill="1" applyBorder="1" applyAlignment="1">
      <alignment horizontal="center" vertical="center"/>
    </xf>
    <xf numFmtId="1" fontId="2" fillId="0" borderId="138" xfId="0" applyNumberFormat="1" applyFont="1" applyFill="1" applyBorder="1" applyAlignment="1">
      <alignment horizontal="center" vertical="center"/>
    </xf>
    <xf numFmtId="1" fontId="2" fillId="10" borderId="63" xfId="0" applyNumberFormat="1" applyFont="1" applyFill="1" applyBorder="1" applyAlignment="1">
      <alignment horizontal="center" vertical="center"/>
    </xf>
    <xf numFmtId="0" fontId="2" fillId="0" borderId="88" xfId="0" applyFont="1" applyFill="1" applyBorder="1" applyAlignment="1">
      <alignment horizontal="center" vertical="center"/>
    </xf>
    <xf numFmtId="49" fontId="2" fillId="0" borderId="88" xfId="0" applyNumberFormat="1" applyFont="1" applyFill="1" applyBorder="1" applyAlignment="1">
      <alignment horizontal="center" vertical="center"/>
    </xf>
    <xf numFmtId="164" fontId="2" fillId="0" borderId="88" xfId="0" applyNumberFormat="1" applyFont="1" applyFill="1" applyBorder="1" applyAlignment="1">
      <alignment horizontal="center" vertical="center"/>
    </xf>
    <xf numFmtId="0" fontId="2" fillId="0" borderId="89" xfId="0" quotePrefix="1" applyFont="1" applyFill="1" applyBorder="1" applyAlignment="1">
      <alignment horizontal="center" vertical="center"/>
    </xf>
    <xf numFmtId="1" fontId="50" fillId="12" borderId="88" xfId="0" applyNumberFormat="1" applyFont="1" applyFill="1" applyBorder="1" applyAlignment="1">
      <alignment horizontal="center" vertical="center"/>
    </xf>
    <xf numFmtId="1" fontId="2" fillId="0" borderId="88" xfId="0" applyNumberFormat="1" applyFont="1" applyFill="1" applyBorder="1" applyAlignment="1">
      <alignment horizontal="center" vertical="center"/>
    </xf>
    <xf numFmtId="0" fontId="47" fillId="4" borderId="33" xfId="0" applyFont="1" applyFill="1" applyBorder="1" applyAlignment="1">
      <alignment horizontal="right" vertical="center"/>
    </xf>
    <xf numFmtId="0" fontId="7" fillId="0" borderId="12" xfId="0" applyNumberFormat="1" applyFont="1" applyFill="1" applyBorder="1" applyAlignment="1">
      <alignment horizontal="center" vertical="center"/>
    </xf>
    <xf numFmtId="0" fontId="10" fillId="0" borderId="25" xfId="5" applyFont="1" applyFill="1" applyBorder="1" applyAlignment="1">
      <alignment horizontal="centerContinuous" vertical="center"/>
    </xf>
    <xf numFmtId="0" fontId="13" fillId="0" borderId="25" xfId="5" applyFont="1" applyFill="1" applyBorder="1" applyAlignment="1">
      <alignment horizontal="centerContinuous" vertical="center"/>
    </xf>
    <xf numFmtId="0" fontId="48" fillId="0" borderId="25" xfId="5" applyFont="1" applyFill="1" applyBorder="1" applyAlignment="1">
      <alignment horizontal="centerContinuous" vertical="center"/>
    </xf>
    <xf numFmtId="0" fontId="49" fillId="0" borderId="117" xfId="0" applyFont="1" applyFill="1" applyBorder="1" applyAlignment="1">
      <alignment horizontal="center" vertical="center" wrapText="1"/>
    </xf>
    <xf numFmtId="0" fontId="68" fillId="0" borderId="64" xfId="0" applyFont="1" applyFill="1" applyBorder="1" applyAlignment="1">
      <alignment horizontal="center" vertical="center" wrapText="1"/>
    </xf>
    <xf numFmtId="1" fontId="2" fillId="10" borderId="139" xfId="0" applyNumberFormat="1" applyFont="1" applyFill="1" applyBorder="1" applyAlignment="1">
      <alignment horizontal="center" vertical="center"/>
    </xf>
    <xf numFmtId="0" fontId="2" fillId="0" borderId="140" xfId="0" applyFont="1" applyFill="1" applyBorder="1" applyAlignment="1">
      <alignment horizontal="center" vertical="center"/>
    </xf>
    <xf numFmtId="164" fontId="2" fillId="10" borderId="140" xfId="0" applyNumberFormat="1" applyFont="1" applyFill="1" applyBorder="1" applyAlignment="1">
      <alignment horizontal="center" vertical="center"/>
    </xf>
    <xf numFmtId="1" fontId="50" fillId="12" borderId="140" xfId="0" applyNumberFormat="1" applyFont="1" applyFill="1" applyBorder="1" applyAlignment="1">
      <alignment horizontal="center" vertical="center"/>
    </xf>
    <xf numFmtId="1" fontId="2" fillId="0" borderId="140" xfId="0" applyNumberFormat="1" applyFont="1" applyFill="1" applyBorder="1" applyAlignment="1">
      <alignment horizontal="center" vertical="center"/>
    </xf>
    <xf numFmtId="0" fontId="2" fillId="0" borderId="141" xfId="0" quotePrefix="1" applyFont="1" applyFill="1" applyBorder="1" applyAlignment="1">
      <alignment horizontal="center" vertical="center"/>
    </xf>
    <xf numFmtId="1" fontId="2" fillId="0" borderId="139" xfId="0" applyNumberFormat="1" applyFont="1" applyFill="1" applyBorder="1" applyAlignment="1">
      <alignment horizontal="center" vertical="center"/>
    </xf>
    <xf numFmtId="0" fontId="58" fillId="0" borderId="62" xfId="0" applyFont="1" applyFill="1" applyBorder="1" applyAlignment="1">
      <alignment horizontal="center" vertical="center" shrinkToFit="1"/>
    </xf>
    <xf numFmtId="0" fontId="52" fillId="0" borderId="37" xfId="0" applyFont="1" applyBorder="1" applyAlignment="1">
      <alignment horizontal="centerContinuous" vertical="center"/>
    </xf>
    <xf numFmtId="0" fontId="53" fillId="0" borderId="37" xfId="0" applyFont="1" applyBorder="1" applyAlignment="1">
      <alignment horizontal="centerContinuous" vertical="center"/>
    </xf>
    <xf numFmtId="0" fontId="69" fillId="0" borderId="25" xfId="0" applyFont="1" applyBorder="1" applyAlignment="1">
      <alignment horizontal="centerContinuous" vertical="center"/>
    </xf>
    <xf numFmtId="0" fontId="2" fillId="0" borderId="142" xfId="0" applyFont="1" applyBorder="1" applyAlignment="1">
      <alignment horizontal="center" vertical="center" shrinkToFit="1"/>
    </xf>
    <xf numFmtId="49" fontId="2" fillId="0" borderId="126" xfId="0" applyNumberFormat="1" applyFont="1" applyFill="1" applyBorder="1" applyAlignment="1">
      <alignment horizontal="center" vertical="center"/>
    </xf>
    <xf numFmtId="0" fontId="2" fillId="0" borderId="143" xfId="0" applyFont="1" applyBorder="1" applyAlignment="1">
      <alignment horizontal="center" vertical="center" shrinkToFit="1"/>
    </xf>
    <xf numFmtId="49" fontId="2" fillId="0" borderId="140" xfId="0" applyNumberFormat="1" applyFont="1" applyFill="1" applyBorder="1" applyAlignment="1">
      <alignment horizontal="center" vertical="center"/>
    </xf>
    <xf numFmtId="0" fontId="67" fillId="0" borderId="78" xfId="0" applyFont="1" applyFill="1" applyBorder="1" applyAlignment="1">
      <alignment horizontal="center" vertical="center" wrapText="1"/>
    </xf>
    <xf numFmtId="0" fontId="68" fillId="0" borderId="144" xfId="0" applyFont="1" applyFill="1" applyBorder="1" applyAlignment="1">
      <alignment horizontal="center" vertical="center" wrapText="1"/>
    </xf>
    <xf numFmtId="0" fontId="68" fillId="0" borderId="78" xfId="0" applyFont="1" applyFill="1" applyBorder="1" applyAlignment="1">
      <alignment horizontal="center" vertical="center" wrapText="1"/>
    </xf>
    <xf numFmtId="0" fontId="66" fillId="0" borderId="145" xfId="0" applyFont="1" applyFill="1" applyBorder="1" applyAlignment="1">
      <alignment horizontal="center" vertical="center" wrapText="1"/>
    </xf>
    <xf numFmtId="0" fontId="12" fillId="11" borderId="23" xfId="0" applyFont="1" applyFill="1" applyBorder="1" applyAlignment="1">
      <alignment horizontal="center" vertical="center"/>
    </xf>
    <xf numFmtId="0" fontId="58" fillId="0" borderId="1" xfId="8" applyFont="1" applyFill="1" applyBorder="1" applyAlignment="1">
      <alignment horizontal="center" vertical="center" shrinkToFit="1"/>
    </xf>
    <xf numFmtId="0" fontId="58" fillId="0" borderId="38" xfId="8" applyFont="1" applyFill="1" applyBorder="1" applyAlignment="1">
      <alignment horizontal="center" vertical="center" shrinkToFit="1"/>
    </xf>
    <xf numFmtId="0" fontId="58" fillId="0" borderId="8" xfId="8" applyFont="1" applyFill="1" applyBorder="1" applyAlignment="1">
      <alignment horizontal="center" vertical="center" shrinkToFit="1"/>
    </xf>
    <xf numFmtId="0" fontId="62" fillId="0" borderId="122" xfId="0" quotePrefix="1" applyFont="1" applyFill="1" applyBorder="1" applyAlignment="1">
      <alignment horizontal="center" vertical="center" wrapText="1"/>
    </xf>
    <xf numFmtId="0" fontId="2" fillId="0" borderId="0" xfId="5" applyAlignment="1">
      <alignment horizontal="center" vertical="center" wrapText="1"/>
    </xf>
    <xf numFmtId="0" fontId="21" fillId="11" borderId="146" xfId="0" applyFont="1" applyFill="1" applyBorder="1" applyAlignment="1">
      <alignment horizontal="center" vertical="center"/>
    </xf>
    <xf numFmtId="1" fontId="21" fillId="11" borderId="37" xfId="0" applyNumberFormat="1" applyFont="1" applyFill="1" applyBorder="1" applyAlignment="1">
      <alignment horizontal="center" vertical="center"/>
    </xf>
    <xf numFmtId="1" fontId="2" fillId="0" borderId="90" xfId="0" applyNumberFormat="1" applyFont="1" applyBorder="1" applyAlignment="1">
      <alignment horizontal="center" vertical="center"/>
    </xf>
    <xf numFmtId="0" fontId="2" fillId="0" borderId="96" xfId="0" applyFont="1" applyFill="1" applyBorder="1" applyAlignment="1">
      <alignment horizontal="centerContinuous" vertical="center" shrinkToFit="1"/>
    </xf>
    <xf numFmtId="0" fontId="21" fillId="0" borderId="78" xfId="0" applyFont="1" applyFill="1" applyBorder="1" applyAlignment="1">
      <alignment horizontal="centerContinuous" vertical="center"/>
    </xf>
    <xf numFmtId="0" fontId="21" fillId="0" borderId="64" xfId="0" applyFont="1" applyFill="1" applyBorder="1" applyAlignment="1">
      <alignment horizontal="centerContinuous" vertical="center"/>
    </xf>
    <xf numFmtId="0" fontId="2" fillId="0" borderId="117" xfId="0" applyFont="1" applyFill="1" applyBorder="1" applyAlignment="1">
      <alignment horizontal="center" vertical="center"/>
    </xf>
    <xf numFmtId="0" fontId="2" fillId="0" borderId="79" xfId="0" applyFont="1" applyFill="1" applyBorder="1" applyAlignment="1">
      <alignment horizontal="centerContinuous" vertical="center"/>
    </xf>
    <xf numFmtId="0" fontId="2" fillId="0" borderId="97" xfId="0" applyFont="1" applyFill="1" applyBorder="1" applyAlignment="1">
      <alignment horizontal="centerContinuous" vertical="center" shrinkToFit="1"/>
    </xf>
    <xf numFmtId="0" fontId="2" fillId="0" borderId="80" xfId="0" applyFont="1" applyFill="1" applyBorder="1" applyAlignment="1">
      <alignment horizontal="centerContinuous" vertical="center"/>
    </xf>
    <xf numFmtId="0" fontId="2" fillId="0" borderId="69" xfId="0" applyFont="1" applyFill="1" applyBorder="1" applyAlignment="1">
      <alignment horizontal="centerContinuous" vertical="center"/>
    </xf>
    <xf numFmtId="49" fontId="2" fillId="0" borderId="112" xfId="0" applyNumberFormat="1" applyFont="1" applyFill="1" applyBorder="1" applyAlignment="1">
      <alignment horizontal="center" vertical="center"/>
    </xf>
    <xf numFmtId="49" fontId="2" fillId="0" borderId="49" xfId="0" applyNumberFormat="1" applyFont="1" applyFill="1" applyBorder="1" applyAlignment="1">
      <alignment horizontal="center" vertical="center"/>
    </xf>
    <xf numFmtId="0" fontId="2" fillId="0" borderId="81" xfId="0" applyFont="1" applyFill="1" applyBorder="1" applyAlignment="1">
      <alignment horizontal="centerContinuous" vertical="center"/>
    </xf>
    <xf numFmtId="1" fontId="2" fillId="0" borderId="56" xfId="0" applyNumberFormat="1" applyFont="1" applyBorder="1" applyAlignment="1">
      <alignment horizontal="center" vertical="center"/>
    </xf>
    <xf numFmtId="0" fontId="2" fillId="0" borderId="143" xfId="0" applyFont="1" applyFill="1" applyBorder="1" applyAlignment="1">
      <alignment horizontal="center" vertical="center"/>
    </xf>
    <xf numFmtId="0" fontId="2" fillId="0" borderId="140" xfId="0" quotePrefix="1" applyFont="1" applyFill="1" applyBorder="1" applyAlignment="1">
      <alignment horizontal="center" vertical="center" wrapText="1"/>
    </xf>
    <xf numFmtId="49" fontId="2" fillId="0" borderId="140" xfId="2" applyNumberFormat="1" applyFont="1" applyFill="1" applyBorder="1" applyAlignment="1">
      <alignment horizontal="center" vertical="center"/>
    </xf>
    <xf numFmtId="1" fontId="2" fillId="17" borderId="124" xfId="0" applyNumberFormat="1" applyFont="1" applyFill="1" applyBorder="1" applyAlignment="1">
      <alignment horizontal="center" vertical="center"/>
    </xf>
    <xf numFmtId="0" fontId="2" fillId="0" borderId="47" xfId="0" quotePrefix="1" applyFont="1" applyFill="1" applyBorder="1" applyAlignment="1">
      <alignment horizontal="center" vertical="center" wrapText="1"/>
    </xf>
    <xf numFmtId="0" fontId="2" fillId="19" borderId="47" xfId="0" applyFont="1" applyFill="1" applyBorder="1" applyAlignment="1">
      <alignment horizontal="center" vertical="center" wrapText="1"/>
    </xf>
    <xf numFmtId="0" fontId="2" fillId="20" borderId="47" xfId="0" applyFont="1" applyFill="1" applyBorder="1" applyAlignment="1">
      <alignment horizontal="center" vertical="center" wrapText="1"/>
    </xf>
    <xf numFmtId="0" fontId="2" fillId="11" borderId="47" xfId="0" applyFont="1" applyFill="1" applyBorder="1" applyAlignment="1">
      <alignment horizontal="center" vertical="center" wrapText="1"/>
    </xf>
    <xf numFmtId="1" fontId="7" fillId="0" borderId="30" xfId="0" applyNumberFormat="1" applyFont="1" applyFill="1" applyBorder="1" applyAlignment="1">
      <alignment horizontal="center" vertical="center"/>
    </xf>
    <xf numFmtId="0" fontId="77" fillId="0" borderId="25" xfId="5" applyFont="1" applyFill="1" applyBorder="1" applyAlignment="1">
      <alignment horizontal="center" vertical="center"/>
    </xf>
    <xf numFmtId="0" fontId="77" fillId="0" borderId="25" xfId="5" applyFont="1" applyFill="1" applyBorder="1" applyAlignment="1">
      <alignment horizontal="centerContinuous" vertical="center"/>
    </xf>
    <xf numFmtId="0" fontId="0" fillId="0" borderId="147" xfId="0" quotePrefix="1" applyFill="1" applyBorder="1" applyAlignment="1">
      <alignment horizontal="center" vertical="center" wrapText="1"/>
    </xf>
    <xf numFmtId="0" fontId="55" fillId="0" borderId="43" xfId="0" applyFont="1" applyFill="1" applyBorder="1" applyAlignment="1">
      <alignment horizontal="centerContinuous" vertical="center"/>
    </xf>
    <xf numFmtId="0" fontId="65" fillId="16" borderId="0" xfId="0" applyFont="1" applyFill="1" applyBorder="1" applyAlignment="1">
      <alignment horizontal="righ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164" fontId="0" fillId="0" borderId="0" xfId="0" applyNumberFormat="1" applyFill="1" applyBorder="1" applyAlignment="1">
      <alignment horizontal="center" vertical="center" wrapText="1"/>
    </xf>
    <xf numFmtId="0" fontId="68" fillId="0" borderId="0"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0" fillId="0" borderId="0" xfId="0" quotePrefix="1" applyFill="1" applyBorder="1" applyAlignment="1">
      <alignment horizontal="center" vertical="center" wrapText="1"/>
    </xf>
    <xf numFmtId="0" fontId="62" fillId="0" borderId="0" xfId="0" quotePrefix="1" applyFont="1" applyFill="1" applyBorder="1" applyAlignment="1">
      <alignment horizontal="center" vertical="center" wrapText="1"/>
    </xf>
    <xf numFmtId="0" fontId="62" fillId="0" borderId="130" xfId="0" quotePrefix="1" applyFont="1" applyFill="1" applyBorder="1" applyAlignment="1">
      <alignment horizontal="center" vertical="center" wrapText="1"/>
    </xf>
    <xf numFmtId="0" fontId="62" fillId="0" borderId="118" xfId="0" applyFont="1" applyFill="1" applyBorder="1" applyAlignment="1">
      <alignment horizontal="center" vertical="center" wrapText="1"/>
    </xf>
    <xf numFmtId="0" fontId="62" fillId="0" borderId="119" xfId="0" applyFont="1" applyFill="1" applyBorder="1" applyAlignment="1">
      <alignment horizontal="center" vertical="center" wrapText="1"/>
    </xf>
    <xf numFmtId="0" fontId="71" fillId="0" borderId="119" xfId="0" applyFont="1" applyFill="1" applyBorder="1" applyAlignment="1">
      <alignment horizontal="center" vertical="center" wrapText="1"/>
    </xf>
    <xf numFmtId="0" fontId="62" fillId="0" borderId="0" xfId="0" applyFont="1" applyFill="1" applyBorder="1" applyAlignment="1">
      <alignment horizontal="center" vertical="center" wrapText="1"/>
    </xf>
    <xf numFmtId="0" fontId="61" fillId="0" borderId="0" xfId="5" applyFont="1" applyFill="1" applyAlignment="1">
      <alignment horizontal="right" vertical="center"/>
    </xf>
    <xf numFmtId="0" fontId="2" fillId="0" borderId="0" xfId="5" applyFill="1" applyAlignment="1">
      <alignment horizontal="center" vertical="center"/>
    </xf>
    <xf numFmtId="0" fontId="2" fillId="0" borderId="0" xfId="5" applyFont="1" applyFill="1" applyAlignment="1">
      <alignment horizontal="center" vertical="center" wrapText="1"/>
    </xf>
    <xf numFmtId="0" fontId="4" fillId="0" borderId="0" xfId="5" applyFont="1" applyFill="1" applyAlignment="1">
      <alignment horizontal="center" vertical="center"/>
    </xf>
    <xf numFmtId="0" fontId="2" fillId="0" borderId="0" xfId="11" applyFont="1" applyBorder="1" applyAlignment="1">
      <alignment vertical="center"/>
    </xf>
    <xf numFmtId="0" fontId="4" fillId="0" borderId="0" xfId="11" applyFont="1" applyBorder="1" applyAlignment="1">
      <alignment horizontal="right" vertical="center"/>
    </xf>
    <xf numFmtId="0" fontId="2" fillId="0" borderId="0" xfId="11" applyNumberFormat="1" applyFont="1" applyBorder="1" applyAlignment="1">
      <alignment horizontal="left" vertical="center"/>
    </xf>
    <xf numFmtId="0" fontId="2" fillId="0" borderId="0" xfId="11" applyFont="1" applyBorder="1" applyAlignment="1">
      <alignment horizontal="left" vertical="center"/>
    </xf>
    <xf numFmtId="0" fontId="4" fillId="0" borderId="0" xfId="11" applyFont="1" applyBorder="1" applyAlignment="1">
      <alignment horizontal="center" vertical="center"/>
    </xf>
    <xf numFmtId="0" fontId="4" fillId="0" borderId="0" xfId="11" applyFont="1" applyFill="1" applyBorder="1" applyAlignment="1">
      <alignment horizontal="right" vertical="center"/>
    </xf>
    <xf numFmtId="0" fontId="2" fillId="0" borderId="0" xfId="11" applyNumberFormat="1" applyFont="1" applyFill="1" applyBorder="1" applyAlignment="1">
      <alignment horizontal="left" vertical="center"/>
    </xf>
    <xf numFmtId="0" fontId="4" fillId="0" borderId="0" xfId="11" applyFont="1" applyFill="1" applyBorder="1" applyAlignment="1">
      <alignment horizontal="left" vertical="center"/>
    </xf>
    <xf numFmtId="0" fontId="4" fillId="0" borderId="0" xfId="11" applyFont="1" applyFill="1" applyBorder="1" applyAlignment="1">
      <alignment horizontal="center" vertical="center"/>
    </xf>
    <xf numFmtId="0" fontId="2" fillId="0" borderId="0" xfId="11" applyFont="1" applyFill="1" applyBorder="1" applyAlignment="1">
      <alignment horizontal="left" vertical="center"/>
    </xf>
    <xf numFmtId="0" fontId="7" fillId="0" borderId="42" xfId="11" quotePrefix="1" applyNumberFormat="1" applyFont="1" applyFill="1" applyBorder="1" applyAlignment="1">
      <alignment horizontal="center" vertical="center"/>
    </xf>
    <xf numFmtId="49" fontId="7" fillId="0" borderId="55" xfId="11" applyNumberFormat="1" applyFont="1" applyFill="1" applyBorder="1" applyAlignment="1">
      <alignment horizontal="center" vertical="center"/>
    </xf>
    <xf numFmtId="0" fontId="43" fillId="12" borderId="53" xfId="11" applyNumberFormat="1" applyFont="1" applyFill="1" applyBorder="1" applyAlignment="1">
      <alignment horizontal="center" vertical="center"/>
    </xf>
    <xf numFmtId="0" fontId="13" fillId="0" borderId="55" xfId="11" applyNumberFormat="1" applyFont="1" applyFill="1" applyBorder="1" applyAlignment="1">
      <alignment horizontal="center" vertical="center"/>
    </xf>
    <xf numFmtId="0" fontId="79" fillId="0" borderId="55" xfId="11" applyNumberFormat="1" applyFont="1" applyFill="1" applyBorder="1" applyAlignment="1">
      <alignment horizontal="center" vertical="center"/>
    </xf>
    <xf numFmtId="49" fontId="79" fillId="0" borderId="53" xfId="11" applyNumberFormat="1" applyFont="1" applyFill="1" applyBorder="1" applyAlignment="1">
      <alignment horizontal="center" vertical="center"/>
    </xf>
    <xf numFmtId="0" fontId="7" fillId="0" borderId="53" xfId="11" applyNumberFormat="1" applyFont="1" applyFill="1" applyBorder="1" applyAlignment="1">
      <alignment horizontal="center" vertical="center"/>
    </xf>
    <xf numFmtId="0" fontId="13" fillId="0" borderId="8" xfId="11" applyFont="1" applyFill="1" applyBorder="1" applyAlignment="1">
      <alignment vertical="center"/>
    </xf>
    <xf numFmtId="0" fontId="7" fillId="0" borderId="29" xfId="11" quotePrefix="1" applyNumberFormat="1" applyFont="1" applyFill="1" applyBorder="1" applyAlignment="1">
      <alignment horizontal="center" vertical="center"/>
    </xf>
    <xf numFmtId="49" fontId="7" fillId="0" borderId="28" xfId="11" applyNumberFormat="1" applyFont="1" applyFill="1" applyBorder="1" applyAlignment="1">
      <alignment horizontal="center" vertical="center"/>
    </xf>
    <xf numFmtId="0" fontId="43" fillId="12" borderId="28" xfId="11" applyNumberFormat="1" applyFont="1" applyFill="1" applyBorder="1" applyAlignment="1">
      <alignment horizontal="center" vertical="center"/>
    </xf>
    <xf numFmtId="0" fontId="14" fillId="0" borderId="28" xfId="11" applyNumberFormat="1" applyFont="1" applyFill="1" applyBorder="1" applyAlignment="1">
      <alignment horizontal="center" vertical="center"/>
    </xf>
    <xf numFmtId="0" fontId="23" fillId="0" borderId="28" xfId="11" applyNumberFormat="1" applyFont="1" applyFill="1" applyBorder="1" applyAlignment="1">
      <alignment horizontal="center" vertical="center"/>
    </xf>
    <xf numFmtId="49" fontId="23" fillId="0" borderId="27" xfId="11" applyNumberFormat="1" applyFont="1" applyFill="1" applyBorder="1" applyAlignment="1">
      <alignment horizontal="center" vertical="center"/>
    </xf>
    <xf numFmtId="0" fontId="7" fillId="0" borderId="27" xfId="11" applyNumberFormat="1" applyFont="1" applyFill="1" applyBorder="1" applyAlignment="1">
      <alignment horizontal="center" vertical="center"/>
    </xf>
    <xf numFmtId="0" fontId="14" fillId="0" borderId="1" xfId="11" applyFont="1" applyFill="1" applyBorder="1" applyAlignment="1">
      <alignment vertical="center"/>
    </xf>
    <xf numFmtId="0" fontId="13" fillId="0" borderId="28" xfId="11" applyNumberFormat="1" applyFont="1" applyFill="1" applyBorder="1" applyAlignment="1">
      <alignment horizontal="center" vertical="center"/>
    </xf>
    <xf numFmtId="0" fontId="79" fillId="0" borderId="28" xfId="11" applyNumberFormat="1" applyFont="1" applyFill="1" applyBorder="1" applyAlignment="1">
      <alignment horizontal="center" vertical="center"/>
    </xf>
    <xf numFmtId="49" fontId="79" fillId="0" borderId="27" xfId="11" applyNumberFormat="1" applyFont="1" applyFill="1" applyBorder="1" applyAlignment="1">
      <alignment horizontal="center" vertical="center"/>
    </xf>
    <xf numFmtId="0" fontId="13" fillId="0" borderId="1" xfId="11" applyFont="1" applyFill="1" applyBorder="1" applyAlignment="1">
      <alignment vertical="center"/>
    </xf>
    <xf numFmtId="0" fontId="8" fillId="0" borderId="28" xfId="11" applyNumberFormat="1" applyFont="1" applyFill="1" applyBorder="1" applyAlignment="1">
      <alignment horizontal="center" vertical="center"/>
    </xf>
    <xf numFmtId="0" fontId="18" fillId="0" borderId="28" xfId="11" applyNumberFormat="1" applyFont="1" applyFill="1" applyBorder="1" applyAlignment="1">
      <alignment horizontal="center" vertical="center"/>
    </xf>
    <xf numFmtId="49" fontId="18" fillId="0" borderId="27" xfId="11" applyNumberFormat="1" applyFont="1" applyFill="1" applyBorder="1" applyAlignment="1">
      <alignment horizontal="center" vertical="center"/>
    </xf>
    <xf numFmtId="0" fontId="8" fillId="0" borderId="1" xfId="11" applyFont="1" applyFill="1" applyBorder="1" applyAlignment="1">
      <alignment vertical="center"/>
    </xf>
    <xf numFmtId="0" fontId="22" fillId="0" borderId="28" xfId="11" applyNumberFormat="1" applyFont="1" applyFill="1" applyBorder="1" applyAlignment="1">
      <alignment horizontal="center" vertical="center"/>
    </xf>
    <xf numFmtId="0" fontId="27" fillId="0" borderId="28" xfId="11" applyNumberFormat="1" applyFont="1" applyFill="1" applyBorder="1" applyAlignment="1">
      <alignment horizontal="center" vertical="center"/>
    </xf>
    <xf numFmtId="49" fontId="27" fillId="0" borderId="27" xfId="11" applyNumberFormat="1" applyFont="1" applyFill="1" applyBorder="1" applyAlignment="1">
      <alignment horizontal="center" vertical="center"/>
    </xf>
    <xf numFmtId="0" fontId="22" fillId="0" borderId="1" xfId="11" applyFont="1" applyFill="1" applyBorder="1" applyAlignment="1">
      <alignment vertical="center"/>
    </xf>
    <xf numFmtId="0" fontId="11" fillId="0" borderId="28" xfId="11" applyNumberFormat="1" applyFont="1" applyFill="1" applyBorder="1" applyAlignment="1">
      <alignment horizontal="center" vertical="center"/>
    </xf>
    <xf numFmtId="0" fontId="17" fillId="0" borderId="28" xfId="11" applyNumberFormat="1" applyFont="1" applyFill="1" applyBorder="1" applyAlignment="1">
      <alignment horizontal="center" vertical="center"/>
    </xf>
    <xf numFmtId="49" fontId="17" fillId="0" borderId="27" xfId="11" applyNumberFormat="1" applyFont="1" applyFill="1" applyBorder="1" applyAlignment="1">
      <alignment horizontal="center" vertical="center"/>
    </xf>
    <xf numFmtId="0" fontId="11" fillId="0" borderId="1" xfId="11" applyFont="1" applyFill="1" applyBorder="1" applyAlignment="1">
      <alignment vertical="center"/>
    </xf>
    <xf numFmtId="0" fontId="31" fillId="0" borderId="0" xfId="11" applyFont="1" applyBorder="1" applyAlignment="1">
      <alignment vertical="center"/>
    </xf>
    <xf numFmtId="0" fontId="30" fillId="0" borderId="0" xfId="11" applyFont="1" applyBorder="1" applyAlignment="1">
      <alignment vertical="center"/>
    </xf>
    <xf numFmtId="0" fontId="19" fillId="0" borderId="0" xfId="11" applyFont="1" applyBorder="1" applyAlignment="1">
      <alignment vertical="center"/>
    </xf>
    <xf numFmtId="0" fontId="28" fillId="0" borderId="0" xfId="11" applyFont="1" applyBorder="1" applyAlignment="1">
      <alignment vertical="center"/>
    </xf>
    <xf numFmtId="0" fontId="10" fillId="0" borderId="28" xfId="11" applyNumberFormat="1" applyFont="1" applyFill="1" applyBorder="1" applyAlignment="1">
      <alignment horizontal="center" vertical="center"/>
    </xf>
    <xf numFmtId="0" fontId="26" fillId="0" borderId="28" xfId="11" applyNumberFormat="1" applyFont="1" applyFill="1" applyBorder="1" applyAlignment="1">
      <alignment horizontal="center" vertical="center"/>
    </xf>
    <xf numFmtId="49" fontId="26" fillId="0" borderId="27" xfId="11" applyNumberFormat="1" applyFont="1" applyFill="1" applyBorder="1" applyAlignment="1">
      <alignment horizontal="center" vertical="center"/>
    </xf>
    <xf numFmtId="0" fontId="10" fillId="0" borderId="1" xfId="11" applyFont="1" applyFill="1" applyBorder="1" applyAlignment="1">
      <alignment vertical="center"/>
    </xf>
    <xf numFmtId="0" fontId="29" fillId="0" borderId="0" xfId="11" applyFont="1" applyBorder="1" applyAlignment="1">
      <alignment vertical="center"/>
    </xf>
    <xf numFmtId="0" fontId="7" fillId="0" borderId="28" xfId="11" applyNumberFormat="1" applyFont="1" applyFill="1" applyBorder="1" applyAlignment="1">
      <alignment horizontal="center" vertical="center"/>
    </xf>
    <xf numFmtId="0" fontId="4" fillId="0" borderId="0" xfId="11" applyFont="1" applyBorder="1" applyAlignment="1">
      <alignment vertical="center"/>
    </xf>
    <xf numFmtId="0" fontId="7" fillId="0" borderId="41" xfId="11" quotePrefix="1" applyNumberFormat="1" applyFont="1" applyFill="1" applyBorder="1" applyAlignment="1">
      <alignment horizontal="center" vertical="center"/>
    </xf>
    <xf numFmtId="1" fontId="7" fillId="0" borderId="54" xfId="11" applyNumberFormat="1" applyFont="1" applyFill="1" applyBorder="1" applyAlignment="1">
      <alignment horizontal="center" vertical="center" wrapText="1"/>
    </xf>
    <xf numFmtId="0" fontId="7" fillId="0" borderId="54" xfId="11" applyFont="1" applyFill="1" applyBorder="1" applyAlignment="1">
      <alignment horizontal="center" vertical="center" wrapText="1"/>
    </xf>
    <xf numFmtId="0" fontId="48" fillId="0" borderId="54" xfId="11" applyFont="1" applyFill="1" applyBorder="1" applyAlignment="1">
      <alignment horizontal="center" vertical="center" wrapText="1"/>
    </xf>
    <xf numFmtId="0" fontId="7" fillId="0" borderId="54" xfId="11" applyFont="1" applyFill="1" applyBorder="1" applyAlignment="1">
      <alignment horizontal="center" vertical="center"/>
    </xf>
    <xf numFmtId="0" fontId="46" fillId="0" borderId="38" xfId="11" applyFont="1" applyFill="1" applyBorder="1" applyAlignment="1">
      <alignment vertical="center"/>
    </xf>
    <xf numFmtId="1" fontId="7" fillId="0" borderId="27" xfId="11" applyNumberFormat="1" applyFont="1" applyFill="1" applyBorder="1" applyAlignment="1">
      <alignment horizontal="center" vertical="center" wrapText="1"/>
    </xf>
    <xf numFmtId="0" fontId="7" fillId="0" borderId="27" xfId="11" applyFont="1" applyFill="1" applyBorder="1" applyAlignment="1">
      <alignment horizontal="center" vertical="center" wrapText="1"/>
    </xf>
    <xf numFmtId="0" fontId="7" fillId="0" borderId="27" xfId="11" applyFont="1" applyFill="1" applyBorder="1" applyAlignment="1">
      <alignment horizontal="center" vertical="center"/>
    </xf>
    <xf numFmtId="0" fontId="47" fillId="0" borderId="1" xfId="11" applyFont="1" applyFill="1" applyBorder="1" applyAlignment="1">
      <alignment vertical="center"/>
    </xf>
    <xf numFmtId="0" fontId="7" fillId="0" borderId="62" xfId="11" quotePrefix="1" applyNumberFormat="1" applyFont="1" applyFill="1" applyBorder="1" applyAlignment="1">
      <alignment horizontal="center" vertical="center"/>
    </xf>
    <xf numFmtId="0" fontId="46" fillId="0" borderId="27" xfId="11" applyFont="1" applyFill="1" applyBorder="1" applyAlignment="1">
      <alignment horizontal="center" vertical="center" wrapText="1"/>
    </xf>
    <xf numFmtId="0" fontId="45" fillId="0" borderId="1" xfId="11" applyFont="1" applyFill="1" applyBorder="1" applyAlignment="1">
      <alignment vertical="center"/>
    </xf>
    <xf numFmtId="0" fontId="12" fillId="17" borderId="37" xfId="11" applyFont="1" applyFill="1" applyBorder="1" applyAlignment="1">
      <alignment horizontal="center" vertical="center" wrapText="1"/>
    </xf>
    <xf numFmtId="0" fontId="12" fillId="3" borderId="74" xfId="11" applyFont="1" applyFill="1" applyBorder="1" applyAlignment="1">
      <alignment horizontal="center" vertical="center"/>
    </xf>
    <xf numFmtId="0" fontId="12" fillId="3" borderId="45" xfId="11" applyNumberFormat="1" applyFont="1" applyFill="1" applyBorder="1" applyAlignment="1">
      <alignment horizontal="center" vertical="center"/>
    </xf>
    <xf numFmtId="0" fontId="48" fillId="12" borderId="44" xfId="11" applyNumberFormat="1" applyFont="1" applyFill="1" applyBorder="1" applyAlignment="1">
      <alignment horizontal="center" vertical="center" wrapText="1"/>
    </xf>
    <xf numFmtId="0" fontId="12" fillId="3" borderId="45" xfId="11" applyNumberFormat="1" applyFont="1" applyFill="1" applyBorder="1" applyAlignment="1">
      <alignment horizontal="center" vertical="center" wrapText="1"/>
    </xf>
    <xf numFmtId="0" fontId="12" fillId="3" borderId="45" xfId="11" applyFont="1" applyFill="1" applyBorder="1" applyAlignment="1">
      <alignment horizontal="center" vertical="center" wrapText="1"/>
    </xf>
    <xf numFmtId="0" fontId="12" fillId="3" borderId="45" xfId="11" applyFont="1" applyFill="1" applyBorder="1" applyAlignment="1">
      <alignment horizontal="center" vertical="center"/>
    </xf>
    <xf numFmtId="0" fontId="12" fillId="3" borderId="73" xfId="11" applyFont="1" applyFill="1" applyBorder="1" applyAlignment="1">
      <alignment horizontal="centerContinuous" vertical="center"/>
    </xf>
    <xf numFmtId="0" fontId="12" fillId="20" borderId="45" xfId="11" applyFont="1" applyFill="1" applyBorder="1" applyAlignment="1">
      <alignment horizontal="center" vertical="center"/>
    </xf>
    <xf numFmtId="0" fontId="12" fillId="11" borderId="45" xfId="11" applyFont="1" applyFill="1" applyBorder="1" applyAlignment="1">
      <alignment horizontal="center" vertical="center"/>
    </xf>
    <xf numFmtId="0" fontId="6" fillId="19" borderId="45" xfId="11" applyFont="1" applyFill="1" applyBorder="1" applyAlignment="1">
      <alignment horizontal="center" vertical="center"/>
    </xf>
    <xf numFmtId="1" fontId="7" fillId="0" borderId="108" xfId="0" applyNumberFormat="1" applyFont="1" applyFill="1" applyBorder="1" applyAlignment="1">
      <alignment horizontal="centerContinuous" vertical="center"/>
    </xf>
    <xf numFmtId="0" fontId="2" fillId="0" borderId="109" xfId="0" applyFont="1" applyFill="1" applyBorder="1" applyAlignment="1">
      <alignment horizontal="centerContinuous" vertical="center"/>
    </xf>
    <xf numFmtId="0" fontId="7" fillId="0" borderId="55" xfId="2" applyNumberFormat="1" applyFont="1" applyBorder="1" applyAlignment="1">
      <alignment horizontal="center" vertical="center" shrinkToFit="1"/>
    </xf>
    <xf numFmtId="1" fontId="2" fillId="0" borderId="129" xfId="5" applyNumberFormat="1" applyBorder="1" applyAlignment="1">
      <alignment horizontal="center" vertical="center"/>
    </xf>
    <xf numFmtId="0" fontId="7" fillId="0" borderId="14" xfId="0" applyFont="1" applyFill="1" applyBorder="1" applyAlignment="1">
      <alignment horizontal="center" vertical="center"/>
    </xf>
    <xf numFmtId="0" fontId="62" fillId="10" borderId="118" xfId="0" applyFont="1" applyFill="1" applyBorder="1" applyAlignment="1">
      <alignment horizontal="center" vertical="center" wrapText="1"/>
    </xf>
    <xf numFmtId="0" fontId="62" fillId="10" borderId="119" xfId="0" applyFont="1" applyFill="1" applyBorder="1" applyAlignment="1">
      <alignment horizontal="center" vertical="center" wrapText="1"/>
    </xf>
    <xf numFmtId="0" fontId="65" fillId="0" borderId="78" xfId="0" applyFont="1" applyFill="1" applyBorder="1" applyAlignment="1">
      <alignment horizontal="right" vertical="center" wrapText="1"/>
    </xf>
    <xf numFmtId="0" fontId="65" fillId="0" borderId="100" xfId="0" applyFont="1" applyFill="1" applyBorder="1" applyAlignment="1">
      <alignment horizontal="right" vertical="center" wrapText="1"/>
    </xf>
    <xf numFmtId="0" fontId="2" fillId="0" borderId="88" xfId="0" quotePrefix="1" applyFont="1" applyFill="1" applyBorder="1" applyAlignment="1">
      <alignment horizontal="center" vertical="center"/>
    </xf>
    <xf numFmtId="9" fontId="2" fillId="0" borderId="88" xfId="0" applyNumberFormat="1" applyFont="1" applyFill="1" applyBorder="1" applyAlignment="1">
      <alignment horizontal="center" vertical="center"/>
    </xf>
    <xf numFmtId="164" fontId="2" fillId="0" borderId="148" xfId="0" applyNumberFormat="1" applyFont="1" applyFill="1" applyBorder="1" applyAlignment="1">
      <alignment horizontal="centerContinuous" vertical="center"/>
    </xf>
    <xf numFmtId="0" fontId="2" fillId="0" borderId="149" xfId="0" applyFont="1" applyFill="1" applyBorder="1" applyAlignment="1">
      <alignment horizontal="center" vertical="center"/>
    </xf>
    <xf numFmtId="0" fontId="2" fillId="0" borderId="150" xfId="0" applyFont="1" applyFill="1" applyBorder="1" applyAlignment="1">
      <alignment horizontal="center" vertical="center"/>
    </xf>
    <xf numFmtId="0" fontId="2" fillId="0" borderId="150" xfId="0" quotePrefix="1" applyFont="1" applyFill="1" applyBorder="1" applyAlignment="1">
      <alignment horizontal="center" vertical="center" wrapText="1"/>
    </xf>
    <xf numFmtId="49" fontId="2" fillId="0" borderId="150" xfId="2" applyNumberFormat="1" applyFont="1" applyFill="1" applyBorder="1" applyAlignment="1">
      <alignment horizontal="center" vertical="center"/>
    </xf>
    <xf numFmtId="0" fontId="2" fillId="10" borderId="150" xfId="0" applyFont="1" applyFill="1" applyBorder="1" applyAlignment="1">
      <alignment horizontal="center" vertical="center" shrinkToFit="1"/>
    </xf>
    <xf numFmtId="164" fontId="2" fillId="10" borderId="150" xfId="0" applyNumberFormat="1" applyFont="1" applyFill="1" applyBorder="1" applyAlignment="1">
      <alignment horizontal="center" vertical="center"/>
    </xf>
    <xf numFmtId="0" fontId="2" fillId="10" borderId="151" xfId="0" quotePrefix="1" applyFont="1" applyFill="1" applyBorder="1" applyAlignment="1">
      <alignment horizontal="center" vertical="center"/>
    </xf>
    <xf numFmtId="1" fontId="2" fillId="0" borderId="152" xfId="0" applyNumberFormat="1" applyFont="1" applyFill="1" applyBorder="1" applyAlignment="1">
      <alignment horizontal="center" vertical="center"/>
    </xf>
    <xf numFmtId="49" fontId="4" fillId="0" borderId="0" xfId="0" applyNumberFormat="1"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2" fillId="0" borderId="99" xfId="0" applyFont="1" applyBorder="1" applyAlignment="1">
      <alignment horizontal="center" vertical="center" shrinkToFit="1"/>
    </xf>
    <xf numFmtId="1" fontId="2" fillId="0" borderId="124" xfId="0" applyNumberFormat="1" applyFont="1" applyBorder="1" applyAlignment="1">
      <alignment horizontal="center" vertical="center" shrinkToFit="1"/>
    </xf>
    <xf numFmtId="164" fontId="2" fillId="0" borderId="124" xfId="0" applyNumberFormat="1" applyFont="1" applyBorder="1" applyAlignment="1">
      <alignment horizontal="center" vertical="center" shrinkToFit="1"/>
    </xf>
    <xf numFmtId="0" fontId="2" fillId="0" borderId="153" xfId="0" applyFont="1" applyBorder="1" applyAlignment="1">
      <alignment horizontal="left" vertical="center"/>
    </xf>
    <xf numFmtId="0" fontId="2" fillId="0" borderId="125" xfId="0" applyFont="1" applyBorder="1" applyAlignment="1">
      <alignment horizontal="left" vertical="center" shrinkToFit="1"/>
    </xf>
    <xf numFmtId="0" fontId="2" fillId="0" borderId="96" xfId="0" applyFont="1" applyBorder="1" applyAlignment="1">
      <alignment horizontal="center" vertical="center" shrinkToFit="1"/>
    </xf>
    <xf numFmtId="1" fontId="2" fillId="0" borderId="47" xfId="0" applyNumberFormat="1" applyFont="1" applyBorder="1" applyAlignment="1">
      <alignment horizontal="center" vertical="center" shrinkToFit="1"/>
    </xf>
    <xf numFmtId="0" fontId="2" fillId="0" borderId="117" xfId="0" applyFont="1" applyBorder="1" applyAlignment="1">
      <alignment horizontal="left" vertical="center"/>
    </xf>
    <xf numFmtId="1" fontId="2" fillId="0" borderId="43" xfId="0" applyNumberFormat="1" applyFont="1" applyBorder="1" applyAlignment="1">
      <alignment horizontal="center" vertical="center" shrinkToFit="1"/>
    </xf>
    <xf numFmtId="0" fontId="2" fillId="0" borderId="0" xfId="0" applyFont="1" applyBorder="1" applyAlignment="1">
      <alignment horizontal="center" vertical="center" shrinkToFit="1"/>
    </xf>
    <xf numFmtId="0" fontId="80" fillId="0" borderId="0" xfId="0" applyFont="1" applyBorder="1" applyAlignment="1">
      <alignment vertical="center"/>
    </xf>
    <xf numFmtId="0" fontId="2" fillId="0" borderId="0" xfId="0" applyFont="1" applyBorder="1" applyAlignment="1">
      <alignment horizontal="left" vertical="center" shrinkToFit="1"/>
    </xf>
    <xf numFmtId="0" fontId="24" fillId="0" borderId="25" xfId="0" applyFont="1" applyBorder="1" applyAlignment="1">
      <alignment horizontal="centerContinuous" vertical="center"/>
    </xf>
    <xf numFmtId="0" fontId="12" fillId="3" borderId="73" xfId="0" applyFont="1" applyFill="1" applyBorder="1" applyAlignment="1">
      <alignment horizontal="centerContinuous" vertical="center"/>
    </xf>
    <xf numFmtId="0" fontId="12" fillId="3" borderId="45" xfId="0" applyFont="1" applyFill="1" applyBorder="1" applyAlignment="1">
      <alignment horizontal="center" vertical="center"/>
    </xf>
    <xf numFmtId="0" fontId="12" fillId="3" borderId="45" xfId="0" applyNumberFormat="1" applyFont="1" applyFill="1" applyBorder="1" applyAlignment="1">
      <alignment horizontal="center" vertical="center"/>
    </xf>
    <xf numFmtId="0" fontId="48" fillId="12" borderId="44" xfId="0" applyNumberFormat="1" applyFont="1" applyFill="1" applyBorder="1" applyAlignment="1">
      <alignment horizontal="center" vertical="center"/>
    </xf>
    <xf numFmtId="0" fontId="12" fillId="3" borderId="74" xfId="0" applyFont="1" applyFill="1" applyBorder="1" applyAlignment="1">
      <alignment horizontal="center" vertical="center"/>
    </xf>
    <xf numFmtId="0" fontId="45" fillId="0" borderId="1" xfId="0" applyFont="1" applyFill="1" applyBorder="1" applyAlignment="1">
      <alignment vertical="center"/>
    </xf>
    <xf numFmtId="0" fontId="6" fillId="0" borderId="27" xfId="0" applyFont="1" applyFill="1" applyBorder="1" applyAlignment="1">
      <alignment horizontal="center" vertical="center"/>
    </xf>
    <xf numFmtId="0" fontId="55"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46" fillId="0" borderId="27" xfId="0" applyFont="1" applyFill="1" applyBorder="1" applyAlignment="1">
      <alignment horizontal="center" vertical="center"/>
    </xf>
    <xf numFmtId="0" fontId="7" fillId="18" borderId="27" xfId="0" applyFont="1" applyFill="1" applyBorder="1" applyAlignment="1">
      <alignment horizontal="center" vertical="center"/>
    </xf>
    <xf numFmtId="1" fontId="7" fillId="0" borderId="27" xfId="0" applyNumberFormat="1" applyFont="1" applyFill="1" applyBorder="1" applyAlignment="1">
      <alignment horizontal="center" vertical="center"/>
    </xf>
    <xf numFmtId="0" fontId="43" fillId="12" borderId="28" xfId="0" applyNumberFormat="1" applyFont="1" applyFill="1" applyBorder="1" applyAlignment="1">
      <alignment horizontal="center" vertical="center"/>
    </xf>
    <xf numFmtId="0" fontId="7" fillId="0" borderId="29" xfId="0" quotePrefix="1" applyNumberFormat="1" applyFont="1" applyFill="1" applyBorder="1" applyAlignment="1">
      <alignment horizontal="center" vertical="center"/>
    </xf>
    <xf numFmtId="0" fontId="76" fillId="0" borderId="1" xfId="0" applyFont="1" applyFill="1" applyBorder="1" applyAlignment="1">
      <alignment vertical="center"/>
    </xf>
    <xf numFmtId="0" fontId="75" fillId="0" borderId="27" xfId="0" applyFont="1" applyFill="1" applyBorder="1" applyAlignment="1">
      <alignment horizontal="center" vertical="center"/>
    </xf>
    <xf numFmtId="0" fontId="13" fillId="0" borderId="28" xfId="0" applyNumberFormat="1" applyFont="1" applyFill="1" applyBorder="1" applyAlignment="1">
      <alignment horizontal="center" vertical="center"/>
    </xf>
    <xf numFmtId="0" fontId="46" fillId="0" borderId="38" xfId="0" applyFont="1" applyFill="1" applyBorder="1" applyAlignment="1">
      <alignment vertical="center"/>
    </xf>
    <xf numFmtId="0" fontId="6" fillId="0" borderId="54" xfId="0" applyFont="1" applyFill="1" applyBorder="1" applyAlignment="1">
      <alignment horizontal="center" vertical="center"/>
    </xf>
    <xf numFmtId="0" fontId="7" fillId="0" borderId="54" xfId="0" applyFont="1" applyFill="1" applyBorder="1" applyAlignment="1">
      <alignment horizontal="center" vertical="center"/>
    </xf>
    <xf numFmtId="0" fontId="48" fillId="0" borderId="54" xfId="0" applyFont="1" applyFill="1" applyBorder="1" applyAlignment="1">
      <alignment horizontal="center" vertical="center"/>
    </xf>
    <xf numFmtId="0" fontId="7" fillId="18" borderId="54" xfId="0" applyFont="1" applyFill="1" applyBorder="1" applyAlignment="1">
      <alignment horizontal="center" vertical="center"/>
    </xf>
    <xf numFmtId="1" fontId="7" fillId="0" borderId="54" xfId="0" applyNumberFormat="1" applyFont="1" applyFill="1" applyBorder="1" applyAlignment="1">
      <alignment horizontal="center" vertical="center"/>
    </xf>
    <xf numFmtId="0" fontId="43" fillId="12" borderId="54" xfId="0" applyNumberFormat="1" applyFont="1" applyFill="1" applyBorder="1" applyAlignment="1">
      <alignment horizontal="center" vertical="center"/>
    </xf>
    <xf numFmtId="0" fontId="7" fillId="0" borderId="41"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7" xfId="0" applyNumberFormat="1" applyFont="1" applyFill="1" applyBorder="1" applyAlignment="1">
      <alignment horizontal="center" vertical="center"/>
    </xf>
    <xf numFmtId="49"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75" fillId="0" borderId="27" xfId="0" applyNumberFormat="1" applyFont="1" applyFill="1" applyBorder="1" applyAlignment="1">
      <alignment horizontal="center" vertical="center"/>
    </xf>
    <xf numFmtId="0" fontId="75" fillId="0" borderId="28" xfId="0" applyNumberFormat="1" applyFont="1" applyFill="1" applyBorder="1" applyAlignment="1">
      <alignment horizontal="center" vertical="center"/>
    </xf>
    <xf numFmtId="0" fontId="76" fillId="0" borderId="28"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7" xfId="0" applyNumberFormat="1" applyFont="1" applyFill="1" applyBorder="1" applyAlignment="1">
      <alignment horizontal="center" vertical="center"/>
    </xf>
    <xf numFmtId="49" fontId="23" fillId="9" borderId="27" xfId="0" applyNumberFormat="1" applyFont="1" applyFill="1" applyBorder="1" applyAlignment="1">
      <alignment horizontal="center" vertical="center"/>
    </xf>
    <xf numFmtId="0" fontId="23" fillId="9" borderId="28" xfId="0" applyNumberFormat="1" applyFont="1" applyFill="1" applyBorder="1" applyAlignment="1">
      <alignment horizontal="center" vertical="center"/>
    </xf>
    <xf numFmtId="0" fontId="14" fillId="9" borderId="28" xfId="0" applyNumberFormat="1"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7"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xf>
    <xf numFmtId="0" fontId="10" fillId="7" borderId="1" xfId="0" applyFont="1" applyFill="1" applyBorder="1" applyAlignment="1">
      <alignment vertical="center"/>
    </xf>
    <xf numFmtId="0" fontId="7" fillId="7" borderId="27" xfId="0" applyNumberFormat="1" applyFont="1" applyFill="1" applyBorder="1" applyAlignment="1">
      <alignment horizontal="center" vertical="center"/>
    </xf>
    <xf numFmtId="49" fontId="26" fillId="7" borderId="27" xfId="0" applyNumberFormat="1" applyFont="1" applyFill="1" applyBorder="1" applyAlignment="1">
      <alignment horizontal="center" vertical="center"/>
    </xf>
    <xf numFmtId="0" fontId="26" fillId="7" borderId="28" xfId="0" applyNumberFormat="1" applyFont="1" applyFill="1" applyBorder="1" applyAlignment="1">
      <alignment horizontal="center" vertical="center"/>
    </xf>
    <xf numFmtId="0" fontId="10" fillId="7" borderId="28" xfId="0" applyNumberFormat="1"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quotePrefix="1" applyNumberFormat="1" applyFont="1" applyFill="1" applyBorder="1" applyAlignment="1">
      <alignment horizontal="center" vertical="center"/>
    </xf>
    <xf numFmtId="0" fontId="11" fillId="5" borderId="1" xfId="0" applyFont="1" applyFill="1" applyBorder="1" applyAlignment="1">
      <alignment vertical="center"/>
    </xf>
    <xf numFmtId="0" fontId="7" fillId="5" borderId="27" xfId="0" applyNumberFormat="1"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NumberFormat="1" applyFont="1" applyFill="1" applyBorder="1" applyAlignment="1">
      <alignment horizontal="center" vertical="center"/>
    </xf>
    <xf numFmtId="0" fontId="11" fillId="5" borderId="28"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quotePrefix="1" applyNumberFormat="1" applyFont="1" applyFill="1" applyBorder="1" applyAlignment="1">
      <alignment horizontal="center" vertical="center"/>
    </xf>
    <xf numFmtId="0" fontId="14"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7" xfId="0" applyNumberFormat="1"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NumberFormat="1" applyFont="1" applyFill="1" applyBorder="1" applyAlignment="1">
      <alignment horizontal="center" vertical="center"/>
    </xf>
    <xf numFmtId="0" fontId="11" fillId="6" borderId="28" xfId="0" applyNumberFormat="1"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quotePrefix="1" applyNumberFormat="1" applyFont="1" applyFill="1" applyBorder="1" applyAlignment="1">
      <alignment horizontal="center" vertical="center"/>
    </xf>
    <xf numFmtId="0" fontId="22" fillId="7" borderId="1" xfId="0" applyFont="1" applyFill="1" applyBorder="1" applyAlignment="1">
      <alignment vertical="center"/>
    </xf>
    <xf numFmtId="49" fontId="27" fillId="7" borderId="27" xfId="0" applyNumberFormat="1" applyFont="1" applyFill="1" applyBorder="1" applyAlignment="1">
      <alignment horizontal="center" vertical="center"/>
    </xf>
    <xf numFmtId="0" fontId="27" fillId="7" borderId="28" xfId="0" applyNumberFormat="1" applyFont="1" applyFill="1" applyBorder="1" applyAlignment="1">
      <alignment horizontal="center" vertical="center"/>
    </xf>
    <xf numFmtId="0" fontId="22" fillId="7" borderId="28" xfId="0" applyNumberFormat="1"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NumberFormat="1" applyFont="1" applyFill="1" applyBorder="1" applyAlignment="1">
      <alignment horizontal="center" vertical="center"/>
    </xf>
    <xf numFmtId="0" fontId="11" fillId="7" borderId="28"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7" xfId="0" applyNumberFormat="1" applyFont="1" applyFill="1" applyBorder="1" applyAlignment="1">
      <alignment horizontal="center" vertical="center"/>
    </xf>
    <xf numFmtId="0" fontId="27" fillId="0" borderId="28"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76" fillId="5" borderId="1" xfId="0" applyFont="1" applyFill="1" applyBorder="1" applyAlignment="1">
      <alignment vertical="center"/>
    </xf>
    <xf numFmtId="49" fontId="75" fillId="5" borderId="27" xfId="0" applyNumberFormat="1" applyFont="1" applyFill="1" applyBorder="1" applyAlignment="1">
      <alignment horizontal="center" vertical="center"/>
    </xf>
    <xf numFmtId="0" fontId="75" fillId="5" borderId="28" xfId="0" applyNumberFormat="1" applyFont="1" applyFill="1" applyBorder="1" applyAlignment="1">
      <alignment horizontal="center" vertical="center"/>
    </xf>
    <xf numFmtId="0" fontId="76" fillId="5" borderId="28" xfId="0" applyNumberFormat="1" applyFont="1" applyFill="1" applyBorder="1" applyAlignment="1">
      <alignment horizontal="center" vertical="center"/>
    </xf>
    <xf numFmtId="49" fontId="27" fillId="9" borderId="27" xfId="0" applyNumberFormat="1" applyFont="1" applyFill="1" applyBorder="1" applyAlignment="1">
      <alignment horizontal="center" vertical="center"/>
    </xf>
    <xf numFmtId="0" fontId="27" fillId="9" borderId="28" xfId="0" applyNumberFormat="1" applyFont="1" applyFill="1" applyBorder="1" applyAlignment="1">
      <alignment horizontal="center" vertical="center"/>
    </xf>
    <xf numFmtId="0" fontId="22" fillId="9" borderId="28" xfId="0" applyNumberFormat="1" applyFont="1" applyFill="1" applyBorder="1" applyAlignment="1">
      <alignment horizontal="center" vertical="center"/>
    </xf>
    <xf numFmtId="49" fontId="7" fillId="15" borderId="28" xfId="0" applyNumberFormat="1" applyFont="1" applyFill="1" applyBorder="1" applyAlignment="1">
      <alignment horizontal="center" vertical="center"/>
    </xf>
    <xf numFmtId="0" fontId="76" fillId="9" borderId="1" xfId="0" applyFont="1" applyFill="1" applyBorder="1" applyAlignment="1">
      <alignment vertical="center"/>
    </xf>
    <xf numFmtId="49" fontId="75" fillId="9" borderId="27" xfId="0" applyNumberFormat="1" applyFont="1" applyFill="1" applyBorder="1" applyAlignment="1">
      <alignment horizontal="center" vertical="center"/>
    </xf>
    <xf numFmtId="0" fontId="75" fillId="9" borderId="28" xfId="0" applyNumberFormat="1" applyFont="1" applyFill="1" applyBorder="1" applyAlignment="1">
      <alignment horizontal="center" vertical="center"/>
    </xf>
    <xf numFmtId="0" fontId="76" fillId="9" borderId="28" xfId="0" applyNumberFormat="1" applyFont="1" applyFill="1" applyBorder="1" applyAlignment="1">
      <alignment horizontal="center"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NumberFormat="1" applyFont="1" applyFill="1" applyBorder="1" applyAlignment="1">
      <alignment horizontal="center" vertical="center"/>
    </xf>
    <xf numFmtId="0" fontId="11" fillId="9" borderId="28" xfId="0" applyNumberFormat="1" applyFont="1" applyFill="1" applyBorder="1" applyAlignment="1">
      <alignment horizontal="center" vertical="center"/>
    </xf>
    <xf numFmtId="0" fontId="22" fillId="9" borderId="1" xfId="0" applyFont="1" applyFill="1" applyBorder="1" applyAlignment="1">
      <alignment vertical="center"/>
    </xf>
    <xf numFmtId="0" fontId="11" fillId="10" borderId="1" xfId="0" applyFont="1" applyFill="1" applyBorder="1" applyAlignment="1">
      <alignment vertical="center"/>
    </xf>
    <xf numFmtId="0" fontId="7" fillId="10" borderId="27" xfId="0" applyNumberFormat="1" applyFont="1" applyFill="1" applyBorder="1" applyAlignment="1">
      <alignment horizontal="center" vertical="center"/>
    </xf>
    <xf numFmtId="49" fontId="17" fillId="10" borderId="27" xfId="0" applyNumberFormat="1" applyFont="1" applyFill="1" applyBorder="1" applyAlignment="1">
      <alignment horizontal="center" vertical="center"/>
    </xf>
    <xf numFmtId="0" fontId="17" fillId="10" borderId="28" xfId="0" applyNumberFormat="1" applyFont="1" applyFill="1" applyBorder="1" applyAlignment="1">
      <alignment horizontal="center" vertical="center"/>
    </xf>
    <xf numFmtId="0" fontId="11" fillId="10" borderId="28" xfId="0" applyNumberFormat="1" applyFont="1" applyFill="1" applyBorder="1" applyAlignment="1">
      <alignment horizontal="center" vertical="center"/>
    </xf>
    <xf numFmtId="49" fontId="7" fillId="10" borderId="28" xfId="0" applyNumberFormat="1" applyFont="1" applyFill="1" applyBorder="1" applyAlignment="1">
      <alignment horizontal="center" vertical="center"/>
    </xf>
    <xf numFmtId="0" fontId="7" fillId="10" borderId="29" xfId="0" quotePrefix="1" applyNumberFormat="1" applyFont="1" applyFill="1" applyBorder="1" applyAlignment="1">
      <alignment horizontal="center" vertical="center"/>
    </xf>
    <xf numFmtId="0" fontId="76" fillId="4" borderId="1" xfId="0" applyFont="1" applyFill="1" applyBorder="1" applyAlignment="1">
      <alignment vertical="center"/>
    </xf>
    <xf numFmtId="0" fontId="7" fillId="4" borderId="27" xfId="0" applyNumberFormat="1" applyFont="1" applyFill="1" applyBorder="1" applyAlignment="1">
      <alignment horizontal="center" vertical="center"/>
    </xf>
    <xf numFmtId="49" fontId="75" fillId="4" borderId="27" xfId="0" applyNumberFormat="1" applyFont="1" applyFill="1" applyBorder="1" applyAlignment="1">
      <alignment horizontal="center" vertical="center"/>
    </xf>
    <xf numFmtId="0" fontId="75" fillId="4" borderId="28" xfId="0" applyNumberFormat="1" applyFont="1" applyFill="1" applyBorder="1" applyAlignment="1">
      <alignment horizontal="center" vertical="center"/>
    </xf>
    <xf numFmtId="0" fontId="76" fillId="4" borderId="28" xfId="0" applyNumberFormat="1" applyFont="1" applyFill="1" applyBorder="1" applyAlignment="1">
      <alignment horizontal="center" vertical="center"/>
    </xf>
    <xf numFmtId="0" fontId="7" fillId="4" borderId="29" xfId="0" quotePrefix="1"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NumberFormat="1" applyFont="1" applyFill="1" applyBorder="1" applyAlignment="1">
      <alignment horizontal="center" vertical="center"/>
    </xf>
    <xf numFmtId="0" fontId="14" fillId="5" borderId="28" xfId="0" applyNumberFormat="1" applyFont="1" applyFill="1" applyBorder="1" applyAlignment="1">
      <alignment horizontal="center" vertical="center"/>
    </xf>
    <xf numFmtId="0" fontId="76" fillId="0" borderId="8" xfId="0" applyFont="1" applyFill="1" applyBorder="1" applyAlignment="1">
      <alignment vertical="center"/>
    </xf>
    <xf numFmtId="0" fontId="7" fillId="0" borderId="53" xfId="0" applyNumberFormat="1" applyFont="1" applyFill="1" applyBorder="1" applyAlignment="1">
      <alignment horizontal="center" vertical="center"/>
    </xf>
    <xf numFmtId="49" fontId="75" fillId="0" borderId="53" xfId="0" applyNumberFormat="1" applyFont="1" applyFill="1" applyBorder="1" applyAlignment="1">
      <alignment horizontal="center" vertical="center"/>
    </xf>
    <xf numFmtId="0" fontId="75" fillId="0" borderId="55" xfId="0" applyNumberFormat="1" applyFont="1" applyFill="1" applyBorder="1" applyAlignment="1">
      <alignment horizontal="center" vertical="center"/>
    </xf>
    <xf numFmtId="0" fontId="76" fillId="0" borderId="55" xfId="0" applyNumberFormat="1" applyFont="1" applyFill="1" applyBorder="1" applyAlignment="1">
      <alignment horizontal="center" vertical="center"/>
    </xf>
    <xf numFmtId="49" fontId="7" fillId="0" borderId="55" xfId="0" applyNumberFormat="1" applyFont="1" applyFill="1" applyBorder="1" applyAlignment="1">
      <alignment horizontal="center" vertical="center"/>
    </xf>
    <xf numFmtId="0" fontId="43" fillId="12" borderId="53" xfId="0" applyNumberFormat="1" applyFont="1" applyFill="1" applyBorder="1" applyAlignment="1">
      <alignment horizontal="center" vertical="center"/>
    </xf>
    <xf numFmtId="0" fontId="7" fillId="0" borderId="42" xfId="0" quotePrefix="1" applyNumberFormat="1" applyFont="1" applyFill="1" applyBorder="1" applyAlignment="1">
      <alignment horizontal="center" vertical="center"/>
    </xf>
    <xf numFmtId="0" fontId="4" fillId="0" borderId="0" xfId="0" applyFont="1" applyBorder="1" applyAlignment="1">
      <alignment horizontal="left" vertical="center"/>
    </xf>
    <xf numFmtId="1" fontId="16" fillId="0" borderId="0" xfId="0" applyNumberFormat="1" applyFont="1" applyBorder="1" applyAlignment="1">
      <alignment vertical="center"/>
    </xf>
    <xf numFmtId="0" fontId="12" fillId="11" borderId="22" xfId="0" applyFont="1" applyFill="1" applyBorder="1" applyAlignment="1">
      <alignment horizontal="centerContinuous" vertical="center"/>
    </xf>
    <xf numFmtId="0" fontId="12" fillId="11" borderId="23" xfId="0" applyNumberFormat="1" applyFont="1" applyFill="1" applyBorder="1" applyAlignment="1">
      <alignment horizontal="center" vertical="center"/>
    </xf>
    <xf numFmtId="0" fontId="12" fillId="11" borderId="24" xfId="0" applyNumberFormat="1" applyFont="1" applyFill="1" applyBorder="1" applyAlignment="1">
      <alignment horizontal="centerContinuous" vertical="center"/>
    </xf>
    <xf numFmtId="0" fontId="7" fillId="0" borderId="27" xfId="8" applyFont="1" applyFill="1" applyBorder="1" applyAlignment="1">
      <alignment horizontal="center" vertical="center"/>
    </xf>
    <xf numFmtId="0" fontId="7" fillId="0" borderId="133" xfId="0" applyNumberFormat="1" applyFont="1" applyFill="1" applyBorder="1" applyAlignment="1">
      <alignment horizontal="center" vertical="center"/>
    </xf>
    <xf numFmtId="0" fontId="7" fillId="0" borderId="29" xfId="0" applyNumberFormat="1" applyFont="1" applyBorder="1" applyAlignment="1">
      <alignment horizontal="center" vertical="center"/>
    </xf>
    <xf numFmtId="0" fontId="7" fillId="0" borderId="54" xfId="8" applyFont="1" applyFill="1" applyBorder="1" applyAlignment="1">
      <alignment horizontal="center" vertical="center"/>
    </xf>
    <xf numFmtId="0" fontId="7" fillId="0" borderId="41" xfId="0" applyNumberFormat="1" applyFont="1" applyFill="1" applyBorder="1" applyAlignment="1">
      <alignment horizontal="center" vertical="center"/>
    </xf>
    <xf numFmtId="0" fontId="7" fillId="0" borderId="29" xfId="0" quotePrefix="1" applyNumberFormat="1" applyFont="1" applyBorder="1" applyAlignment="1">
      <alignment horizontal="center" vertical="center"/>
    </xf>
    <xf numFmtId="0" fontId="7" fillId="0" borderId="29" xfId="8" applyNumberFormat="1" applyFont="1" applyFill="1" applyBorder="1" applyAlignment="1">
      <alignment horizontal="center" vertical="center"/>
    </xf>
    <xf numFmtId="0" fontId="7" fillId="0" borderId="29" xfId="5" applyNumberFormat="1" applyFont="1" applyBorder="1" applyAlignment="1">
      <alignment horizontal="center" vertical="center"/>
    </xf>
    <xf numFmtId="0" fontId="7" fillId="0" borderId="53" xfId="8" applyFont="1" applyFill="1" applyBorder="1" applyAlignment="1">
      <alignment horizontal="center" vertical="center"/>
    </xf>
    <xf numFmtId="0" fontId="7" fillId="0" borderId="42" xfId="0" applyNumberFormat="1" applyFont="1" applyFill="1" applyBorder="1" applyAlignment="1">
      <alignment horizontal="center" vertical="center"/>
    </xf>
    <xf numFmtId="0" fontId="55" fillId="0" borderId="8" xfId="0" applyFont="1" applyFill="1" applyBorder="1" applyAlignment="1">
      <alignment horizontal="center" vertical="center" shrinkToFit="1"/>
    </xf>
    <xf numFmtId="0" fontId="7" fillId="0" borderId="53" xfId="0" applyFont="1" applyFill="1" applyBorder="1" applyAlignment="1">
      <alignment horizontal="center" vertical="center"/>
    </xf>
    <xf numFmtId="49" fontId="7" fillId="0" borderId="53" xfId="0" applyNumberFormat="1" applyFont="1" applyFill="1" applyBorder="1" applyAlignment="1">
      <alignment horizontal="center" vertical="center"/>
    </xf>
    <xf numFmtId="0" fontId="34" fillId="8" borderId="42" xfId="2" applyNumberFormat="1" applyFont="1" applyFill="1" applyBorder="1" applyAlignment="1">
      <alignment horizontal="center" vertical="center" shrinkToFit="1"/>
    </xf>
    <xf numFmtId="0" fontId="26" fillId="0" borderId="90" xfId="0" applyFont="1" applyFill="1" applyBorder="1" applyAlignment="1">
      <alignment horizontal="centerContinuous" vertical="center"/>
    </xf>
    <xf numFmtId="0" fontId="26" fillId="21" borderId="56" xfId="0" applyFont="1" applyFill="1" applyBorder="1" applyAlignment="1">
      <alignment horizontal="centerContinuous" vertical="center"/>
    </xf>
    <xf numFmtId="49" fontId="2" fillId="0" borderId="0" xfId="0" applyNumberFormat="1" applyFont="1" applyBorder="1" applyAlignment="1">
      <alignment horizontal="center" vertical="center"/>
    </xf>
    <xf numFmtId="0" fontId="54" fillId="0" borderId="34" xfId="0" applyFont="1" applyBorder="1" applyAlignment="1">
      <alignment horizontal="centerContinuous" vertical="center"/>
    </xf>
    <xf numFmtId="0" fontId="6" fillId="0" borderId="35" xfId="0" applyFont="1" applyBorder="1" applyAlignment="1">
      <alignment horizontal="centerContinuous" vertical="center"/>
    </xf>
    <xf numFmtId="0" fontId="6" fillId="0" borderId="36" xfId="0" applyFont="1" applyBorder="1" applyAlignment="1">
      <alignment horizontal="centerContinuous" vertical="center"/>
    </xf>
    <xf numFmtId="0" fontId="54" fillId="0" borderId="0" xfId="0" applyFont="1" applyBorder="1" applyAlignment="1">
      <alignment horizontal="centerContinuous" vertical="center"/>
    </xf>
    <xf numFmtId="0" fontId="39" fillId="0" borderId="0" xfId="0" applyFont="1" applyBorder="1" applyAlignment="1">
      <alignment horizontal="centerContinuous" vertical="center"/>
    </xf>
    <xf numFmtId="0" fontId="12" fillId="13" borderId="38" xfId="0" applyFont="1" applyFill="1" applyBorder="1" applyAlignment="1">
      <alignment horizontal="centerContinuous" vertical="center"/>
    </xf>
    <xf numFmtId="0" fontId="12" fillId="13" borderId="39" xfId="0" applyFont="1" applyFill="1" applyBorder="1" applyAlignment="1">
      <alignment horizontal="center" vertical="center"/>
    </xf>
    <xf numFmtId="0" fontId="12" fillId="13" borderId="40" xfId="0" applyFont="1" applyFill="1" applyBorder="1" applyAlignment="1">
      <alignment horizontal="center"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8" xfId="0" applyFont="1" applyBorder="1" applyAlignment="1">
      <alignment horizontal="right"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Fill="1" applyBorder="1" applyAlignment="1">
      <alignment horizontal="center" vertical="center"/>
    </xf>
    <xf numFmtId="0" fontId="4" fillId="0" borderId="43" xfId="0" applyFont="1" applyBorder="1" applyAlignment="1">
      <alignment horizontal="right" vertical="center"/>
    </xf>
    <xf numFmtId="0" fontId="2" fillId="0" borderId="64" xfId="0" applyFont="1" applyBorder="1" applyAlignment="1">
      <alignment horizontal="center" vertical="center"/>
    </xf>
    <xf numFmtId="0" fontId="2" fillId="0" borderId="48" xfId="0" applyFont="1" applyFill="1" applyBorder="1" applyAlignment="1">
      <alignment horizontal="center" vertical="center"/>
    </xf>
    <xf numFmtId="0" fontId="4" fillId="0" borderId="56" xfId="0" applyFont="1" applyBorder="1" applyAlignment="1">
      <alignment horizontal="right" vertical="center"/>
    </xf>
    <xf numFmtId="0" fontId="40" fillId="13" borderId="69" xfId="0" applyFont="1" applyFill="1" applyBorder="1" applyAlignment="1">
      <alignment horizontal="center" vertical="center"/>
    </xf>
    <xf numFmtId="0" fontId="40" fillId="13" borderId="49" xfId="0" applyFont="1" applyFill="1" applyBorder="1" applyAlignment="1">
      <alignment horizontal="center" vertical="center"/>
    </xf>
    <xf numFmtId="0" fontId="40" fillId="13" borderId="50" xfId="0" applyFont="1" applyFill="1" applyBorder="1" applyAlignment="1">
      <alignment horizontal="center" vertical="center"/>
    </xf>
    <xf numFmtId="0" fontId="74" fillId="0" borderId="0" xfId="0" applyFont="1" applyBorder="1" applyAlignment="1">
      <alignment horizontal="left" vertical="center"/>
    </xf>
    <xf numFmtId="0" fontId="74" fillId="0" borderId="0" xfId="0" applyFont="1" applyBorder="1" applyAlignment="1">
      <alignment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25">
    <dxf>
      <font>
        <color theme="1"/>
      </font>
      <fill>
        <gradientFill type="path" left="0.5" right="0.5" top="0.5" bottom="0.5">
          <stop position="0">
            <color rgb="FFFFFF00"/>
          </stop>
          <stop position="1">
            <color rgb="FFFFC000"/>
          </stop>
        </gradientFill>
      </fill>
    </dxf>
    <dxf>
      <fill>
        <patternFill>
          <bgColor rgb="FF99FF99"/>
        </patternFill>
      </fill>
    </dxf>
    <dxf>
      <font>
        <b/>
        <i val="0"/>
      </font>
      <fill>
        <patternFill>
          <bgColor rgb="FF00FF00"/>
        </patternFill>
      </fill>
    </dxf>
    <dxf>
      <font>
        <b val="0"/>
        <i/>
        <color theme="1"/>
      </font>
      <fill>
        <patternFill>
          <bgColor theme="0" tint="-0.24994659260841701"/>
        </patternFill>
      </fill>
    </dxf>
    <dxf>
      <font>
        <b/>
        <i val="0"/>
        <color theme="1"/>
      </font>
      <fill>
        <patternFill>
          <bgColor rgb="FF66FF33"/>
        </patternFill>
      </fill>
    </dxf>
    <dxf>
      <fill>
        <patternFill>
          <bgColor rgb="FF99FF99"/>
        </patternFill>
      </fill>
    </dxf>
    <dxf>
      <font>
        <b/>
        <i val="0"/>
      </font>
      <fill>
        <patternFill>
          <bgColor rgb="FF00FF00"/>
        </patternFill>
      </fill>
    </dxf>
    <dxf>
      <fill>
        <patternFill>
          <bgColor rgb="FF99FF99"/>
        </patternFill>
      </fill>
    </dxf>
    <dxf>
      <font>
        <b/>
        <i val="0"/>
      </font>
      <fill>
        <patternFill>
          <bgColor rgb="FF00FF00"/>
        </patternFill>
      </fill>
    </dxf>
    <dxf>
      <font>
        <b/>
        <i val="0"/>
      </font>
      <fill>
        <patternFill>
          <bgColor rgb="FF00FF00"/>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s>
  <tableStyles count="0" defaultTableStyle="TableStyleMedium2" defaultPivotStyle="PivotStyleLight16"/>
  <colors>
    <mruColors>
      <color rgb="FF0000FF"/>
      <color rgb="FFCCFFCC"/>
      <color rgb="FF9966FF"/>
      <color rgb="FF00FFFF"/>
      <color rgb="FF009900"/>
      <color rgb="FF00CC66"/>
      <color rgb="FF00FF00"/>
      <color rgb="FF9999FF"/>
      <color rgb="FF99FF9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220980</xdr:colOff>
      <xdr:row>1</xdr:row>
      <xdr:rowOff>45719</xdr:rowOff>
    </xdr:from>
    <xdr:to>
      <xdr:col>6</xdr:col>
      <xdr:colOff>1097280</xdr:colOff>
      <xdr:row>14</xdr:row>
      <xdr:rowOff>65742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381500" y="419099"/>
          <a:ext cx="1996440" cy="2831803"/>
        </a:xfrm>
        <a:prstGeom prst="rect">
          <a:avLst/>
        </a:prstGeom>
      </xdr:spPr>
    </xdr:pic>
    <xdr:clientData/>
  </xdr:twoCellAnchor>
  <xdr:twoCellAnchor>
    <xdr:from>
      <xdr:col>0</xdr:col>
      <xdr:colOff>57150</xdr:colOff>
      <xdr:row>17</xdr:row>
      <xdr:rowOff>66675</xdr:rowOff>
    </xdr:from>
    <xdr:to>
      <xdr:col>6</xdr:col>
      <xdr:colOff>1276350</xdr:colOff>
      <xdr:row>21</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70624</xdr:colOff>
      <xdr:row>13</xdr:row>
      <xdr:rowOff>198120</xdr:rowOff>
    </xdr:from>
    <xdr:to>
      <xdr:col>6</xdr:col>
      <xdr:colOff>1239969</xdr:colOff>
      <xdr:row>16</xdr:row>
      <xdr:rowOff>249554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30029" y="3149476"/>
          <a:ext cx="2288184" cy="694488"/>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2476500</xdr:colOff>
      <xdr:row>1</xdr:row>
      <xdr:rowOff>123825</xdr:rowOff>
    </xdr:from>
    <xdr:to>
      <xdr:col>0</xdr:col>
      <xdr:colOff>3171825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228600</xdr:colOff>
      <xdr:row>0</xdr:row>
      <xdr:rowOff>0</xdr:rowOff>
    </xdr:from>
    <xdr:to>
      <xdr:col>21</xdr:col>
      <xdr:colOff>0</xdr:colOff>
      <xdr:row>0</xdr:row>
      <xdr:rowOff>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111252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20%3cjoertexas@earthlink.net%3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3"/>
  <sheetViews>
    <sheetView showGridLines="0" tabSelected="1" zoomScaleNormal="100" workbookViewId="0"/>
  </sheetViews>
  <sheetFormatPr defaultColWidth="13" defaultRowHeight="15.6" x14ac:dyDescent="0.3"/>
  <cols>
    <col min="1" max="1" width="14.8984375" style="67" customWidth="1"/>
    <col min="2" max="2" width="10" style="68" customWidth="1"/>
    <col min="3" max="3" width="5.09765625" style="68" customWidth="1"/>
    <col min="4" max="4" width="13.69921875" style="67" bestFit="1" customWidth="1"/>
    <col min="5" max="5" width="10.8984375" style="68" bestFit="1" customWidth="1"/>
    <col min="6" max="6" width="14.69921875" style="67" customWidth="1"/>
    <col min="7" max="7" width="17.09765625" style="68" customWidth="1"/>
    <col min="8" max="16384" width="13" style="25"/>
  </cols>
  <sheetData>
    <row r="1" spans="1:7" ht="29.4" thickTop="1" thickBot="1" x14ac:dyDescent="0.35">
      <c r="A1" s="19" t="s">
        <v>268</v>
      </c>
      <c r="B1" s="20" t="s">
        <v>267</v>
      </c>
      <c r="C1" s="21"/>
      <c r="D1" s="22"/>
      <c r="E1" s="23"/>
      <c r="F1" s="22"/>
      <c r="G1" s="24" t="s">
        <v>470</v>
      </c>
    </row>
    <row r="2" spans="1:7" ht="17.399999999999999" thickTop="1" x14ac:dyDescent="0.3">
      <c r="A2" s="26" t="s">
        <v>345</v>
      </c>
      <c r="B2" s="27" t="s">
        <v>166</v>
      </c>
      <c r="C2" s="27"/>
      <c r="D2" s="28" t="s">
        <v>702</v>
      </c>
      <c r="E2" s="29">
        <v>30</v>
      </c>
      <c r="F2" s="30"/>
      <c r="G2" s="31"/>
    </row>
    <row r="3" spans="1:7" ht="16.8" x14ac:dyDescent="0.3">
      <c r="A3" s="26" t="s">
        <v>346</v>
      </c>
      <c r="B3" s="27" t="s">
        <v>271</v>
      </c>
      <c r="C3" s="27"/>
      <c r="D3" s="28" t="s">
        <v>0</v>
      </c>
      <c r="E3" s="29">
        <v>1</v>
      </c>
      <c r="F3" s="28"/>
      <c r="G3" s="31"/>
    </row>
    <row r="4" spans="1:7" ht="16.8" x14ac:dyDescent="0.3">
      <c r="A4" s="26" t="s">
        <v>346</v>
      </c>
      <c r="B4" s="27" t="s">
        <v>319</v>
      </c>
      <c r="C4" s="27"/>
      <c r="D4" s="28" t="s">
        <v>0</v>
      </c>
      <c r="E4" s="29">
        <v>4</v>
      </c>
      <c r="F4" s="28"/>
      <c r="G4" s="31"/>
    </row>
    <row r="5" spans="1:7" ht="16.8" x14ac:dyDescent="0.3">
      <c r="A5" s="26" t="s">
        <v>346</v>
      </c>
      <c r="B5" s="27" t="s">
        <v>272</v>
      </c>
      <c r="C5" s="27"/>
      <c r="D5" s="28" t="s">
        <v>0</v>
      </c>
      <c r="E5" s="29">
        <v>10</v>
      </c>
      <c r="F5" s="28"/>
      <c r="G5" s="31"/>
    </row>
    <row r="6" spans="1:7" ht="16.8" x14ac:dyDescent="0.3">
      <c r="A6" s="26" t="s">
        <v>822</v>
      </c>
      <c r="B6" s="27" t="s">
        <v>264</v>
      </c>
      <c r="C6" s="27"/>
      <c r="D6" s="28" t="s">
        <v>347</v>
      </c>
      <c r="E6" s="29" t="s">
        <v>269</v>
      </c>
      <c r="F6" s="28"/>
      <c r="G6" s="31"/>
    </row>
    <row r="7" spans="1:7" ht="16.8" x14ac:dyDescent="0.3">
      <c r="A7" s="26" t="s">
        <v>823</v>
      </c>
      <c r="B7" s="27" t="s">
        <v>270</v>
      </c>
      <c r="C7" s="27"/>
      <c r="D7" s="28" t="s">
        <v>827</v>
      </c>
      <c r="E7" s="29" t="s">
        <v>292</v>
      </c>
      <c r="F7" s="28"/>
      <c r="G7" s="31"/>
    </row>
    <row r="8" spans="1:7" ht="17.399999999999999" thickBot="1" x14ac:dyDescent="0.35">
      <c r="A8" s="26" t="s">
        <v>824</v>
      </c>
      <c r="B8" s="27" t="s">
        <v>373</v>
      </c>
      <c r="C8" s="27"/>
      <c r="D8" s="28" t="s">
        <v>828</v>
      </c>
      <c r="E8" s="29" t="s">
        <v>293</v>
      </c>
      <c r="F8" s="28"/>
      <c r="G8" s="31"/>
    </row>
    <row r="9" spans="1:7" ht="17.399999999999999" thickTop="1" x14ac:dyDescent="0.3">
      <c r="A9" s="32" t="s">
        <v>825</v>
      </c>
      <c r="B9" s="495">
        <f>1+3+7</f>
        <v>11</v>
      </c>
      <c r="C9" s="496"/>
      <c r="D9" s="33" t="s">
        <v>89</v>
      </c>
      <c r="E9" s="34" t="s">
        <v>322</v>
      </c>
      <c r="F9" s="35"/>
      <c r="G9" s="31"/>
    </row>
    <row r="10" spans="1:7" ht="17.399999999999999" thickBot="1" x14ac:dyDescent="0.35">
      <c r="A10" s="251" t="s">
        <v>826</v>
      </c>
      <c r="B10" s="252" t="str">
        <f>C12</f>
        <v>+0</v>
      </c>
      <c r="C10" s="253"/>
      <c r="D10" s="338" t="s">
        <v>829</v>
      </c>
      <c r="E10" s="339">
        <f>Leadership!$D$48</f>
        <v>22</v>
      </c>
      <c r="F10" s="35"/>
      <c r="G10" s="31"/>
    </row>
    <row r="11" spans="1:7" ht="17.399999999999999" thickTop="1" x14ac:dyDescent="0.3">
      <c r="A11" s="36" t="s">
        <v>821</v>
      </c>
      <c r="B11" s="499">
        <f>15</f>
        <v>15</v>
      </c>
      <c r="C11" s="37" t="str">
        <f t="shared" ref="C11:C16" si="0">IF(B11&gt;9.9,CONCATENATE("+",ROUNDDOWN((B11-10)/2,0)),ROUNDUP((B11-10)/2,0))</f>
        <v>+2</v>
      </c>
      <c r="D11" s="38" t="s">
        <v>830</v>
      </c>
      <c r="E11" s="168" t="s">
        <v>689</v>
      </c>
      <c r="F11" s="35"/>
      <c r="G11" s="31"/>
    </row>
    <row r="12" spans="1:7" ht="16.8" x14ac:dyDescent="0.3">
      <c r="A12" s="39" t="s">
        <v>820</v>
      </c>
      <c r="B12" s="40">
        <v>10</v>
      </c>
      <c r="C12" s="41" t="str">
        <f t="shared" si="0"/>
        <v>+0</v>
      </c>
      <c r="D12" s="42" t="s">
        <v>831</v>
      </c>
      <c r="E12" s="43">
        <f>SUM(Martial!G16:G31)+SUM(Equipment!C3:C26)</f>
        <v>88.5</v>
      </c>
      <c r="F12" s="35"/>
      <c r="G12" s="31"/>
    </row>
    <row r="13" spans="1:7" ht="16.8" x14ac:dyDescent="0.3">
      <c r="A13" s="44" t="s">
        <v>816</v>
      </c>
      <c r="B13" s="45">
        <f>10</f>
        <v>10</v>
      </c>
      <c r="C13" s="46" t="str">
        <f t="shared" si="0"/>
        <v>+0</v>
      </c>
      <c r="D13" s="42" t="s">
        <v>832</v>
      </c>
      <c r="E13" s="47">
        <f>ROUNDUP(((E3*6)*0.75)+((E4*8)*0.75)+((E5*8)*0.75)+(SUM(E3:E5)*C13),0)</f>
        <v>89</v>
      </c>
      <c r="F13" s="35"/>
      <c r="G13" s="31"/>
    </row>
    <row r="14" spans="1:7" ht="16.8" x14ac:dyDescent="0.3">
      <c r="A14" s="48" t="s">
        <v>818</v>
      </c>
      <c r="B14" s="45">
        <v>16</v>
      </c>
      <c r="C14" s="41" t="str">
        <f t="shared" si="0"/>
        <v>+3</v>
      </c>
      <c r="D14" s="49" t="s">
        <v>833</v>
      </c>
      <c r="E14" s="393">
        <f>10+1+C12</f>
        <v>11</v>
      </c>
      <c r="F14" s="26"/>
      <c r="G14" s="31"/>
    </row>
    <row r="15" spans="1:7" ht="16.8" x14ac:dyDescent="0.3">
      <c r="A15" s="50" t="s">
        <v>819</v>
      </c>
      <c r="B15" s="45">
        <f>17</f>
        <v>17</v>
      </c>
      <c r="C15" s="41" t="str">
        <f t="shared" si="0"/>
        <v>+3</v>
      </c>
      <c r="D15" s="49" t="s">
        <v>834</v>
      </c>
      <c r="E15" s="241">
        <f>E16-C12</f>
        <v>31</v>
      </c>
      <c r="F15" s="35"/>
      <c r="G15" s="31"/>
    </row>
    <row r="16" spans="1:7" ht="17.399999999999999" thickBot="1" x14ac:dyDescent="0.35">
      <c r="A16" s="51" t="s">
        <v>817</v>
      </c>
      <c r="B16" s="254">
        <f>14+2+2</f>
        <v>18</v>
      </c>
      <c r="C16" s="52" t="str">
        <f t="shared" si="0"/>
        <v>+4</v>
      </c>
      <c r="D16" s="53" t="s">
        <v>348</v>
      </c>
      <c r="E16" s="192">
        <f>E14+SUM(Martial!B25:B28)+1</f>
        <v>31</v>
      </c>
      <c r="F16" s="35"/>
      <c r="G16" s="31"/>
    </row>
    <row r="17" spans="1:7" ht="24" thickTop="1" thickBot="1" x14ac:dyDescent="0.35">
      <c r="A17" s="54" t="s">
        <v>18</v>
      </c>
      <c r="B17" s="55"/>
      <c r="C17" s="55"/>
      <c r="D17" s="56"/>
      <c r="E17" s="657"/>
      <c r="F17" s="56"/>
      <c r="G17" s="57"/>
    </row>
    <row r="18" spans="1:7" s="3" customFormat="1" ht="17.399999999999999" thickTop="1" x14ac:dyDescent="0.3">
      <c r="A18" s="58"/>
      <c r="B18" s="59"/>
      <c r="C18" s="59"/>
      <c r="D18" s="59"/>
      <c r="E18" s="59"/>
      <c r="F18" s="59"/>
      <c r="G18" s="60"/>
    </row>
    <row r="19" spans="1:7" s="3" customFormat="1" ht="16.8" x14ac:dyDescent="0.3">
      <c r="A19" s="61"/>
      <c r="B19" s="62"/>
      <c r="C19" s="62"/>
      <c r="D19" s="62"/>
      <c r="E19" s="62"/>
      <c r="F19" s="62"/>
      <c r="G19" s="63"/>
    </row>
    <row r="20" spans="1:7" s="3" customFormat="1" ht="16.8" x14ac:dyDescent="0.3">
      <c r="A20" s="61"/>
      <c r="B20" s="62"/>
      <c r="C20" s="62"/>
      <c r="D20" s="62"/>
      <c r="E20" s="62"/>
      <c r="F20" s="62"/>
      <c r="G20" s="63"/>
    </row>
    <row r="21" spans="1:7" s="3" customFormat="1" ht="16.8" x14ac:dyDescent="0.3">
      <c r="A21" s="61"/>
      <c r="B21" s="62"/>
      <c r="C21" s="62"/>
      <c r="D21" s="62"/>
      <c r="E21" s="62"/>
      <c r="F21" s="62"/>
      <c r="G21" s="63"/>
    </row>
    <row r="22" spans="1:7" ht="17.399999999999999" thickBot="1" x14ac:dyDescent="0.35">
      <c r="A22" s="64"/>
      <c r="B22" s="65"/>
      <c r="C22" s="65"/>
      <c r="D22" s="65"/>
      <c r="E22" s="65"/>
      <c r="F22" s="65"/>
      <c r="G22" s="66"/>
    </row>
    <row r="23" spans="1:7" ht="16.2" thickTop="1" x14ac:dyDescent="0.3"/>
  </sheetData>
  <phoneticPr fontId="0" type="noConversion"/>
  <conditionalFormatting sqref="E12">
    <cfRule type="cellIs" dxfId="24" priority="1" operator="greaterThan">
      <formula>133</formula>
    </cfRule>
    <cfRule type="cellIs" dxfId="23" priority="2" operator="notBetween">
      <formula>66</formula>
      <formula>133</formula>
    </cfRule>
  </conditionalFormatting>
  <hyperlinks>
    <hyperlink ref="G1" r:id="rId1"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0"/>
  <sheetViews>
    <sheetView showGridLines="0" workbookViewId="0">
      <pane ySplit="2" topLeftCell="A3" activePane="bottomLeft" state="frozen"/>
      <selection pane="bottomLeft" activeCell="A3" sqref="A3"/>
    </sheetView>
  </sheetViews>
  <sheetFormatPr defaultColWidth="13" defaultRowHeight="15.6" x14ac:dyDescent="0.3"/>
  <cols>
    <col min="1" max="1" width="26.8984375" style="67" bestFit="1" customWidth="1"/>
    <col min="2" max="2" width="5.8984375" style="67" bestFit="1" customWidth="1"/>
    <col min="3" max="3" width="11.59765625" style="68" hidden="1" customWidth="1"/>
    <col min="4" max="4" width="5.796875" style="68" hidden="1" customWidth="1"/>
    <col min="5" max="5" width="9.19921875" style="68" bestFit="1" customWidth="1"/>
    <col min="6" max="6" width="8.3984375" style="68" customWidth="1"/>
    <col min="7" max="7" width="5.8984375" style="76" bestFit="1" customWidth="1"/>
    <col min="8" max="8" width="4.69921875" style="76" bestFit="1" customWidth="1"/>
    <col min="9" max="9" width="6.8984375" style="76" bestFit="1" customWidth="1"/>
    <col min="10" max="10" width="14.796875" style="67" bestFit="1" customWidth="1"/>
    <col min="11" max="16384" width="13" style="25"/>
  </cols>
  <sheetData>
    <row r="1" spans="1:10" ht="23.4" thickBot="1" x14ac:dyDescent="0.35">
      <c r="A1" s="530" t="s">
        <v>7</v>
      </c>
      <c r="B1" s="69"/>
      <c r="C1" s="69"/>
      <c r="D1" s="69"/>
      <c r="E1" s="69"/>
      <c r="F1" s="69"/>
      <c r="G1" s="70"/>
      <c r="H1" s="70"/>
      <c r="I1" s="70"/>
      <c r="J1" s="69"/>
    </row>
    <row r="2" spans="1:10" s="3" customFormat="1" ht="34.200000000000003" thickBot="1" x14ac:dyDescent="0.35">
      <c r="A2" s="531" t="s">
        <v>163</v>
      </c>
      <c r="B2" s="532" t="s">
        <v>23</v>
      </c>
      <c r="C2" s="532" t="s">
        <v>30</v>
      </c>
      <c r="D2" s="532" t="s">
        <v>22</v>
      </c>
      <c r="E2" s="2" t="s">
        <v>55</v>
      </c>
      <c r="F2" s="2" t="s">
        <v>31</v>
      </c>
      <c r="G2" s="533" t="s">
        <v>57</v>
      </c>
      <c r="H2" s="534" t="s">
        <v>162</v>
      </c>
      <c r="I2" s="533" t="s">
        <v>87</v>
      </c>
      <c r="J2" s="535" t="s">
        <v>85</v>
      </c>
    </row>
    <row r="3" spans="1:10" s="3" customFormat="1" ht="16.8" x14ac:dyDescent="0.3">
      <c r="A3" s="536" t="s">
        <v>60</v>
      </c>
      <c r="B3" s="537">
        <f>0+4+3</f>
        <v>7</v>
      </c>
      <c r="C3" s="538" t="s">
        <v>816</v>
      </c>
      <c r="D3" s="539" t="str">
        <f>VLOOKUP(C3,'Personal File'!$A$11:$C$16,3,FALSE)</f>
        <v>+0</v>
      </c>
      <c r="E3" s="540" t="str">
        <f t="shared" ref="E3:E43" si="0">CONCATENATE(LEFT(C3,3)," (",D3,")")</f>
        <v>Con (+0)</v>
      </c>
      <c r="F3" s="541">
        <f>1</f>
        <v>1</v>
      </c>
      <c r="G3" s="542">
        <f t="shared" ref="G3:G43" si="1">B3+D3+F3</f>
        <v>8</v>
      </c>
      <c r="H3" s="543">
        <f t="shared" ref="H3:H5" ca="1" si="2">RANDBETWEEN(1,20)</f>
        <v>11</v>
      </c>
      <c r="I3" s="542">
        <f ca="1">SUM(G3:H3)</f>
        <v>19</v>
      </c>
      <c r="J3" s="544"/>
    </row>
    <row r="4" spans="1:10" s="3" customFormat="1" ht="16.8" x14ac:dyDescent="0.3">
      <c r="A4" s="545" t="s">
        <v>61</v>
      </c>
      <c r="B4" s="537">
        <f>2+1+3</f>
        <v>6</v>
      </c>
      <c r="C4" s="546" t="s">
        <v>820</v>
      </c>
      <c r="D4" s="539" t="str">
        <f>VLOOKUP(C4,'Personal File'!$A$11:$C$16,3,FALSE)</f>
        <v>+0</v>
      </c>
      <c r="E4" s="547" t="str">
        <f t="shared" si="0"/>
        <v>Dex (+0)</v>
      </c>
      <c r="F4" s="541">
        <f>1</f>
        <v>1</v>
      </c>
      <c r="G4" s="542">
        <f t="shared" si="1"/>
        <v>7</v>
      </c>
      <c r="H4" s="543">
        <f t="shared" ca="1" si="2"/>
        <v>20</v>
      </c>
      <c r="I4" s="542">
        <f ca="1">SUM(G4:H4)</f>
        <v>27</v>
      </c>
      <c r="J4" s="544" t="s">
        <v>813</v>
      </c>
    </row>
    <row r="5" spans="1:10" s="3" customFormat="1" ht="16.8" x14ac:dyDescent="0.3">
      <c r="A5" s="548" t="s">
        <v>62</v>
      </c>
      <c r="B5" s="549">
        <f>3+4+7</f>
        <v>14</v>
      </c>
      <c r="C5" s="550" t="s">
        <v>819</v>
      </c>
      <c r="D5" s="550" t="str">
        <f>VLOOKUP(C5,'Personal File'!$A$11:$C$16,3,FALSE)</f>
        <v>+3</v>
      </c>
      <c r="E5" s="551" t="str">
        <f t="shared" si="0"/>
        <v>Wis (+3)</v>
      </c>
      <c r="F5" s="552">
        <f>1</f>
        <v>1</v>
      </c>
      <c r="G5" s="553">
        <f t="shared" si="1"/>
        <v>18</v>
      </c>
      <c r="H5" s="554">
        <f t="shared" ca="1" si="2"/>
        <v>3</v>
      </c>
      <c r="I5" s="553">
        <f ca="1">SUM(G5:H5)</f>
        <v>21</v>
      </c>
      <c r="J5" s="555"/>
    </row>
    <row r="6" spans="1:10" s="71" customFormat="1" ht="16.8" x14ac:dyDescent="0.3">
      <c r="A6" s="556" t="s">
        <v>32</v>
      </c>
      <c r="B6" s="557">
        <v>0</v>
      </c>
      <c r="C6" s="558" t="s">
        <v>818</v>
      </c>
      <c r="D6" s="559" t="str">
        <f>VLOOKUP(C6,'Personal File'!$A$11:$C$16,3,FALSE)</f>
        <v>+3</v>
      </c>
      <c r="E6" s="560" t="str">
        <f t="shared" si="0"/>
        <v>Int (+3)</v>
      </c>
      <c r="F6" s="561" t="s">
        <v>56</v>
      </c>
      <c r="G6" s="562">
        <f t="shared" si="1"/>
        <v>3</v>
      </c>
      <c r="H6" s="543">
        <f ca="1">RANDBETWEEN(1,20)</f>
        <v>17</v>
      </c>
      <c r="I6" s="562">
        <f t="shared" ref="I6:I43" ca="1" si="3">SUM(G6:H6)</f>
        <v>20</v>
      </c>
      <c r="J6" s="544"/>
    </row>
    <row r="7" spans="1:10" s="72" customFormat="1" ht="16.8" x14ac:dyDescent="0.3">
      <c r="A7" s="545" t="s">
        <v>33</v>
      </c>
      <c r="B7" s="557">
        <v>0</v>
      </c>
      <c r="C7" s="563" t="s">
        <v>820</v>
      </c>
      <c r="D7" s="564" t="str">
        <f>VLOOKUP(C7,'Personal File'!$A$11:$C$16,3,FALSE)</f>
        <v>+0</v>
      </c>
      <c r="E7" s="565" t="str">
        <f t="shared" si="0"/>
        <v>Dex (+0)</v>
      </c>
      <c r="F7" s="562" t="s">
        <v>56</v>
      </c>
      <c r="G7" s="562">
        <f t="shared" si="1"/>
        <v>0</v>
      </c>
      <c r="H7" s="543">
        <f t="shared" ref="H7:H43" ca="1" si="4">RANDBETWEEN(1,20)</f>
        <v>9</v>
      </c>
      <c r="I7" s="562">
        <f t="shared" ca="1" si="3"/>
        <v>9</v>
      </c>
      <c r="J7" s="544"/>
    </row>
    <row r="8" spans="1:10" s="73" customFormat="1" ht="16.8" x14ac:dyDescent="0.3">
      <c r="A8" s="566" t="s">
        <v>34</v>
      </c>
      <c r="B8" s="567">
        <v>6</v>
      </c>
      <c r="C8" s="568" t="s">
        <v>817</v>
      </c>
      <c r="D8" s="569" t="str">
        <f>VLOOKUP(C8,'Personal File'!$A$11:$C$16,3,FALSE)</f>
        <v>+4</v>
      </c>
      <c r="E8" s="570" t="str">
        <f t="shared" si="0"/>
        <v>Cha (+4)</v>
      </c>
      <c r="F8" s="571" t="s">
        <v>56</v>
      </c>
      <c r="G8" s="571">
        <f t="shared" si="1"/>
        <v>10</v>
      </c>
      <c r="H8" s="543">
        <f t="shared" ca="1" si="4"/>
        <v>4</v>
      </c>
      <c r="I8" s="571">
        <f t="shared" ca="1" si="3"/>
        <v>14</v>
      </c>
      <c r="J8" s="572"/>
    </row>
    <row r="9" spans="1:10" s="74" customFormat="1" ht="16.8" x14ac:dyDescent="0.3">
      <c r="A9" s="573" t="s">
        <v>35</v>
      </c>
      <c r="B9" s="557">
        <v>0</v>
      </c>
      <c r="C9" s="574" t="s">
        <v>821</v>
      </c>
      <c r="D9" s="575" t="str">
        <f>VLOOKUP(C9,'Personal File'!$A$11:$C$16,3,FALSE)</f>
        <v>+2</v>
      </c>
      <c r="E9" s="576" t="str">
        <f t="shared" si="0"/>
        <v>Str (+2)</v>
      </c>
      <c r="F9" s="562" t="s">
        <v>56</v>
      </c>
      <c r="G9" s="562">
        <f t="shared" si="1"/>
        <v>2</v>
      </c>
      <c r="H9" s="543">
        <f t="shared" ca="1" si="4"/>
        <v>18</v>
      </c>
      <c r="I9" s="562">
        <f t="shared" ca="1" si="3"/>
        <v>20</v>
      </c>
      <c r="J9" s="544"/>
    </row>
    <row r="10" spans="1:10" s="74" customFormat="1" ht="16.8" x14ac:dyDescent="0.3">
      <c r="A10" s="577" t="s">
        <v>8</v>
      </c>
      <c r="B10" s="578">
        <v>7</v>
      </c>
      <c r="C10" s="579" t="s">
        <v>816</v>
      </c>
      <c r="D10" s="580" t="str">
        <f>VLOOKUP(C10,'Personal File'!$A$11:$C$16,3,FALSE)</f>
        <v>+0</v>
      </c>
      <c r="E10" s="581" t="str">
        <f t="shared" si="0"/>
        <v>Con (+0)</v>
      </c>
      <c r="F10" s="582" t="s">
        <v>56</v>
      </c>
      <c r="G10" s="582">
        <f t="shared" si="1"/>
        <v>7</v>
      </c>
      <c r="H10" s="543">
        <f t="shared" ca="1" si="4"/>
        <v>2</v>
      </c>
      <c r="I10" s="582">
        <f t="shared" ca="1" si="3"/>
        <v>9</v>
      </c>
      <c r="J10" s="583"/>
    </row>
    <row r="11" spans="1:10" s="71" customFormat="1" ht="16.8" x14ac:dyDescent="0.3">
      <c r="A11" s="556" t="s">
        <v>814</v>
      </c>
      <c r="B11" s="557">
        <v>0</v>
      </c>
      <c r="C11" s="558" t="s">
        <v>818</v>
      </c>
      <c r="D11" s="559" t="str">
        <f>VLOOKUP(C11,'Personal File'!$A$11:$C$16,3,FALSE)</f>
        <v>+3</v>
      </c>
      <c r="E11" s="560" t="str">
        <f t="shared" si="0"/>
        <v>Int (+3)</v>
      </c>
      <c r="F11" s="562" t="s">
        <v>56</v>
      </c>
      <c r="G11" s="562">
        <f t="shared" si="1"/>
        <v>3</v>
      </c>
      <c r="H11" s="543">
        <f t="shared" ca="1" si="4"/>
        <v>13</v>
      </c>
      <c r="I11" s="562">
        <f t="shared" ca="1" si="3"/>
        <v>16</v>
      </c>
      <c r="J11" s="544"/>
    </row>
    <row r="12" spans="1:10" s="75" customFormat="1" ht="16.8" x14ac:dyDescent="0.3">
      <c r="A12" s="584" t="s">
        <v>36</v>
      </c>
      <c r="B12" s="585">
        <v>0</v>
      </c>
      <c r="C12" s="586" t="s">
        <v>818</v>
      </c>
      <c r="D12" s="587" t="str">
        <f>VLOOKUP(C12,'Personal File'!$A$11:$C$16,3,FALSE)</f>
        <v>+3</v>
      </c>
      <c r="E12" s="588" t="str">
        <f t="shared" si="0"/>
        <v>Int (+3)</v>
      </c>
      <c r="F12" s="589" t="s">
        <v>56</v>
      </c>
      <c r="G12" s="589">
        <f t="shared" si="1"/>
        <v>3</v>
      </c>
      <c r="H12" s="543">
        <f t="shared" ca="1" si="4"/>
        <v>14</v>
      </c>
      <c r="I12" s="589">
        <f t="shared" ref="I12" ca="1" si="5">SUM(G12:H12)</f>
        <v>17</v>
      </c>
      <c r="J12" s="590"/>
    </row>
    <row r="13" spans="1:10" s="72" customFormat="1" ht="16.8" x14ac:dyDescent="0.3">
      <c r="A13" s="566" t="s">
        <v>37</v>
      </c>
      <c r="B13" s="567">
        <v>8</v>
      </c>
      <c r="C13" s="568" t="s">
        <v>817</v>
      </c>
      <c r="D13" s="569" t="str">
        <f>VLOOKUP(C13,'Personal File'!$A$11:$C$16,3,FALSE)</f>
        <v>+4</v>
      </c>
      <c r="E13" s="570" t="str">
        <f t="shared" si="0"/>
        <v>Cha (+4)</v>
      </c>
      <c r="F13" s="582" t="s">
        <v>285</v>
      </c>
      <c r="G13" s="571">
        <f t="shared" si="1"/>
        <v>16</v>
      </c>
      <c r="H13" s="543">
        <f t="shared" ca="1" si="4"/>
        <v>16</v>
      </c>
      <c r="I13" s="571">
        <f t="shared" ca="1" si="3"/>
        <v>32</v>
      </c>
      <c r="J13" s="572"/>
    </row>
    <row r="14" spans="1:10" s="72" customFormat="1" ht="16.8" x14ac:dyDescent="0.3">
      <c r="A14" s="584" t="s">
        <v>38</v>
      </c>
      <c r="B14" s="585">
        <v>0</v>
      </c>
      <c r="C14" s="586" t="s">
        <v>818</v>
      </c>
      <c r="D14" s="587" t="str">
        <f>VLOOKUP(C14,'Personal File'!$A$11:$C$16,3,FALSE)</f>
        <v>+3</v>
      </c>
      <c r="E14" s="588" t="str">
        <f t="shared" si="0"/>
        <v>Int (+3)</v>
      </c>
      <c r="F14" s="589" t="s">
        <v>56</v>
      </c>
      <c r="G14" s="589">
        <f t="shared" si="1"/>
        <v>3</v>
      </c>
      <c r="H14" s="543">
        <f t="shared" ca="1" si="4"/>
        <v>13</v>
      </c>
      <c r="I14" s="589">
        <f t="shared" ref="I14" ca="1" si="6">SUM(G14:H14)</f>
        <v>16</v>
      </c>
      <c r="J14" s="590"/>
    </row>
    <row r="15" spans="1:10" s="72" customFormat="1" ht="16.8" x14ac:dyDescent="0.3">
      <c r="A15" s="591" t="s">
        <v>39</v>
      </c>
      <c r="B15" s="557">
        <v>0</v>
      </c>
      <c r="C15" s="592" t="s">
        <v>817</v>
      </c>
      <c r="D15" s="593" t="str">
        <f>VLOOKUP(C15,'Personal File'!$A$11:$C$16,3,FALSE)</f>
        <v>+4</v>
      </c>
      <c r="E15" s="594" t="str">
        <f t="shared" si="0"/>
        <v>Cha (+4)</v>
      </c>
      <c r="F15" s="562" t="s">
        <v>56</v>
      </c>
      <c r="G15" s="562">
        <f t="shared" si="1"/>
        <v>4</v>
      </c>
      <c r="H15" s="543">
        <f t="shared" ca="1" si="4"/>
        <v>5</v>
      </c>
      <c r="I15" s="562">
        <f t="shared" ca="1" si="3"/>
        <v>9</v>
      </c>
      <c r="J15" s="544"/>
    </row>
    <row r="16" spans="1:10" s="72" customFormat="1" ht="16.8" x14ac:dyDescent="0.3">
      <c r="A16" s="545" t="s">
        <v>40</v>
      </c>
      <c r="B16" s="557">
        <v>0</v>
      </c>
      <c r="C16" s="563" t="s">
        <v>820</v>
      </c>
      <c r="D16" s="564" t="str">
        <f>VLOOKUP(C16,'Personal File'!$A$11:$C$16,3,FALSE)</f>
        <v>+0</v>
      </c>
      <c r="E16" s="565" t="str">
        <f t="shared" si="0"/>
        <v>Dex (+0)</v>
      </c>
      <c r="F16" s="562" t="s">
        <v>56</v>
      </c>
      <c r="G16" s="562">
        <f t="shared" si="1"/>
        <v>0</v>
      </c>
      <c r="H16" s="543">
        <f t="shared" ca="1" si="4"/>
        <v>18</v>
      </c>
      <c r="I16" s="562">
        <f t="shared" ca="1" si="3"/>
        <v>18</v>
      </c>
      <c r="J16" s="544"/>
    </row>
    <row r="17" spans="1:10" s="72" customFormat="1" ht="16.8" x14ac:dyDescent="0.3">
      <c r="A17" s="595" t="s">
        <v>41</v>
      </c>
      <c r="B17" s="596">
        <v>0</v>
      </c>
      <c r="C17" s="597" t="s">
        <v>818</v>
      </c>
      <c r="D17" s="598" t="str">
        <f>VLOOKUP(C17,'Personal File'!$A$11:$C$16,3,FALSE)</f>
        <v>+3</v>
      </c>
      <c r="E17" s="599" t="str">
        <f t="shared" si="0"/>
        <v>Int (+3)</v>
      </c>
      <c r="F17" s="600" t="s">
        <v>56</v>
      </c>
      <c r="G17" s="600">
        <f t="shared" si="1"/>
        <v>3</v>
      </c>
      <c r="H17" s="543">
        <f t="shared" ca="1" si="4"/>
        <v>10</v>
      </c>
      <c r="I17" s="600">
        <f t="shared" ca="1" si="3"/>
        <v>13</v>
      </c>
      <c r="J17" s="601"/>
    </row>
    <row r="18" spans="1:10" s="72" customFormat="1" ht="16.8" x14ac:dyDescent="0.3">
      <c r="A18" s="566" t="s">
        <v>42</v>
      </c>
      <c r="B18" s="567">
        <v>8</v>
      </c>
      <c r="C18" s="568" t="s">
        <v>817</v>
      </c>
      <c r="D18" s="569" t="str">
        <f>VLOOKUP(C18,'Personal File'!$A$11:$C$16,3,FALSE)</f>
        <v>+4</v>
      </c>
      <c r="E18" s="570" t="str">
        <f t="shared" si="0"/>
        <v>Cha (+4)</v>
      </c>
      <c r="F18" s="571" t="s">
        <v>56</v>
      </c>
      <c r="G18" s="571">
        <f t="shared" si="1"/>
        <v>12</v>
      </c>
      <c r="H18" s="543">
        <f t="shared" ca="1" si="4"/>
        <v>6</v>
      </c>
      <c r="I18" s="571">
        <f t="shared" ca="1" si="3"/>
        <v>18</v>
      </c>
      <c r="J18" s="572"/>
    </row>
    <row r="19" spans="1:10" s="72" customFormat="1" ht="16.8" x14ac:dyDescent="0.3">
      <c r="A19" s="591" t="s">
        <v>10</v>
      </c>
      <c r="B19" s="557">
        <v>0</v>
      </c>
      <c r="C19" s="592" t="s">
        <v>817</v>
      </c>
      <c r="D19" s="593" t="str">
        <f>VLOOKUP(C19,'Personal File'!$A$11:$C$16,3,FALSE)</f>
        <v>+4</v>
      </c>
      <c r="E19" s="594" t="str">
        <f t="shared" si="0"/>
        <v>Cha (+4)</v>
      </c>
      <c r="F19" s="562" t="s">
        <v>56</v>
      </c>
      <c r="G19" s="562">
        <f t="shared" si="1"/>
        <v>4</v>
      </c>
      <c r="H19" s="543">
        <f t="shared" ca="1" si="4"/>
        <v>12</v>
      </c>
      <c r="I19" s="562">
        <f t="shared" ca="1" si="3"/>
        <v>16</v>
      </c>
      <c r="J19" s="544"/>
    </row>
    <row r="20" spans="1:10" s="72" customFormat="1" ht="16.8" x14ac:dyDescent="0.3">
      <c r="A20" s="602" t="s">
        <v>43</v>
      </c>
      <c r="B20" s="578">
        <v>10</v>
      </c>
      <c r="C20" s="603" t="s">
        <v>819</v>
      </c>
      <c r="D20" s="604" t="str">
        <f>VLOOKUP(C20,'Personal File'!$A$11:$C$16,3,FALSE)</f>
        <v>+3</v>
      </c>
      <c r="E20" s="605" t="str">
        <f t="shared" si="0"/>
        <v>Wis (+3)</v>
      </c>
      <c r="F20" s="571" t="s">
        <v>56</v>
      </c>
      <c r="G20" s="582">
        <f t="shared" si="1"/>
        <v>13</v>
      </c>
      <c r="H20" s="543">
        <f t="shared" ca="1" si="4"/>
        <v>8</v>
      </c>
      <c r="I20" s="582">
        <f t="shared" ca="1" si="3"/>
        <v>21</v>
      </c>
      <c r="J20" s="583"/>
    </row>
    <row r="21" spans="1:10" s="72" customFormat="1" ht="16.8" x14ac:dyDescent="0.3">
      <c r="A21" s="545" t="s">
        <v>44</v>
      </c>
      <c r="B21" s="557">
        <v>0</v>
      </c>
      <c r="C21" s="563" t="s">
        <v>820</v>
      </c>
      <c r="D21" s="564" t="str">
        <f>VLOOKUP(C21,'Personal File'!$A$11:$C$16,3,FALSE)</f>
        <v>+0</v>
      </c>
      <c r="E21" s="565" t="str">
        <f t="shared" si="0"/>
        <v>Dex (+0)</v>
      </c>
      <c r="F21" s="562" t="s">
        <v>56</v>
      </c>
      <c r="G21" s="562">
        <f t="shared" si="1"/>
        <v>0</v>
      </c>
      <c r="H21" s="543">
        <f t="shared" ca="1" si="4"/>
        <v>5</v>
      </c>
      <c r="I21" s="562">
        <f t="shared" ca="1" si="3"/>
        <v>5</v>
      </c>
      <c r="J21" s="544"/>
    </row>
    <row r="22" spans="1:10" s="72" customFormat="1" ht="16.8" x14ac:dyDescent="0.3">
      <c r="A22" s="566" t="s">
        <v>45</v>
      </c>
      <c r="B22" s="567">
        <v>11</v>
      </c>
      <c r="C22" s="568" t="s">
        <v>817</v>
      </c>
      <c r="D22" s="569" t="str">
        <f>VLOOKUP(C22,'Personal File'!$A$11:$C$16,3,FALSE)</f>
        <v>+4</v>
      </c>
      <c r="E22" s="570" t="str">
        <f t="shared" si="0"/>
        <v>Cha (+4)</v>
      </c>
      <c r="F22" s="571" t="s">
        <v>56</v>
      </c>
      <c r="G22" s="571">
        <f t="shared" si="1"/>
        <v>15</v>
      </c>
      <c r="H22" s="543">
        <f t="shared" ca="1" si="4"/>
        <v>5</v>
      </c>
      <c r="I22" s="571">
        <f t="shared" ca="1" si="3"/>
        <v>20</v>
      </c>
      <c r="J22" s="572"/>
    </row>
    <row r="23" spans="1:10" s="72" customFormat="1" ht="16.8" x14ac:dyDescent="0.3">
      <c r="A23" s="573" t="s">
        <v>46</v>
      </c>
      <c r="B23" s="557">
        <v>0</v>
      </c>
      <c r="C23" s="574" t="s">
        <v>821</v>
      </c>
      <c r="D23" s="575" t="str">
        <f>VLOOKUP(C23,'Personal File'!$A$11:$C$16,3,FALSE)</f>
        <v>+2</v>
      </c>
      <c r="E23" s="576" t="str">
        <f t="shared" si="0"/>
        <v>Str (+2)</v>
      </c>
      <c r="F23" s="562" t="s">
        <v>56</v>
      </c>
      <c r="G23" s="562">
        <f t="shared" si="1"/>
        <v>2</v>
      </c>
      <c r="H23" s="543">
        <f t="shared" ca="1" si="4"/>
        <v>17</v>
      </c>
      <c r="I23" s="562">
        <f t="shared" ca="1" si="3"/>
        <v>19</v>
      </c>
      <c r="J23" s="544"/>
    </row>
    <row r="24" spans="1:10" s="72" customFormat="1" ht="16.8" x14ac:dyDescent="0.3">
      <c r="A24" s="606" t="s">
        <v>283</v>
      </c>
      <c r="B24" s="578">
        <v>8</v>
      </c>
      <c r="C24" s="607" t="s">
        <v>818</v>
      </c>
      <c r="D24" s="608" t="str">
        <f>VLOOKUP(C24,'Personal File'!$A$11:$C$16,3,FALSE)</f>
        <v>+3</v>
      </c>
      <c r="E24" s="609" t="str">
        <f t="shared" si="0"/>
        <v>Int (+3)</v>
      </c>
      <c r="F24" s="571" t="s">
        <v>262</v>
      </c>
      <c r="G24" s="582">
        <f t="shared" si="1"/>
        <v>13</v>
      </c>
      <c r="H24" s="543">
        <f t="shared" ca="1" si="4"/>
        <v>8</v>
      </c>
      <c r="I24" s="582">
        <f t="shared" ca="1" si="3"/>
        <v>21</v>
      </c>
      <c r="J24" s="583"/>
    </row>
    <row r="25" spans="1:10" s="72" customFormat="1" ht="16.8" x14ac:dyDescent="0.3">
      <c r="A25" s="606" t="s">
        <v>284</v>
      </c>
      <c r="B25" s="578">
        <v>8</v>
      </c>
      <c r="C25" s="607" t="s">
        <v>818</v>
      </c>
      <c r="D25" s="608" t="str">
        <f>VLOOKUP(C25,'Personal File'!$A$11:$C$16,3,FALSE)</f>
        <v>+3</v>
      </c>
      <c r="E25" s="609" t="str">
        <f t="shared" si="0"/>
        <v>Int (+3)</v>
      </c>
      <c r="F25" s="571" t="s">
        <v>56</v>
      </c>
      <c r="G25" s="582">
        <f t="shared" ref="G25" si="7">B25+D25+F25</f>
        <v>11</v>
      </c>
      <c r="H25" s="543">
        <f t="shared" ca="1" si="4"/>
        <v>15</v>
      </c>
      <c r="I25" s="582">
        <f t="shared" ref="I25" ca="1" si="8">SUM(G25:H25)</f>
        <v>26</v>
      </c>
      <c r="J25" s="583"/>
    </row>
    <row r="26" spans="1:10" s="72" customFormat="1" ht="16.8" x14ac:dyDescent="0.3">
      <c r="A26" s="606" t="s">
        <v>252</v>
      </c>
      <c r="B26" s="578">
        <v>14</v>
      </c>
      <c r="C26" s="607" t="s">
        <v>818</v>
      </c>
      <c r="D26" s="608" t="str">
        <f>VLOOKUP(C26,'Personal File'!$A$11:$C$16,3,FALSE)</f>
        <v>+3</v>
      </c>
      <c r="E26" s="609" t="str">
        <f t="shared" si="0"/>
        <v>Int (+3)</v>
      </c>
      <c r="F26" s="571" t="s">
        <v>262</v>
      </c>
      <c r="G26" s="582">
        <f t="shared" ref="G26" si="9">B26+D26+F26</f>
        <v>19</v>
      </c>
      <c r="H26" s="543">
        <f t="shared" ca="1" si="4"/>
        <v>19</v>
      </c>
      <c r="I26" s="582">
        <f t="shared" ref="I26" ca="1" si="10">SUM(G26:H26)</f>
        <v>38</v>
      </c>
      <c r="J26" s="583"/>
    </row>
    <row r="27" spans="1:10" s="72" customFormat="1" ht="16.8" x14ac:dyDescent="0.3">
      <c r="A27" s="610" t="s">
        <v>47</v>
      </c>
      <c r="B27" s="557">
        <v>0</v>
      </c>
      <c r="C27" s="611" t="s">
        <v>819</v>
      </c>
      <c r="D27" s="612" t="str">
        <f>VLOOKUP(C27,'Personal File'!$A$11:$C$16,3,FALSE)</f>
        <v>+3</v>
      </c>
      <c r="E27" s="613" t="str">
        <f t="shared" si="0"/>
        <v>Wis (+3)</v>
      </c>
      <c r="F27" s="562" t="s">
        <v>56</v>
      </c>
      <c r="G27" s="562">
        <f t="shared" si="1"/>
        <v>3</v>
      </c>
      <c r="H27" s="543">
        <f t="shared" ca="1" si="4"/>
        <v>18</v>
      </c>
      <c r="I27" s="562">
        <f t="shared" ca="1" si="3"/>
        <v>21</v>
      </c>
      <c r="J27" s="544"/>
    </row>
    <row r="28" spans="1:10" s="72" customFormat="1" ht="16.8" x14ac:dyDescent="0.3">
      <c r="A28" s="545" t="s">
        <v>11</v>
      </c>
      <c r="B28" s="557">
        <v>0</v>
      </c>
      <c r="C28" s="563" t="s">
        <v>820</v>
      </c>
      <c r="D28" s="564" t="str">
        <f>VLOOKUP(C28,'Personal File'!$A$11:$C$16,3,FALSE)</f>
        <v>+0</v>
      </c>
      <c r="E28" s="565" t="str">
        <f t="shared" si="0"/>
        <v>Dex (+0)</v>
      </c>
      <c r="F28" s="562" t="s">
        <v>56</v>
      </c>
      <c r="G28" s="562">
        <f t="shared" si="1"/>
        <v>0</v>
      </c>
      <c r="H28" s="543">
        <f t="shared" ca="1" si="4"/>
        <v>9</v>
      </c>
      <c r="I28" s="562">
        <f t="shared" ca="1" si="3"/>
        <v>9</v>
      </c>
      <c r="J28" s="544"/>
    </row>
    <row r="29" spans="1:10" s="72" customFormat="1" ht="16.8" x14ac:dyDescent="0.3">
      <c r="A29" s="614" t="s">
        <v>48</v>
      </c>
      <c r="B29" s="585">
        <v>0</v>
      </c>
      <c r="C29" s="615" t="s">
        <v>820</v>
      </c>
      <c r="D29" s="616" t="str">
        <f>VLOOKUP(C29,'Personal File'!$A$11:$C$16,3,FALSE)</f>
        <v>+0</v>
      </c>
      <c r="E29" s="617" t="str">
        <f t="shared" si="0"/>
        <v>Dex (+0)</v>
      </c>
      <c r="F29" s="589" t="s">
        <v>56</v>
      </c>
      <c r="G29" s="589">
        <f t="shared" si="1"/>
        <v>0</v>
      </c>
      <c r="H29" s="543">
        <f t="shared" ca="1" si="4"/>
        <v>10</v>
      </c>
      <c r="I29" s="589">
        <f t="shared" ca="1" si="3"/>
        <v>10</v>
      </c>
      <c r="J29" s="590"/>
    </row>
    <row r="30" spans="1:10" ht="16.8" x14ac:dyDescent="0.3">
      <c r="A30" s="591" t="s">
        <v>282</v>
      </c>
      <c r="B30" s="557">
        <v>0</v>
      </c>
      <c r="C30" s="592" t="s">
        <v>817</v>
      </c>
      <c r="D30" s="593" t="str">
        <f>VLOOKUP(C30,'Personal File'!$A$11:$C$16,3,FALSE)</f>
        <v>+4</v>
      </c>
      <c r="E30" s="594" t="str">
        <f t="shared" si="0"/>
        <v>Cha (+4)</v>
      </c>
      <c r="F30" s="562" t="s">
        <v>56</v>
      </c>
      <c r="G30" s="562">
        <f t="shared" si="1"/>
        <v>4</v>
      </c>
      <c r="H30" s="543">
        <f t="shared" ca="1" si="4"/>
        <v>20</v>
      </c>
      <c r="I30" s="562">
        <f t="shared" ca="1" si="3"/>
        <v>24</v>
      </c>
      <c r="J30" s="544"/>
    </row>
    <row r="31" spans="1:10" ht="16.8" x14ac:dyDescent="0.3">
      <c r="A31" s="566" t="s">
        <v>281</v>
      </c>
      <c r="B31" s="567">
        <v>4</v>
      </c>
      <c r="C31" s="618" t="s">
        <v>819</v>
      </c>
      <c r="D31" s="619" t="str">
        <f>VLOOKUP(C31,'Personal File'!$A$11:$C$16,3,FALSE)</f>
        <v>+3</v>
      </c>
      <c r="E31" s="620" t="str">
        <f t="shared" si="0"/>
        <v>Wis (+3)</v>
      </c>
      <c r="F31" s="571" t="s">
        <v>56</v>
      </c>
      <c r="G31" s="621">
        <f t="shared" si="1"/>
        <v>7</v>
      </c>
      <c r="H31" s="543">
        <f t="shared" ca="1" si="4"/>
        <v>19</v>
      </c>
      <c r="I31" s="571">
        <f t="shared" ref="I31" ca="1" si="11">SUM(G31:H31)</f>
        <v>26</v>
      </c>
      <c r="J31" s="572"/>
    </row>
    <row r="32" spans="1:10" ht="16.8" x14ac:dyDescent="0.3">
      <c r="A32" s="622" t="s">
        <v>12</v>
      </c>
      <c r="B32" s="567">
        <v>2</v>
      </c>
      <c r="C32" s="623" t="s">
        <v>820</v>
      </c>
      <c r="D32" s="624" t="str">
        <f>VLOOKUP(C32,'Personal File'!$A$11:$C$16,3,FALSE)</f>
        <v>+0</v>
      </c>
      <c r="E32" s="625" t="str">
        <f t="shared" si="0"/>
        <v>Dex (+0)</v>
      </c>
      <c r="F32" s="571" t="s">
        <v>56</v>
      </c>
      <c r="G32" s="571">
        <f t="shared" si="1"/>
        <v>2</v>
      </c>
      <c r="H32" s="543">
        <f t="shared" ca="1" si="4"/>
        <v>9</v>
      </c>
      <c r="I32" s="571">
        <f t="shared" ca="1" si="3"/>
        <v>11</v>
      </c>
      <c r="J32" s="572"/>
    </row>
    <row r="33" spans="1:10" ht="16.8" x14ac:dyDescent="0.3">
      <c r="A33" s="626" t="s">
        <v>13</v>
      </c>
      <c r="B33" s="567">
        <v>8</v>
      </c>
      <c r="C33" s="627" t="s">
        <v>818</v>
      </c>
      <c r="D33" s="628" t="str">
        <f>VLOOKUP(C33,'Personal File'!$A$11:$C$16,3,FALSE)</f>
        <v>+3</v>
      </c>
      <c r="E33" s="629" t="str">
        <f t="shared" si="0"/>
        <v>Int (+3)</v>
      </c>
      <c r="F33" s="571" t="s">
        <v>56</v>
      </c>
      <c r="G33" s="571">
        <f t="shared" si="1"/>
        <v>11</v>
      </c>
      <c r="H33" s="543">
        <f t="shared" ca="1" si="4"/>
        <v>13</v>
      </c>
      <c r="I33" s="571">
        <f t="shared" ca="1" si="3"/>
        <v>24</v>
      </c>
      <c r="J33" s="572"/>
    </row>
    <row r="34" spans="1:10" ht="16.8" x14ac:dyDescent="0.3">
      <c r="A34" s="630" t="s">
        <v>49</v>
      </c>
      <c r="B34" s="567">
        <v>12</v>
      </c>
      <c r="C34" s="618" t="s">
        <v>819</v>
      </c>
      <c r="D34" s="619" t="str">
        <f>VLOOKUP(C34,'Personal File'!$A$11:$C$16,3,FALSE)</f>
        <v>+3</v>
      </c>
      <c r="E34" s="620" t="str">
        <f t="shared" si="0"/>
        <v>Wis (+3)</v>
      </c>
      <c r="F34" s="571" t="s">
        <v>56</v>
      </c>
      <c r="G34" s="571">
        <f t="shared" si="1"/>
        <v>15</v>
      </c>
      <c r="H34" s="543">
        <f t="shared" ca="1" si="4"/>
        <v>17</v>
      </c>
      <c r="I34" s="571">
        <f t="shared" ca="1" si="3"/>
        <v>32</v>
      </c>
      <c r="J34" s="572"/>
    </row>
    <row r="35" spans="1:10" ht="16.8" x14ac:dyDescent="0.3">
      <c r="A35" s="614" t="s">
        <v>101</v>
      </c>
      <c r="B35" s="585">
        <v>0</v>
      </c>
      <c r="C35" s="615" t="s">
        <v>820</v>
      </c>
      <c r="D35" s="616" t="str">
        <f>VLOOKUP(C35,'Personal File'!$A$11:$C$16,3,FALSE)</f>
        <v>+0</v>
      </c>
      <c r="E35" s="617" t="str">
        <f t="shared" si="0"/>
        <v>Dex (+0)</v>
      </c>
      <c r="F35" s="589" t="s">
        <v>56</v>
      </c>
      <c r="G35" s="589">
        <f t="shared" si="1"/>
        <v>0</v>
      </c>
      <c r="H35" s="543">
        <f t="shared" ca="1" si="4"/>
        <v>8</v>
      </c>
      <c r="I35" s="589">
        <f t="shared" ref="I35:I36" ca="1" si="12">SUM(G35:H35)</f>
        <v>8</v>
      </c>
      <c r="J35" s="590"/>
    </row>
    <row r="36" spans="1:10" ht="16.8" x14ac:dyDescent="0.3">
      <c r="A36" s="631" t="s">
        <v>91</v>
      </c>
      <c r="B36" s="632">
        <v>0</v>
      </c>
      <c r="C36" s="633" t="s">
        <v>818</v>
      </c>
      <c r="D36" s="634" t="str">
        <f>VLOOKUP(C36,'Personal File'!$A$11:$C$16,3,FALSE)</f>
        <v>+3</v>
      </c>
      <c r="E36" s="635" t="str">
        <f t="shared" si="0"/>
        <v>Int (+3)</v>
      </c>
      <c r="F36" s="636" t="s">
        <v>56</v>
      </c>
      <c r="G36" s="589">
        <f t="shared" si="1"/>
        <v>3</v>
      </c>
      <c r="H36" s="543">
        <f t="shared" ca="1" si="4"/>
        <v>15</v>
      </c>
      <c r="I36" s="589">
        <f t="shared" ca="1" si="12"/>
        <v>18</v>
      </c>
      <c r="J36" s="637"/>
    </row>
    <row r="37" spans="1:10" ht="16.8" x14ac:dyDescent="0.3">
      <c r="A37" s="626" t="s">
        <v>50</v>
      </c>
      <c r="B37" s="567">
        <v>13</v>
      </c>
      <c r="C37" s="627" t="s">
        <v>818</v>
      </c>
      <c r="D37" s="628" t="str">
        <f>VLOOKUP(C37,'Personal File'!$A$11:$C$16,3,FALSE)</f>
        <v>+3</v>
      </c>
      <c r="E37" s="629" t="str">
        <f t="shared" si="0"/>
        <v>Int (+3)</v>
      </c>
      <c r="F37" s="571" t="s">
        <v>262</v>
      </c>
      <c r="G37" s="571">
        <f t="shared" si="1"/>
        <v>18</v>
      </c>
      <c r="H37" s="543">
        <f t="shared" ca="1" si="4"/>
        <v>3</v>
      </c>
      <c r="I37" s="571">
        <f t="shared" ca="1" si="3"/>
        <v>21</v>
      </c>
      <c r="J37" s="572"/>
    </row>
    <row r="38" spans="1:10" ht="16.8" x14ac:dyDescent="0.3">
      <c r="A38" s="630" t="s">
        <v>51</v>
      </c>
      <c r="B38" s="567">
        <v>9</v>
      </c>
      <c r="C38" s="618" t="s">
        <v>819</v>
      </c>
      <c r="D38" s="619" t="str">
        <f>VLOOKUP(C38,'Personal File'!$A$11:$C$16,3,FALSE)</f>
        <v>+3</v>
      </c>
      <c r="E38" s="620" t="str">
        <f t="shared" si="0"/>
        <v>Wis (+3)</v>
      </c>
      <c r="F38" s="571" t="s">
        <v>262</v>
      </c>
      <c r="G38" s="571">
        <f t="shared" si="1"/>
        <v>14</v>
      </c>
      <c r="H38" s="543">
        <f t="shared" ca="1" si="4"/>
        <v>20</v>
      </c>
      <c r="I38" s="571">
        <f t="shared" ca="1" si="3"/>
        <v>34</v>
      </c>
      <c r="J38" s="572" t="s">
        <v>661</v>
      </c>
    </row>
    <row r="39" spans="1:10" ht="16.8" x14ac:dyDescent="0.3">
      <c r="A39" s="610" t="s">
        <v>102</v>
      </c>
      <c r="B39" s="557">
        <v>0</v>
      </c>
      <c r="C39" s="611" t="s">
        <v>819</v>
      </c>
      <c r="D39" s="612" t="str">
        <f>VLOOKUP(C39,'Personal File'!$A$11:$C$16,3,FALSE)</f>
        <v>+3</v>
      </c>
      <c r="E39" s="613" t="str">
        <f t="shared" si="0"/>
        <v>Wis (+3)</v>
      </c>
      <c r="F39" s="562" t="s">
        <v>56</v>
      </c>
      <c r="G39" s="562">
        <f t="shared" si="1"/>
        <v>3</v>
      </c>
      <c r="H39" s="543">
        <f t="shared" ca="1" si="4"/>
        <v>11</v>
      </c>
      <c r="I39" s="562">
        <f t="shared" ca="1" si="3"/>
        <v>14</v>
      </c>
      <c r="J39" s="544"/>
    </row>
    <row r="40" spans="1:10" ht="16.8" x14ac:dyDescent="0.3">
      <c r="A40" s="573" t="s">
        <v>14</v>
      </c>
      <c r="B40" s="557">
        <v>0</v>
      </c>
      <c r="C40" s="574" t="s">
        <v>821</v>
      </c>
      <c r="D40" s="575" t="str">
        <f>VLOOKUP(C40,'Personal File'!$A$11:$C$16,3,FALSE)</f>
        <v>+2</v>
      </c>
      <c r="E40" s="576" t="str">
        <f t="shared" si="0"/>
        <v>Str (+2)</v>
      </c>
      <c r="F40" s="562" t="s">
        <v>56</v>
      </c>
      <c r="G40" s="562">
        <f t="shared" si="1"/>
        <v>2</v>
      </c>
      <c r="H40" s="543">
        <f t="shared" ca="1" si="4"/>
        <v>7</v>
      </c>
      <c r="I40" s="562">
        <f t="shared" ca="1" si="3"/>
        <v>9</v>
      </c>
      <c r="J40" s="544"/>
    </row>
    <row r="41" spans="1:10" ht="16.8" x14ac:dyDescent="0.3">
      <c r="A41" s="638" t="s">
        <v>52</v>
      </c>
      <c r="B41" s="639">
        <v>0</v>
      </c>
      <c r="C41" s="640" t="s">
        <v>820</v>
      </c>
      <c r="D41" s="641" t="str">
        <f>VLOOKUP(C41,'Personal File'!$A$11:$C$16,3,FALSE)</f>
        <v>+0</v>
      </c>
      <c r="E41" s="642" t="str">
        <f t="shared" si="0"/>
        <v>Dex (+0)</v>
      </c>
      <c r="F41" s="589" t="s">
        <v>56</v>
      </c>
      <c r="G41" s="589">
        <f t="shared" si="1"/>
        <v>0</v>
      </c>
      <c r="H41" s="543">
        <f t="shared" ca="1" si="4"/>
        <v>18</v>
      </c>
      <c r="I41" s="589">
        <f t="shared" ref="I41:I42" ca="1" si="13">SUM(G41:H41)</f>
        <v>18</v>
      </c>
      <c r="J41" s="643"/>
    </row>
    <row r="42" spans="1:10" ht="16.8" x14ac:dyDescent="0.3">
      <c r="A42" s="644" t="s">
        <v>53</v>
      </c>
      <c r="B42" s="585">
        <v>0</v>
      </c>
      <c r="C42" s="645" t="s">
        <v>817</v>
      </c>
      <c r="D42" s="646" t="str">
        <f>VLOOKUP(C42,'Personal File'!$A$11:$C$16,3,FALSE)</f>
        <v>+4</v>
      </c>
      <c r="E42" s="647" t="str">
        <f t="shared" si="0"/>
        <v>Cha (+4)</v>
      </c>
      <c r="F42" s="589" t="s">
        <v>56</v>
      </c>
      <c r="G42" s="589">
        <f t="shared" si="1"/>
        <v>4</v>
      </c>
      <c r="H42" s="543">
        <f t="shared" ca="1" si="4"/>
        <v>20</v>
      </c>
      <c r="I42" s="589">
        <f t="shared" ca="1" si="13"/>
        <v>24</v>
      </c>
      <c r="J42" s="590"/>
    </row>
    <row r="43" spans="1:10" ht="17.399999999999999" thickBot="1" x14ac:dyDescent="0.35">
      <c r="A43" s="648" t="s">
        <v>54</v>
      </c>
      <c r="B43" s="649">
        <v>0</v>
      </c>
      <c r="C43" s="650" t="s">
        <v>820</v>
      </c>
      <c r="D43" s="651" t="str">
        <f>VLOOKUP(C43,'Personal File'!$A$11:$C$16,3,FALSE)</f>
        <v>+0</v>
      </c>
      <c r="E43" s="652" t="str">
        <f t="shared" si="0"/>
        <v>Dex (+0)</v>
      </c>
      <c r="F43" s="653" t="s">
        <v>56</v>
      </c>
      <c r="G43" s="653">
        <f t="shared" si="1"/>
        <v>0</v>
      </c>
      <c r="H43" s="654">
        <f t="shared" ca="1" si="4"/>
        <v>16</v>
      </c>
      <c r="I43" s="653">
        <f t="shared" ca="1" si="3"/>
        <v>16</v>
      </c>
      <c r="J43" s="655"/>
    </row>
    <row r="44" spans="1:10" ht="16.2" thickTop="1" x14ac:dyDescent="0.3">
      <c r="B44" s="517">
        <f>SUM(B6:B43)</f>
        <v>128</v>
      </c>
      <c r="E44" s="517">
        <f>SUM(E45:E60)</f>
        <v>128</v>
      </c>
      <c r="F44" s="656" t="s">
        <v>57</v>
      </c>
    </row>
    <row r="45" spans="1:10" x14ac:dyDescent="0.3">
      <c r="B45" s="517"/>
      <c r="E45" s="677">
        <f>4*(2+'Personal File'!$C$14)</f>
        <v>20</v>
      </c>
      <c r="F45" s="516" t="s">
        <v>286</v>
      </c>
    </row>
    <row r="46" spans="1:10" x14ac:dyDescent="0.3">
      <c r="E46" s="677">
        <f>2+'Personal File'!$C$14</f>
        <v>5</v>
      </c>
      <c r="F46" s="516" t="s">
        <v>168</v>
      </c>
    </row>
    <row r="47" spans="1:10" x14ac:dyDescent="0.3">
      <c r="E47" s="677">
        <f>2+'Personal File'!$C$14</f>
        <v>5</v>
      </c>
      <c r="F47" s="516" t="s">
        <v>169</v>
      </c>
    </row>
    <row r="48" spans="1:10" x14ac:dyDescent="0.3">
      <c r="E48" s="677">
        <f>2+'Personal File'!$C$14</f>
        <v>5</v>
      </c>
      <c r="F48" s="516" t="s">
        <v>170</v>
      </c>
    </row>
    <row r="49" spans="5:6" x14ac:dyDescent="0.3">
      <c r="E49" s="677">
        <f>2+'Personal File'!$C$14</f>
        <v>5</v>
      </c>
      <c r="F49" s="516" t="s">
        <v>1270</v>
      </c>
    </row>
    <row r="50" spans="5:6" x14ac:dyDescent="0.3">
      <c r="E50" s="515">
        <f>4+'Personal File'!$C$14</f>
        <v>7</v>
      </c>
      <c r="F50" s="516" t="s">
        <v>288</v>
      </c>
    </row>
    <row r="51" spans="5:6" x14ac:dyDescent="0.3">
      <c r="E51" s="515">
        <f>4+'Personal File'!$C$14</f>
        <v>7</v>
      </c>
      <c r="F51" s="516" t="s">
        <v>289</v>
      </c>
    </row>
    <row r="52" spans="5:6" x14ac:dyDescent="0.3">
      <c r="E52" s="515">
        <f>4+'Personal File'!$C$14</f>
        <v>7</v>
      </c>
      <c r="F52" s="516" t="s">
        <v>341</v>
      </c>
    </row>
    <row r="53" spans="5:6" x14ac:dyDescent="0.3">
      <c r="E53" s="515">
        <f>4+'Personal File'!$C$14</f>
        <v>7</v>
      </c>
      <c r="F53" s="516" t="s">
        <v>376</v>
      </c>
    </row>
    <row r="54" spans="5:6" x14ac:dyDescent="0.3">
      <c r="E54" s="515">
        <f>4+'Personal File'!$C$14</f>
        <v>7</v>
      </c>
      <c r="F54" s="516" t="s">
        <v>663</v>
      </c>
    </row>
    <row r="55" spans="5:6" x14ac:dyDescent="0.3">
      <c r="E55" s="515">
        <f>4+'Personal File'!$C$14</f>
        <v>7</v>
      </c>
      <c r="F55" s="516" t="s">
        <v>671</v>
      </c>
    </row>
    <row r="56" spans="5:6" x14ac:dyDescent="0.3">
      <c r="E56" s="515">
        <f>4+'Personal File'!$C$14</f>
        <v>7</v>
      </c>
      <c r="F56" s="516" t="s">
        <v>920</v>
      </c>
    </row>
    <row r="57" spans="5:6" x14ac:dyDescent="0.3">
      <c r="E57" s="515">
        <f>4+'Personal File'!$C$14</f>
        <v>7</v>
      </c>
      <c r="F57" s="516" t="s">
        <v>921</v>
      </c>
    </row>
    <row r="58" spans="5:6" x14ac:dyDescent="0.3">
      <c r="E58" s="515">
        <f>4+'Personal File'!$C$14</f>
        <v>7</v>
      </c>
      <c r="F58" s="516" t="s">
        <v>1256</v>
      </c>
    </row>
    <row r="59" spans="5:6" x14ac:dyDescent="0.3">
      <c r="E59" s="515">
        <f>4+'Personal File'!$C$14</f>
        <v>7</v>
      </c>
      <c r="F59" s="516" t="s">
        <v>1269</v>
      </c>
    </row>
    <row r="60" spans="5:6" x14ac:dyDescent="0.3">
      <c r="E60" s="124">
        <f>3+SUM('Personal File'!$E$3:$E$5)</f>
        <v>18</v>
      </c>
      <c r="F60" s="516" t="s">
        <v>287</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51"/>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8.59765625" style="67" bestFit="1" customWidth="1"/>
    <col min="2" max="2" width="6.19921875" style="67" bestFit="1" customWidth="1"/>
    <col min="3" max="3" width="11.5" style="68" bestFit="1" customWidth="1"/>
    <col min="4" max="4" width="13.3984375" style="68" bestFit="1" customWidth="1"/>
    <col min="5" max="5" width="12.59765625" style="76" bestFit="1" customWidth="1"/>
    <col min="6" max="6" width="10.59765625" style="68" bestFit="1" customWidth="1"/>
    <col min="7" max="7" width="13" style="68" bestFit="1" customWidth="1"/>
    <col min="8" max="8" width="13.19921875" style="67" bestFit="1" customWidth="1"/>
    <col min="9" max="9" width="23.296875" style="25" bestFit="1" customWidth="1"/>
    <col min="10" max="10" width="5.5" style="25" bestFit="1" customWidth="1"/>
    <col min="11" max="16384" width="13" style="25"/>
  </cols>
  <sheetData>
    <row r="1" spans="1:10" ht="23.4" thickBot="1" x14ac:dyDescent="0.35">
      <c r="A1" s="355" t="s">
        <v>273</v>
      </c>
      <c r="B1" s="69"/>
      <c r="C1" s="69"/>
      <c r="D1" s="69"/>
      <c r="E1" s="70"/>
      <c r="F1" s="69"/>
      <c r="G1" s="69"/>
      <c r="H1" s="69"/>
      <c r="I1" s="69"/>
    </row>
    <row r="2" spans="1:10" s="3" customFormat="1" ht="16.8" x14ac:dyDescent="0.3">
      <c r="A2" s="658" t="s">
        <v>76</v>
      </c>
      <c r="B2" s="364" t="s">
        <v>0</v>
      </c>
      <c r="C2" s="364" t="s">
        <v>173</v>
      </c>
      <c r="D2" s="659" t="s">
        <v>79</v>
      </c>
      <c r="E2" s="659" t="s">
        <v>108</v>
      </c>
      <c r="F2" s="364" t="s">
        <v>109</v>
      </c>
      <c r="G2" s="364" t="s">
        <v>59</v>
      </c>
      <c r="H2" s="364" t="s">
        <v>17</v>
      </c>
      <c r="I2" s="364" t="s">
        <v>464</v>
      </c>
      <c r="J2" s="660" t="s">
        <v>465</v>
      </c>
    </row>
    <row r="3" spans="1:10" s="3" customFormat="1" ht="16.8" x14ac:dyDescent="0.3">
      <c r="A3" s="365" t="s">
        <v>483</v>
      </c>
      <c r="B3" s="661">
        <v>0</v>
      </c>
      <c r="C3" s="7"/>
      <c r="D3" s="265" t="s">
        <v>175</v>
      </c>
      <c r="E3" s="266" t="s">
        <v>110</v>
      </c>
      <c r="F3" s="267" t="s">
        <v>111</v>
      </c>
      <c r="G3" s="267" t="s">
        <v>90</v>
      </c>
      <c r="H3" s="267" t="s">
        <v>72</v>
      </c>
      <c r="I3" s="9" t="s">
        <v>369</v>
      </c>
      <c r="J3" s="662">
        <v>9</v>
      </c>
    </row>
    <row r="4" spans="1:10" s="3" customFormat="1" ht="16.8" x14ac:dyDescent="0.3">
      <c r="A4" s="365" t="s">
        <v>139</v>
      </c>
      <c r="B4" s="661">
        <v>0</v>
      </c>
      <c r="C4" s="7"/>
      <c r="D4" s="10" t="s">
        <v>73</v>
      </c>
      <c r="E4" s="1" t="s">
        <v>110</v>
      </c>
      <c r="F4" s="268" t="s">
        <v>111</v>
      </c>
      <c r="G4" s="4" t="s">
        <v>90</v>
      </c>
      <c r="H4" s="4" t="s">
        <v>70</v>
      </c>
      <c r="I4" s="4" t="s">
        <v>442</v>
      </c>
      <c r="J4" s="274">
        <v>215</v>
      </c>
    </row>
    <row r="5" spans="1:10" s="3" customFormat="1" ht="16.8" x14ac:dyDescent="0.3">
      <c r="A5" s="365" t="s">
        <v>142</v>
      </c>
      <c r="B5" s="661">
        <v>0</v>
      </c>
      <c r="C5" s="7"/>
      <c r="D5" s="10" t="s">
        <v>73</v>
      </c>
      <c r="E5" s="1" t="s">
        <v>110</v>
      </c>
      <c r="F5" s="268" t="s">
        <v>111</v>
      </c>
      <c r="G5" s="4" t="s">
        <v>66</v>
      </c>
      <c r="H5" s="4" t="s">
        <v>70</v>
      </c>
      <c r="I5" s="4" t="s">
        <v>442</v>
      </c>
      <c r="J5" s="274">
        <v>216</v>
      </c>
    </row>
    <row r="6" spans="1:10" s="3" customFormat="1" ht="16.8" x14ac:dyDescent="0.3">
      <c r="A6" s="365" t="s">
        <v>143</v>
      </c>
      <c r="B6" s="661">
        <v>0</v>
      </c>
      <c r="C6" s="7"/>
      <c r="D6" s="269" t="s">
        <v>68</v>
      </c>
      <c r="E6" s="1" t="s">
        <v>110</v>
      </c>
      <c r="F6" s="4" t="s">
        <v>111</v>
      </c>
      <c r="G6" s="4" t="s">
        <v>80</v>
      </c>
      <c r="H6" s="4" t="s">
        <v>69</v>
      </c>
      <c r="I6" s="4" t="s">
        <v>442</v>
      </c>
      <c r="J6" s="274">
        <v>219</v>
      </c>
    </row>
    <row r="7" spans="1:10" s="3" customFormat="1" ht="16.8" x14ac:dyDescent="0.3">
      <c r="A7" s="365" t="s">
        <v>140</v>
      </c>
      <c r="B7" s="661">
        <v>0</v>
      </c>
      <c r="C7" s="7"/>
      <c r="D7" s="10" t="s">
        <v>92</v>
      </c>
      <c r="E7" s="1" t="s">
        <v>110</v>
      </c>
      <c r="F7" s="268" t="s">
        <v>111</v>
      </c>
      <c r="G7" s="4" t="s">
        <v>90</v>
      </c>
      <c r="H7" s="4" t="s">
        <v>70</v>
      </c>
      <c r="I7" s="4" t="s">
        <v>442</v>
      </c>
      <c r="J7" s="274">
        <v>219</v>
      </c>
    </row>
    <row r="8" spans="1:10" s="3" customFormat="1" ht="16.8" x14ac:dyDescent="0.3">
      <c r="A8" s="365" t="s">
        <v>144</v>
      </c>
      <c r="B8" s="661">
        <v>0</v>
      </c>
      <c r="C8" s="7"/>
      <c r="D8" s="10" t="s">
        <v>92</v>
      </c>
      <c r="E8" s="1" t="s">
        <v>110</v>
      </c>
      <c r="F8" s="268" t="s">
        <v>111</v>
      </c>
      <c r="G8" s="4" t="s">
        <v>66</v>
      </c>
      <c r="H8" s="4" t="s">
        <v>67</v>
      </c>
      <c r="I8" s="4" t="s">
        <v>442</v>
      </c>
      <c r="J8" s="544">
        <v>238</v>
      </c>
    </row>
    <row r="9" spans="1:10" s="3" customFormat="1" ht="16.8" x14ac:dyDescent="0.3">
      <c r="A9" s="365" t="s">
        <v>484</v>
      </c>
      <c r="B9" s="661">
        <v>0</v>
      </c>
      <c r="C9" s="7"/>
      <c r="D9" s="8" t="s">
        <v>174</v>
      </c>
      <c r="E9" s="1" t="s">
        <v>110</v>
      </c>
      <c r="F9" s="9" t="s">
        <v>111</v>
      </c>
      <c r="G9" s="4" t="s">
        <v>66</v>
      </c>
      <c r="H9" s="9" t="s">
        <v>485</v>
      </c>
      <c r="I9" s="4" t="s">
        <v>442</v>
      </c>
      <c r="J9" s="274">
        <v>244</v>
      </c>
    </row>
    <row r="10" spans="1:10" s="3" customFormat="1" ht="16.8" x14ac:dyDescent="0.3">
      <c r="A10" s="365" t="s">
        <v>141</v>
      </c>
      <c r="B10" s="661">
        <v>0</v>
      </c>
      <c r="C10" s="7"/>
      <c r="D10" s="10" t="s">
        <v>75</v>
      </c>
      <c r="E10" s="1" t="s">
        <v>200</v>
      </c>
      <c r="F10" s="268" t="s">
        <v>111</v>
      </c>
      <c r="G10" s="4" t="s">
        <v>66</v>
      </c>
      <c r="H10" s="4" t="s">
        <v>72</v>
      </c>
      <c r="I10" s="4" t="s">
        <v>442</v>
      </c>
      <c r="J10" s="274">
        <v>248</v>
      </c>
    </row>
    <row r="11" spans="1:10" s="3" customFormat="1" ht="16.8" x14ac:dyDescent="0.3">
      <c r="A11" s="365" t="s">
        <v>145</v>
      </c>
      <c r="B11" s="661">
        <v>0</v>
      </c>
      <c r="C11" s="7"/>
      <c r="D11" s="10" t="s">
        <v>175</v>
      </c>
      <c r="E11" s="1" t="s">
        <v>110</v>
      </c>
      <c r="F11" s="268" t="s">
        <v>111</v>
      </c>
      <c r="G11" s="4" t="s">
        <v>81</v>
      </c>
      <c r="H11" s="4" t="s">
        <v>70</v>
      </c>
      <c r="I11" s="4" t="s">
        <v>442</v>
      </c>
      <c r="J11" s="274">
        <v>253</v>
      </c>
    </row>
    <row r="12" spans="1:10" s="3" customFormat="1" ht="16.8" x14ac:dyDescent="0.3">
      <c r="A12" s="365" t="s">
        <v>176</v>
      </c>
      <c r="B12" s="661">
        <v>0</v>
      </c>
      <c r="C12" s="7"/>
      <c r="D12" s="269" t="s">
        <v>175</v>
      </c>
      <c r="E12" s="1" t="s">
        <v>134</v>
      </c>
      <c r="F12" s="268" t="s">
        <v>111</v>
      </c>
      <c r="G12" s="4" t="s">
        <v>118</v>
      </c>
      <c r="H12" s="4" t="s">
        <v>72</v>
      </c>
      <c r="I12" s="4" t="s">
        <v>442</v>
      </c>
      <c r="J12" s="274">
        <v>253</v>
      </c>
    </row>
    <row r="13" spans="1:10" s="3" customFormat="1" ht="16.8" x14ac:dyDescent="0.3">
      <c r="A13" s="365" t="s">
        <v>487</v>
      </c>
      <c r="B13" s="661">
        <v>0</v>
      </c>
      <c r="C13" s="7"/>
      <c r="D13" s="269" t="s">
        <v>174</v>
      </c>
      <c r="E13" s="1" t="s">
        <v>113</v>
      </c>
      <c r="F13" s="268" t="s">
        <v>136</v>
      </c>
      <c r="G13" s="4" t="s">
        <v>66</v>
      </c>
      <c r="H13" s="4" t="s">
        <v>95</v>
      </c>
      <c r="I13" s="4" t="s">
        <v>486</v>
      </c>
      <c r="J13" s="274">
        <v>101</v>
      </c>
    </row>
    <row r="14" spans="1:10" s="3" customFormat="1" ht="16.8" x14ac:dyDescent="0.3">
      <c r="A14" s="365" t="s">
        <v>177</v>
      </c>
      <c r="B14" s="661">
        <v>0</v>
      </c>
      <c r="C14" s="7"/>
      <c r="D14" s="10" t="s">
        <v>68</v>
      </c>
      <c r="E14" s="1" t="s">
        <v>110</v>
      </c>
      <c r="F14" s="268" t="s">
        <v>111</v>
      </c>
      <c r="G14" s="4" t="s">
        <v>81</v>
      </c>
      <c r="H14" s="4" t="s">
        <v>70</v>
      </c>
      <c r="I14" s="4" t="s">
        <v>442</v>
      </c>
      <c r="J14" s="274">
        <v>267</v>
      </c>
    </row>
    <row r="15" spans="1:10" s="3" customFormat="1" ht="16.8" x14ac:dyDescent="0.3">
      <c r="A15" s="365" t="s">
        <v>146</v>
      </c>
      <c r="B15" s="661">
        <v>0</v>
      </c>
      <c r="C15" s="7"/>
      <c r="D15" s="10" t="s">
        <v>68</v>
      </c>
      <c r="E15" s="1" t="s">
        <v>134</v>
      </c>
      <c r="F15" s="268" t="s">
        <v>111</v>
      </c>
      <c r="G15" s="4" t="s">
        <v>71</v>
      </c>
      <c r="H15" s="4" t="s">
        <v>72</v>
      </c>
      <c r="I15" s="4" t="s">
        <v>442</v>
      </c>
      <c r="J15" s="274">
        <v>269</v>
      </c>
    </row>
    <row r="16" spans="1:10" s="3" customFormat="1" ht="16.8" x14ac:dyDescent="0.3">
      <c r="A16" s="365" t="s">
        <v>147</v>
      </c>
      <c r="B16" s="661">
        <v>0</v>
      </c>
      <c r="C16" s="7"/>
      <c r="D16" s="269" t="s">
        <v>65</v>
      </c>
      <c r="E16" s="1" t="s">
        <v>116</v>
      </c>
      <c r="F16" s="268" t="s">
        <v>111</v>
      </c>
      <c r="G16" s="4" t="s">
        <v>66</v>
      </c>
      <c r="H16" s="4" t="s">
        <v>67</v>
      </c>
      <c r="I16" s="4" t="s">
        <v>442</v>
      </c>
      <c r="J16" s="274">
        <v>272</v>
      </c>
    </row>
    <row r="17" spans="1:10" ht="16.8" x14ac:dyDescent="0.3">
      <c r="A17" s="365" t="s">
        <v>488</v>
      </c>
      <c r="B17" s="661">
        <v>0</v>
      </c>
      <c r="C17" s="7"/>
      <c r="D17" s="8" t="s">
        <v>175</v>
      </c>
      <c r="E17" s="1" t="s">
        <v>110</v>
      </c>
      <c r="F17" s="9" t="s">
        <v>111</v>
      </c>
      <c r="G17" s="9" t="s">
        <v>90</v>
      </c>
      <c r="H17" s="9" t="s">
        <v>137</v>
      </c>
      <c r="I17" s="9" t="s">
        <v>486</v>
      </c>
      <c r="J17" s="663">
        <v>103</v>
      </c>
    </row>
    <row r="18" spans="1:10" ht="16.8" x14ac:dyDescent="0.3">
      <c r="A18" s="365" t="s">
        <v>253</v>
      </c>
      <c r="B18" s="661">
        <v>0</v>
      </c>
      <c r="C18" s="7"/>
      <c r="D18" s="10" t="s">
        <v>73</v>
      </c>
      <c r="E18" s="1" t="s">
        <v>110</v>
      </c>
      <c r="F18" s="268" t="s">
        <v>111</v>
      </c>
      <c r="G18" s="4" t="s">
        <v>178</v>
      </c>
      <c r="H18" s="4" t="s">
        <v>74</v>
      </c>
      <c r="I18" s="4" t="s">
        <v>444</v>
      </c>
      <c r="J18" s="274">
        <v>128</v>
      </c>
    </row>
    <row r="19" spans="1:10" ht="16.8" x14ac:dyDescent="0.3">
      <c r="A19" s="366" t="s">
        <v>489</v>
      </c>
      <c r="B19" s="664">
        <v>0</v>
      </c>
      <c r="C19" s="77"/>
      <c r="D19" s="78" t="s">
        <v>175</v>
      </c>
      <c r="E19" s="6" t="s">
        <v>113</v>
      </c>
      <c r="F19" s="270" t="s">
        <v>111</v>
      </c>
      <c r="G19" s="11" t="s">
        <v>66</v>
      </c>
      <c r="H19" s="11" t="s">
        <v>67</v>
      </c>
      <c r="I19" s="11" t="s">
        <v>442</v>
      </c>
      <c r="J19" s="665">
        <v>298</v>
      </c>
    </row>
    <row r="20" spans="1:10" ht="16.8" x14ac:dyDescent="0.3">
      <c r="A20" s="365" t="s">
        <v>490</v>
      </c>
      <c r="B20" s="661">
        <v>1</v>
      </c>
      <c r="C20" s="7"/>
      <c r="D20" s="10" t="s">
        <v>174</v>
      </c>
      <c r="E20" s="1" t="s">
        <v>110</v>
      </c>
      <c r="F20" s="268" t="s">
        <v>111</v>
      </c>
      <c r="G20" s="4" t="s">
        <v>71</v>
      </c>
      <c r="H20" s="9" t="s">
        <v>90</v>
      </c>
      <c r="I20" s="4" t="s">
        <v>486</v>
      </c>
      <c r="J20" s="274">
        <v>85</v>
      </c>
    </row>
    <row r="21" spans="1:10" ht="16.8" x14ac:dyDescent="0.3">
      <c r="A21" s="365" t="s">
        <v>491</v>
      </c>
      <c r="B21" s="661">
        <v>1</v>
      </c>
      <c r="C21" s="7"/>
      <c r="D21" s="10" t="s">
        <v>188</v>
      </c>
      <c r="E21" s="1" t="s">
        <v>113</v>
      </c>
      <c r="F21" s="268" t="s">
        <v>111</v>
      </c>
      <c r="G21" s="4" t="s">
        <v>165</v>
      </c>
      <c r="H21" s="4" t="s">
        <v>69</v>
      </c>
      <c r="I21" s="4" t="s">
        <v>442</v>
      </c>
      <c r="J21" s="544">
        <v>203</v>
      </c>
    </row>
    <row r="22" spans="1:10" ht="16.8" x14ac:dyDescent="0.3">
      <c r="A22" s="365" t="s">
        <v>492</v>
      </c>
      <c r="B22" s="661">
        <v>1</v>
      </c>
      <c r="C22" s="7"/>
      <c r="D22" s="8" t="s">
        <v>174</v>
      </c>
      <c r="E22" s="5" t="s">
        <v>110</v>
      </c>
      <c r="F22" s="9" t="s">
        <v>440</v>
      </c>
      <c r="G22" s="9" t="s">
        <v>66</v>
      </c>
      <c r="H22" s="9" t="s">
        <v>74</v>
      </c>
      <c r="I22" s="4" t="s">
        <v>493</v>
      </c>
      <c r="J22" s="666">
        <v>103</v>
      </c>
    </row>
    <row r="23" spans="1:10" ht="16.8" x14ac:dyDescent="0.3">
      <c r="A23" s="365" t="s">
        <v>494</v>
      </c>
      <c r="B23" s="661">
        <v>1</v>
      </c>
      <c r="C23" s="7"/>
      <c r="D23" s="10" t="s">
        <v>188</v>
      </c>
      <c r="E23" s="1" t="s">
        <v>113</v>
      </c>
      <c r="F23" s="268" t="s">
        <v>111</v>
      </c>
      <c r="G23" s="4" t="s">
        <v>165</v>
      </c>
      <c r="H23" s="4" t="s">
        <v>69</v>
      </c>
      <c r="I23" s="4" t="s">
        <v>442</v>
      </c>
      <c r="J23" s="544">
        <v>205</v>
      </c>
    </row>
    <row r="24" spans="1:10" ht="16.8" x14ac:dyDescent="0.3">
      <c r="A24" s="365" t="s">
        <v>495</v>
      </c>
      <c r="B24" s="661">
        <v>1</v>
      </c>
      <c r="C24" s="7"/>
      <c r="D24" s="10" t="s">
        <v>175</v>
      </c>
      <c r="E24" s="1" t="s">
        <v>114</v>
      </c>
      <c r="F24" s="268" t="s">
        <v>111</v>
      </c>
      <c r="G24" s="4" t="s">
        <v>66</v>
      </c>
      <c r="H24" s="4" t="s">
        <v>70</v>
      </c>
      <c r="I24" s="4" t="s">
        <v>442</v>
      </c>
      <c r="J24" s="274">
        <v>205</v>
      </c>
    </row>
    <row r="25" spans="1:10" ht="16.8" x14ac:dyDescent="0.3">
      <c r="A25" s="365" t="s">
        <v>496</v>
      </c>
      <c r="B25" s="661">
        <v>1</v>
      </c>
      <c r="C25" s="7"/>
      <c r="D25" s="10" t="s">
        <v>75</v>
      </c>
      <c r="E25" s="271" t="s">
        <v>110</v>
      </c>
      <c r="F25" s="268" t="s">
        <v>440</v>
      </c>
      <c r="G25" s="4" t="s">
        <v>90</v>
      </c>
      <c r="H25" s="9" t="s">
        <v>137</v>
      </c>
      <c r="I25" s="9" t="s">
        <v>497</v>
      </c>
      <c r="J25" s="544">
        <v>63</v>
      </c>
    </row>
    <row r="26" spans="1:10" ht="16.8" x14ac:dyDescent="0.3">
      <c r="A26" s="365" t="s">
        <v>498</v>
      </c>
      <c r="B26" s="661">
        <v>1</v>
      </c>
      <c r="C26" s="7"/>
      <c r="D26" s="10" t="s">
        <v>65</v>
      </c>
      <c r="E26" s="1" t="s">
        <v>499</v>
      </c>
      <c r="F26" s="268" t="s">
        <v>111</v>
      </c>
      <c r="G26" s="4" t="s">
        <v>66</v>
      </c>
      <c r="H26" s="4" t="s">
        <v>148</v>
      </c>
      <c r="I26" s="4" t="s">
        <v>447</v>
      </c>
      <c r="J26" s="274">
        <v>83</v>
      </c>
    </row>
    <row r="27" spans="1:10" ht="16.8" x14ac:dyDescent="0.3">
      <c r="A27" s="365" t="s">
        <v>179</v>
      </c>
      <c r="B27" s="661">
        <v>1</v>
      </c>
      <c r="C27" s="7"/>
      <c r="D27" s="10" t="s">
        <v>174</v>
      </c>
      <c r="E27" s="1" t="s">
        <v>110</v>
      </c>
      <c r="F27" s="268" t="s">
        <v>111</v>
      </c>
      <c r="G27" s="4" t="s">
        <v>90</v>
      </c>
      <c r="H27" s="4" t="s">
        <v>180</v>
      </c>
      <c r="I27" s="4" t="s">
        <v>442</v>
      </c>
      <c r="J27" s="274">
        <v>208</v>
      </c>
    </row>
    <row r="28" spans="1:10" ht="16.8" x14ac:dyDescent="0.3">
      <c r="A28" s="365" t="s">
        <v>181</v>
      </c>
      <c r="B28" s="661">
        <v>1</v>
      </c>
      <c r="C28" s="7"/>
      <c r="D28" s="10" t="s">
        <v>188</v>
      </c>
      <c r="E28" s="1" t="s">
        <v>135</v>
      </c>
      <c r="F28" s="268" t="s">
        <v>111</v>
      </c>
      <c r="G28" s="4" t="s">
        <v>90</v>
      </c>
      <c r="H28" s="4" t="s">
        <v>137</v>
      </c>
      <c r="I28" s="4" t="s">
        <v>442</v>
      </c>
      <c r="J28" s="274">
        <v>211</v>
      </c>
    </row>
    <row r="29" spans="1:10" ht="16.8" x14ac:dyDescent="0.3">
      <c r="A29" s="365" t="s">
        <v>466</v>
      </c>
      <c r="B29" s="661">
        <v>1</v>
      </c>
      <c r="C29" s="7"/>
      <c r="D29" s="10" t="s">
        <v>92</v>
      </c>
      <c r="E29" s="1" t="s">
        <v>116</v>
      </c>
      <c r="F29" s="268" t="s">
        <v>111</v>
      </c>
      <c r="G29" s="4" t="s">
        <v>71</v>
      </c>
      <c r="H29" s="4" t="s">
        <v>72</v>
      </c>
      <c r="I29" s="4" t="s">
        <v>442</v>
      </c>
      <c r="J29" s="274">
        <v>212</v>
      </c>
    </row>
    <row r="30" spans="1:10" ht="16.8" x14ac:dyDescent="0.3">
      <c r="A30" s="365" t="s">
        <v>500</v>
      </c>
      <c r="B30" s="661">
        <v>1</v>
      </c>
      <c r="C30" s="7"/>
      <c r="D30" s="272" t="s">
        <v>73</v>
      </c>
      <c r="E30" s="271" t="s">
        <v>113</v>
      </c>
      <c r="F30" s="268" t="s">
        <v>133</v>
      </c>
      <c r="G30" s="273" t="s">
        <v>90</v>
      </c>
      <c r="H30" s="273" t="s">
        <v>74</v>
      </c>
      <c r="I30" s="4" t="s">
        <v>450</v>
      </c>
      <c r="J30" s="274">
        <v>91</v>
      </c>
    </row>
    <row r="31" spans="1:10" ht="16.8" x14ac:dyDescent="0.3">
      <c r="A31" s="365" t="s">
        <v>93</v>
      </c>
      <c r="B31" s="661">
        <v>1</v>
      </c>
      <c r="C31" s="7"/>
      <c r="D31" s="10" t="s">
        <v>73</v>
      </c>
      <c r="E31" s="1" t="s">
        <v>110</v>
      </c>
      <c r="F31" s="268" t="s">
        <v>111</v>
      </c>
      <c r="G31" s="4" t="s">
        <v>66</v>
      </c>
      <c r="H31" s="4" t="s">
        <v>70</v>
      </c>
      <c r="I31" s="4" t="s">
        <v>442</v>
      </c>
      <c r="J31" s="274">
        <v>216</v>
      </c>
    </row>
    <row r="32" spans="1:10" ht="16.8" x14ac:dyDescent="0.3">
      <c r="A32" s="365" t="s">
        <v>501</v>
      </c>
      <c r="B32" s="661">
        <v>1</v>
      </c>
      <c r="C32" s="7"/>
      <c r="D32" s="10" t="s">
        <v>175</v>
      </c>
      <c r="E32" s="1" t="s">
        <v>114</v>
      </c>
      <c r="F32" s="268" t="s">
        <v>67</v>
      </c>
      <c r="G32" s="4" t="s">
        <v>66</v>
      </c>
      <c r="H32" s="4" t="s">
        <v>70</v>
      </c>
      <c r="I32" s="4" t="s">
        <v>442</v>
      </c>
      <c r="J32" s="274">
        <v>216</v>
      </c>
    </row>
    <row r="33" spans="1:10" ht="16.8" x14ac:dyDescent="0.3">
      <c r="A33" s="365" t="s">
        <v>182</v>
      </c>
      <c r="B33" s="661">
        <v>1</v>
      </c>
      <c r="C33" s="10" t="s">
        <v>275</v>
      </c>
      <c r="D33" s="10" t="s">
        <v>174</v>
      </c>
      <c r="E33" s="1" t="s">
        <v>110</v>
      </c>
      <c r="F33" s="268" t="s">
        <v>111</v>
      </c>
      <c r="G33" s="4" t="s">
        <v>90</v>
      </c>
      <c r="H33" s="4" t="s">
        <v>72</v>
      </c>
      <c r="I33" s="4" t="s">
        <v>442</v>
      </c>
      <c r="J33" s="274">
        <v>217</v>
      </c>
    </row>
    <row r="34" spans="1:10" ht="16.8" x14ac:dyDescent="0.3">
      <c r="A34" s="365" t="s">
        <v>502</v>
      </c>
      <c r="B34" s="661">
        <v>1</v>
      </c>
      <c r="C34" s="7"/>
      <c r="D34" s="10" t="s">
        <v>92</v>
      </c>
      <c r="E34" s="1" t="s">
        <v>113</v>
      </c>
      <c r="F34" s="268" t="s">
        <v>111</v>
      </c>
      <c r="G34" s="4" t="s">
        <v>99</v>
      </c>
      <c r="H34" s="4" t="s">
        <v>72</v>
      </c>
      <c r="I34" s="4" t="s">
        <v>442</v>
      </c>
      <c r="J34" s="274">
        <v>218</v>
      </c>
    </row>
    <row r="35" spans="1:10" ht="16.8" x14ac:dyDescent="0.3">
      <c r="A35" s="365" t="s">
        <v>503</v>
      </c>
      <c r="B35" s="661">
        <v>1</v>
      </c>
      <c r="C35" s="7"/>
      <c r="D35" s="10" t="s">
        <v>92</v>
      </c>
      <c r="E35" s="1" t="s">
        <v>113</v>
      </c>
      <c r="F35" s="268" t="s">
        <v>111</v>
      </c>
      <c r="G35" s="4" t="s">
        <v>80</v>
      </c>
      <c r="H35" s="4" t="s">
        <v>72</v>
      </c>
      <c r="I35" s="4" t="s">
        <v>442</v>
      </c>
      <c r="J35" s="274">
        <v>218</v>
      </c>
    </row>
    <row r="36" spans="1:10" ht="16.8" x14ac:dyDescent="0.3">
      <c r="A36" s="365" t="s">
        <v>183</v>
      </c>
      <c r="B36" s="661">
        <v>1</v>
      </c>
      <c r="C36" s="7"/>
      <c r="D36" s="10" t="s">
        <v>92</v>
      </c>
      <c r="E36" s="1" t="s">
        <v>116</v>
      </c>
      <c r="F36" s="268" t="s">
        <v>111</v>
      </c>
      <c r="G36" s="4" t="s">
        <v>504</v>
      </c>
      <c r="H36" s="4" t="s">
        <v>70</v>
      </c>
      <c r="I36" s="4" t="s">
        <v>442</v>
      </c>
      <c r="J36" s="274">
        <v>220</v>
      </c>
    </row>
    <row r="37" spans="1:10" ht="16.8" x14ac:dyDescent="0.3">
      <c r="A37" s="365" t="s">
        <v>184</v>
      </c>
      <c r="B37" s="661">
        <v>1</v>
      </c>
      <c r="C37" s="7"/>
      <c r="D37" s="10" t="s">
        <v>75</v>
      </c>
      <c r="E37" s="1" t="s">
        <v>113</v>
      </c>
      <c r="F37" s="268" t="s">
        <v>111</v>
      </c>
      <c r="G37" s="4" t="s">
        <v>71</v>
      </c>
      <c r="H37" s="4" t="s">
        <v>67</v>
      </c>
      <c r="I37" s="4" t="s">
        <v>442</v>
      </c>
      <c r="J37" s="544">
        <v>224</v>
      </c>
    </row>
    <row r="38" spans="1:10" ht="16.8" x14ac:dyDescent="0.3">
      <c r="A38" s="365" t="s">
        <v>505</v>
      </c>
      <c r="B38" s="661">
        <v>1</v>
      </c>
      <c r="C38" s="7"/>
      <c r="D38" s="10" t="s">
        <v>92</v>
      </c>
      <c r="E38" s="1" t="s">
        <v>506</v>
      </c>
      <c r="F38" s="4" t="s">
        <v>111</v>
      </c>
      <c r="G38" s="4" t="s">
        <v>66</v>
      </c>
      <c r="H38" s="4" t="s">
        <v>180</v>
      </c>
      <c r="I38" s="4" t="s">
        <v>449</v>
      </c>
      <c r="J38" s="274">
        <v>96</v>
      </c>
    </row>
    <row r="39" spans="1:10" ht="16.8" x14ac:dyDescent="0.3">
      <c r="A39" s="365" t="s">
        <v>185</v>
      </c>
      <c r="B39" s="661">
        <v>1</v>
      </c>
      <c r="C39" s="7"/>
      <c r="D39" s="10" t="s">
        <v>188</v>
      </c>
      <c r="E39" s="1" t="s">
        <v>113</v>
      </c>
      <c r="F39" s="268" t="s">
        <v>111</v>
      </c>
      <c r="G39" s="4" t="s">
        <v>118</v>
      </c>
      <c r="H39" s="4" t="s">
        <v>69</v>
      </c>
      <c r="I39" s="4" t="s">
        <v>442</v>
      </c>
      <c r="J39" s="274">
        <v>225</v>
      </c>
    </row>
    <row r="40" spans="1:10" ht="16.8" x14ac:dyDescent="0.3">
      <c r="A40" s="365" t="s">
        <v>340</v>
      </c>
      <c r="B40" s="661">
        <v>1</v>
      </c>
      <c r="C40" s="7"/>
      <c r="D40" s="10" t="s">
        <v>175</v>
      </c>
      <c r="E40" s="5" t="s">
        <v>114</v>
      </c>
      <c r="F40" s="5" t="s">
        <v>111</v>
      </c>
      <c r="G40" s="4" t="s">
        <v>66</v>
      </c>
      <c r="H40" s="4" t="s">
        <v>72</v>
      </c>
      <c r="I40" s="4" t="s">
        <v>369</v>
      </c>
      <c r="J40" s="274">
        <v>77</v>
      </c>
    </row>
    <row r="41" spans="1:10" ht="16.8" x14ac:dyDescent="0.3">
      <c r="A41" s="365" t="s">
        <v>94</v>
      </c>
      <c r="B41" s="661">
        <v>1</v>
      </c>
      <c r="C41" s="7"/>
      <c r="D41" s="10" t="s">
        <v>65</v>
      </c>
      <c r="E41" s="1" t="s">
        <v>110</v>
      </c>
      <c r="F41" s="268" t="s">
        <v>111</v>
      </c>
      <c r="G41" s="4" t="s">
        <v>66</v>
      </c>
      <c r="H41" s="4" t="s">
        <v>95</v>
      </c>
      <c r="I41" s="4" t="s">
        <v>442</v>
      </c>
      <c r="J41" s="274">
        <v>226</v>
      </c>
    </row>
    <row r="42" spans="1:10" ht="16.8" x14ac:dyDescent="0.3">
      <c r="A42" s="365" t="s">
        <v>186</v>
      </c>
      <c r="B42" s="661">
        <v>1</v>
      </c>
      <c r="C42" s="7"/>
      <c r="D42" s="10" t="s">
        <v>65</v>
      </c>
      <c r="E42" s="1" t="s">
        <v>110</v>
      </c>
      <c r="F42" s="268" t="s">
        <v>111</v>
      </c>
      <c r="G42" s="4" t="s">
        <v>71</v>
      </c>
      <c r="H42" s="4" t="s">
        <v>69</v>
      </c>
      <c r="I42" s="4" t="s">
        <v>442</v>
      </c>
      <c r="J42" s="544">
        <v>227</v>
      </c>
    </row>
    <row r="43" spans="1:10" ht="16.8" x14ac:dyDescent="0.3">
      <c r="A43" s="365" t="s">
        <v>507</v>
      </c>
      <c r="B43" s="661">
        <v>1</v>
      </c>
      <c r="C43" s="7"/>
      <c r="D43" s="10" t="s">
        <v>73</v>
      </c>
      <c r="E43" s="1" t="s">
        <v>134</v>
      </c>
      <c r="F43" s="268" t="s">
        <v>67</v>
      </c>
      <c r="G43" s="4" t="s">
        <v>66</v>
      </c>
      <c r="H43" s="4" t="s">
        <v>148</v>
      </c>
      <c r="I43" s="4" t="s">
        <v>486</v>
      </c>
      <c r="J43" s="274">
        <v>93</v>
      </c>
    </row>
    <row r="44" spans="1:10" ht="16.8" x14ac:dyDescent="0.3">
      <c r="A44" s="365" t="s">
        <v>508</v>
      </c>
      <c r="B44" s="661">
        <v>1</v>
      </c>
      <c r="C44" s="7"/>
      <c r="D44" s="10" t="s">
        <v>65</v>
      </c>
      <c r="E44" s="1" t="s">
        <v>509</v>
      </c>
      <c r="F44" s="4" t="s">
        <v>111</v>
      </c>
      <c r="G44" s="4" t="s">
        <v>90</v>
      </c>
      <c r="H44" s="4" t="s">
        <v>112</v>
      </c>
      <c r="I44" s="4" t="s">
        <v>449</v>
      </c>
      <c r="J44" s="274">
        <v>99</v>
      </c>
    </row>
    <row r="45" spans="1:10" ht="16.8" x14ac:dyDescent="0.3">
      <c r="A45" s="365" t="s">
        <v>510</v>
      </c>
      <c r="B45" s="661">
        <v>1</v>
      </c>
      <c r="C45" s="7"/>
      <c r="D45" s="10" t="s">
        <v>92</v>
      </c>
      <c r="E45" s="271" t="s">
        <v>461</v>
      </c>
      <c r="F45" s="268" t="s">
        <v>440</v>
      </c>
      <c r="G45" s="273" t="s">
        <v>71</v>
      </c>
      <c r="H45" s="4" t="s">
        <v>137</v>
      </c>
      <c r="I45" s="4" t="s">
        <v>511</v>
      </c>
      <c r="J45" s="274">
        <v>150</v>
      </c>
    </row>
    <row r="46" spans="1:10" ht="16.8" x14ac:dyDescent="0.3">
      <c r="A46" s="365" t="s">
        <v>512</v>
      </c>
      <c r="B46" s="661">
        <v>1</v>
      </c>
      <c r="C46" s="7"/>
      <c r="D46" s="10" t="s">
        <v>75</v>
      </c>
      <c r="E46" s="1" t="s">
        <v>110</v>
      </c>
      <c r="F46" s="4" t="s">
        <v>111</v>
      </c>
      <c r="G46" s="4" t="s">
        <v>99</v>
      </c>
      <c r="H46" s="4" t="s">
        <v>69</v>
      </c>
      <c r="I46" s="4" t="s">
        <v>369</v>
      </c>
      <c r="J46" s="274">
        <v>108</v>
      </c>
    </row>
    <row r="47" spans="1:10" ht="16.8" x14ac:dyDescent="0.3">
      <c r="A47" s="365" t="s">
        <v>513</v>
      </c>
      <c r="B47" s="661">
        <v>1</v>
      </c>
      <c r="C47" s="7"/>
      <c r="D47" s="10" t="s">
        <v>73</v>
      </c>
      <c r="E47" s="1" t="s">
        <v>110</v>
      </c>
      <c r="F47" s="268" t="s">
        <v>136</v>
      </c>
      <c r="G47" s="4" t="s">
        <v>90</v>
      </c>
      <c r="H47" s="4" t="s">
        <v>95</v>
      </c>
      <c r="I47" s="4" t="s">
        <v>511</v>
      </c>
      <c r="J47" s="274">
        <v>151</v>
      </c>
    </row>
    <row r="48" spans="1:10" ht="16.8" x14ac:dyDescent="0.3">
      <c r="A48" s="365" t="s">
        <v>514</v>
      </c>
      <c r="B48" s="661">
        <v>1</v>
      </c>
      <c r="C48" s="7"/>
      <c r="D48" s="10" t="s">
        <v>188</v>
      </c>
      <c r="E48" s="1" t="s">
        <v>113</v>
      </c>
      <c r="F48" s="268" t="s">
        <v>111</v>
      </c>
      <c r="G48" s="4" t="s">
        <v>90</v>
      </c>
      <c r="H48" s="4" t="s">
        <v>137</v>
      </c>
      <c r="I48" s="4" t="s">
        <v>486</v>
      </c>
      <c r="J48" s="274">
        <v>97</v>
      </c>
    </row>
    <row r="49" spans="1:10" ht="16.8" x14ac:dyDescent="0.3">
      <c r="A49" s="365" t="s">
        <v>515</v>
      </c>
      <c r="B49" s="661">
        <v>1</v>
      </c>
      <c r="C49" s="7"/>
      <c r="D49" s="8" t="s">
        <v>65</v>
      </c>
      <c r="E49" s="5" t="s">
        <v>113</v>
      </c>
      <c r="F49" s="9" t="s">
        <v>111</v>
      </c>
      <c r="G49" s="9" t="s">
        <v>66</v>
      </c>
      <c r="H49" s="9" t="s">
        <v>72</v>
      </c>
      <c r="I49" s="4" t="s">
        <v>442</v>
      </c>
      <c r="J49" s="663">
        <v>241</v>
      </c>
    </row>
    <row r="50" spans="1:10" ht="16.8" x14ac:dyDescent="0.3">
      <c r="A50" s="365" t="s">
        <v>187</v>
      </c>
      <c r="B50" s="661">
        <v>1</v>
      </c>
      <c r="C50" s="7"/>
      <c r="D50" s="10" t="s">
        <v>188</v>
      </c>
      <c r="E50" s="1" t="s">
        <v>113</v>
      </c>
      <c r="F50" s="268" t="s">
        <v>111</v>
      </c>
      <c r="G50" s="4" t="s">
        <v>118</v>
      </c>
      <c r="H50" s="4" t="s">
        <v>74</v>
      </c>
      <c r="I50" s="4" t="s">
        <v>444</v>
      </c>
      <c r="J50" s="274">
        <v>122</v>
      </c>
    </row>
    <row r="51" spans="1:10" ht="16.8" x14ac:dyDescent="0.3">
      <c r="A51" s="365" t="s">
        <v>516</v>
      </c>
      <c r="B51" s="661">
        <v>1</v>
      </c>
      <c r="C51" s="7"/>
      <c r="D51" s="8" t="s">
        <v>174</v>
      </c>
      <c r="E51" s="1" t="s">
        <v>110</v>
      </c>
      <c r="F51" s="9" t="s">
        <v>111</v>
      </c>
      <c r="G51" s="4" t="s">
        <v>66</v>
      </c>
      <c r="H51" s="9" t="s">
        <v>485</v>
      </c>
      <c r="I51" s="4" t="s">
        <v>442</v>
      </c>
      <c r="J51" s="274">
        <v>244</v>
      </c>
    </row>
    <row r="52" spans="1:10" ht="16.8" x14ac:dyDescent="0.3">
      <c r="A52" s="365" t="s">
        <v>517</v>
      </c>
      <c r="B52" s="661">
        <v>1</v>
      </c>
      <c r="C52" s="7"/>
      <c r="D52" s="10" t="s">
        <v>65</v>
      </c>
      <c r="E52" s="1" t="s">
        <v>114</v>
      </c>
      <c r="F52" s="268" t="s">
        <v>111</v>
      </c>
      <c r="G52" s="4" t="s">
        <v>66</v>
      </c>
      <c r="H52" s="9" t="s">
        <v>72</v>
      </c>
      <c r="I52" s="9" t="s">
        <v>369</v>
      </c>
      <c r="J52" s="274">
        <v>126</v>
      </c>
    </row>
    <row r="53" spans="1:10" ht="16.8" x14ac:dyDescent="0.3">
      <c r="A53" s="365" t="s">
        <v>518</v>
      </c>
      <c r="B53" s="661">
        <v>1</v>
      </c>
      <c r="C53" s="7"/>
      <c r="D53" s="10" t="s">
        <v>75</v>
      </c>
      <c r="E53" s="1" t="s">
        <v>110</v>
      </c>
      <c r="F53" s="268" t="s">
        <v>111</v>
      </c>
      <c r="G53" s="9" t="s">
        <v>118</v>
      </c>
      <c r="H53" s="4" t="s">
        <v>72</v>
      </c>
      <c r="I53" s="4" t="s">
        <v>446</v>
      </c>
      <c r="J53" s="274">
        <v>100</v>
      </c>
    </row>
    <row r="54" spans="1:10" ht="16.8" x14ac:dyDescent="0.3">
      <c r="A54" s="365" t="s">
        <v>100</v>
      </c>
      <c r="B54" s="661">
        <v>1</v>
      </c>
      <c r="C54" s="7"/>
      <c r="D54" s="10" t="s">
        <v>175</v>
      </c>
      <c r="E54" s="1" t="s">
        <v>114</v>
      </c>
      <c r="F54" s="268" t="s">
        <v>111</v>
      </c>
      <c r="G54" s="4" t="s">
        <v>71</v>
      </c>
      <c r="H54" s="4" t="s">
        <v>112</v>
      </c>
      <c r="I54" s="4" t="s">
        <v>442</v>
      </c>
      <c r="J54" s="274">
        <v>249</v>
      </c>
    </row>
    <row r="55" spans="1:10" ht="16.8" x14ac:dyDescent="0.3">
      <c r="A55" s="365" t="s">
        <v>519</v>
      </c>
      <c r="B55" s="661">
        <v>1</v>
      </c>
      <c r="C55" s="7"/>
      <c r="D55" s="10" t="s">
        <v>175</v>
      </c>
      <c r="E55" s="1" t="s">
        <v>113</v>
      </c>
      <c r="F55" s="268" t="s">
        <v>111</v>
      </c>
      <c r="G55" s="4" t="s">
        <v>66</v>
      </c>
      <c r="H55" s="4" t="s">
        <v>520</v>
      </c>
      <c r="I55" s="4" t="s">
        <v>442</v>
      </c>
      <c r="J55" s="274">
        <v>251</v>
      </c>
    </row>
    <row r="56" spans="1:10" ht="16.8" x14ac:dyDescent="0.3">
      <c r="A56" s="365" t="s">
        <v>189</v>
      </c>
      <c r="B56" s="661">
        <v>1</v>
      </c>
      <c r="C56" s="10" t="s">
        <v>277</v>
      </c>
      <c r="D56" s="10" t="s">
        <v>175</v>
      </c>
      <c r="E56" s="1" t="s">
        <v>190</v>
      </c>
      <c r="F56" s="268" t="s">
        <v>111</v>
      </c>
      <c r="G56" s="4" t="s">
        <v>66</v>
      </c>
      <c r="H56" s="4" t="s">
        <v>69</v>
      </c>
      <c r="I56" s="4" t="s">
        <v>442</v>
      </c>
      <c r="J56" s="275">
        <v>251</v>
      </c>
    </row>
    <row r="57" spans="1:10" ht="16.8" x14ac:dyDescent="0.3">
      <c r="A57" s="365" t="s">
        <v>361</v>
      </c>
      <c r="B57" s="661">
        <v>1</v>
      </c>
      <c r="C57" s="7"/>
      <c r="D57" s="10" t="s">
        <v>65</v>
      </c>
      <c r="E57" s="5" t="s">
        <v>110</v>
      </c>
      <c r="F57" s="9" t="s">
        <v>111</v>
      </c>
      <c r="G57" s="4" t="s">
        <v>71</v>
      </c>
      <c r="H57" s="4" t="s">
        <v>69</v>
      </c>
      <c r="I57" s="4" t="s">
        <v>369</v>
      </c>
      <c r="J57" s="667">
        <v>148</v>
      </c>
    </row>
    <row r="58" spans="1:10" ht="16.8" x14ac:dyDescent="0.3">
      <c r="A58" s="365" t="s">
        <v>521</v>
      </c>
      <c r="B58" s="661">
        <v>1</v>
      </c>
      <c r="C58" s="7"/>
      <c r="D58" s="10" t="s">
        <v>75</v>
      </c>
      <c r="E58" s="1" t="s">
        <v>113</v>
      </c>
      <c r="F58" s="268" t="s">
        <v>111</v>
      </c>
      <c r="G58" s="4" t="s">
        <v>71</v>
      </c>
      <c r="H58" s="4" t="s">
        <v>69</v>
      </c>
      <c r="I58" s="4" t="s">
        <v>522</v>
      </c>
      <c r="J58" s="274">
        <v>170</v>
      </c>
    </row>
    <row r="59" spans="1:10" ht="16.8" x14ac:dyDescent="0.3">
      <c r="A59" s="365" t="s">
        <v>96</v>
      </c>
      <c r="B59" s="661">
        <v>1</v>
      </c>
      <c r="C59" s="7"/>
      <c r="D59" s="10" t="s">
        <v>73</v>
      </c>
      <c r="E59" s="1" t="s">
        <v>110</v>
      </c>
      <c r="F59" s="268" t="s">
        <v>111</v>
      </c>
      <c r="G59" s="4" t="s">
        <v>98</v>
      </c>
      <c r="H59" s="4" t="s">
        <v>69</v>
      </c>
      <c r="I59" s="4" t="s">
        <v>442</v>
      </c>
      <c r="J59" s="274">
        <v>258</v>
      </c>
    </row>
    <row r="60" spans="1:10" ht="16.8" x14ac:dyDescent="0.3">
      <c r="A60" s="365" t="s">
        <v>523</v>
      </c>
      <c r="B60" s="661">
        <v>1</v>
      </c>
      <c r="C60" s="7"/>
      <c r="D60" s="10" t="s">
        <v>92</v>
      </c>
      <c r="E60" s="1" t="s">
        <v>524</v>
      </c>
      <c r="F60" s="268" t="s">
        <v>133</v>
      </c>
      <c r="G60" s="4" t="s">
        <v>71</v>
      </c>
      <c r="H60" s="4" t="s">
        <v>70</v>
      </c>
      <c r="I60" s="4" t="s">
        <v>522</v>
      </c>
      <c r="J60" s="274">
        <v>171</v>
      </c>
    </row>
    <row r="61" spans="1:10" ht="16.8" x14ac:dyDescent="0.3">
      <c r="A61" s="365" t="s">
        <v>657</v>
      </c>
      <c r="B61" s="661">
        <v>1</v>
      </c>
      <c r="C61" s="10" t="s">
        <v>279</v>
      </c>
      <c r="D61" s="10" t="s">
        <v>65</v>
      </c>
      <c r="E61" s="1" t="s">
        <v>116</v>
      </c>
      <c r="F61" s="268" t="s">
        <v>111</v>
      </c>
      <c r="G61" s="4" t="s">
        <v>66</v>
      </c>
      <c r="H61" s="4" t="s">
        <v>69</v>
      </c>
      <c r="I61" s="4" t="s">
        <v>442</v>
      </c>
      <c r="J61" s="544">
        <v>266</v>
      </c>
    </row>
    <row r="62" spans="1:10" ht="16.8" x14ac:dyDescent="0.3">
      <c r="A62" s="365" t="s">
        <v>525</v>
      </c>
      <c r="B62" s="661">
        <v>1</v>
      </c>
      <c r="C62" s="7"/>
      <c r="D62" s="10" t="s">
        <v>65</v>
      </c>
      <c r="E62" s="1" t="s">
        <v>110</v>
      </c>
      <c r="F62" s="268" t="s">
        <v>111</v>
      </c>
      <c r="G62" s="4" t="s">
        <v>90</v>
      </c>
      <c r="H62" s="4" t="s">
        <v>72</v>
      </c>
      <c r="I62" s="4" t="s">
        <v>442</v>
      </c>
      <c r="J62" s="274">
        <v>271</v>
      </c>
    </row>
    <row r="63" spans="1:10" ht="16.8" x14ac:dyDescent="0.3">
      <c r="A63" s="365" t="s">
        <v>526</v>
      </c>
      <c r="B63" s="661">
        <v>1</v>
      </c>
      <c r="C63" s="7"/>
      <c r="D63" s="272" t="s">
        <v>65</v>
      </c>
      <c r="E63" s="271" t="s">
        <v>113</v>
      </c>
      <c r="F63" s="268" t="s">
        <v>111</v>
      </c>
      <c r="G63" s="273" t="s">
        <v>66</v>
      </c>
      <c r="H63" s="273" t="s">
        <v>72</v>
      </c>
      <c r="I63" s="273" t="s">
        <v>446</v>
      </c>
      <c r="J63" s="274">
        <v>104</v>
      </c>
    </row>
    <row r="64" spans="1:10" ht="16.8" x14ac:dyDescent="0.3">
      <c r="A64" s="365" t="s">
        <v>527</v>
      </c>
      <c r="B64" s="661">
        <v>1</v>
      </c>
      <c r="C64" s="7"/>
      <c r="D64" s="10" t="s">
        <v>188</v>
      </c>
      <c r="E64" s="1" t="s">
        <v>114</v>
      </c>
      <c r="F64" s="268" t="s">
        <v>111</v>
      </c>
      <c r="G64" s="4" t="s">
        <v>71</v>
      </c>
      <c r="H64" s="4" t="s">
        <v>69</v>
      </c>
      <c r="I64" s="4" t="s">
        <v>486</v>
      </c>
      <c r="J64" s="274">
        <v>103</v>
      </c>
    </row>
    <row r="65" spans="1:10" ht="16.8" x14ac:dyDescent="0.3">
      <c r="A65" s="365" t="s">
        <v>191</v>
      </c>
      <c r="B65" s="661">
        <v>1</v>
      </c>
      <c r="C65" s="7"/>
      <c r="D65" s="10" t="s">
        <v>65</v>
      </c>
      <c r="E65" s="1" t="s">
        <v>113</v>
      </c>
      <c r="F65" s="268" t="s">
        <v>111</v>
      </c>
      <c r="G65" s="4" t="s">
        <v>66</v>
      </c>
      <c r="H65" s="4" t="s">
        <v>74</v>
      </c>
      <c r="I65" s="4" t="s">
        <v>442</v>
      </c>
      <c r="J65" s="274">
        <v>274</v>
      </c>
    </row>
    <row r="66" spans="1:10" ht="16.8" x14ac:dyDescent="0.3">
      <c r="A66" s="365" t="s">
        <v>172</v>
      </c>
      <c r="B66" s="661">
        <v>1</v>
      </c>
      <c r="C66" s="7"/>
      <c r="D66" s="10" t="s">
        <v>65</v>
      </c>
      <c r="E66" s="1" t="s">
        <v>114</v>
      </c>
      <c r="F66" s="268" t="s">
        <v>111</v>
      </c>
      <c r="G66" s="4" t="s">
        <v>66</v>
      </c>
      <c r="H66" s="4" t="s">
        <v>69</v>
      </c>
      <c r="I66" s="4" t="s">
        <v>442</v>
      </c>
      <c r="J66" s="544">
        <v>278</v>
      </c>
    </row>
    <row r="67" spans="1:10" ht="16.8" x14ac:dyDescent="0.3">
      <c r="A67" s="365" t="s">
        <v>528</v>
      </c>
      <c r="B67" s="661">
        <v>1</v>
      </c>
      <c r="C67" s="7"/>
      <c r="D67" s="10" t="s">
        <v>174</v>
      </c>
      <c r="E67" s="1" t="s">
        <v>529</v>
      </c>
      <c r="F67" s="268" t="s">
        <v>136</v>
      </c>
      <c r="G67" s="4" t="s">
        <v>66</v>
      </c>
      <c r="H67" s="4" t="s">
        <v>148</v>
      </c>
      <c r="I67" s="4" t="s">
        <v>486</v>
      </c>
      <c r="J67" s="274">
        <v>103</v>
      </c>
    </row>
    <row r="68" spans="1:10" ht="16.8" x14ac:dyDescent="0.3">
      <c r="A68" s="365" t="s">
        <v>530</v>
      </c>
      <c r="B68" s="661">
        <v>1</v>
      </c>
      <c r="C68" s="7"/>
      <c r="D68" s="10" t="s">
        <v>188</v>
      </c>
      <c r="E68" s="1" t="s">
        <v>114</v>
      </c>
      <c r="F68" s="268" t="s">
        <v>111</v>
      </c>
      <c r="G68" s="4" t="s">
        <v>90</v>
      </c>
      <c r="H68" s="4" t="s">
        <v>74</v>
      </c>
      <c r="I68" s="4" t="s">
        <v>486</v>
      </c>
      <c r="J68" s="274">
        <v>104</v>
      </c>
    </row>
    <row r="69" spans="1:10" ht="16.8" x14ac:dyDescent="0.3">
      <c r="A69" s="365" t="s">
        <v>531</v>
      </c>
      <c r="B69" s="661">
        <v>1</v>
      </c>
      <c r="C69" s="7"/>
      <c r="D69" s="10" t="s">
        <v>175</v>
      </c>
      <c r="E69" s="5" t="s">
        <v>110</v>
      </c>
      <c r="F69" s="9" t="s">
        <v>111</v>
      </c>
      <c r="G69" s="9" t="s">
        <v>71</v>
      </c>
      <c r="H69" s="9" t="s">
        <v>74</v>
      </c>
      <c r="I69" s="9" t="s">
        <v>369</v>
      </c>
      <c r="J69" s="274">
        <v>198</v>
      </c>
    </row>
    <row r="70" spans="1:10" ht="16.8" x14ac:dyDescent="0.3">
      <c r="A70" s="365" t="s">
        <v>532</v>
      </c>
      <c r="B70" s="661">
        <v>1</v>
      </c>
      <c r="C70" s="7"/>
      <c r="D70" s="10" t="s">
        <v>175</v>
      </c>
      <c r="E70" s="1" t="s">
        <v>110</v>
      </c>
      <c r="F70" s="268" t="s">
        <v>111</v>
      </c>
      <c r="G70" s="4" t="s">
        <v>71</v>
      </c>
      <c r="H70" s="4" t="s">
        <v>69</v>
      </c>
      <c r="I70" s="4" t="s">
        <v>486</v>
      </c>
      <c r="J70" s="274">
        <v>104</v>
      </c>
    </row>
    <row r="71" spans="1:10" ht="16.8" x14ac:dyDescent="0.3">
      <c r="A71" s="365" t="s">
        <v>533</v>
      </c>
      <c r="B71" s="661">
        <v>1</v>
      </c>
      <c r="C71" s="7"/>
      <c r="D71" s="10" t="s">
        <v>188</v>
      </c>
      <c r="E71" s="1" t="s">
        <v>534</v>
      </c>
      <c r="F71" s="268" t="s">
        <v>111</v>
      </c>
      <c r="G71" s="4" t="s">
        <v>66</v>
      </c>
      <c r="H71" s="4" t="s">
        <v>112</v>
      </c>
      <c r="I71" s="4" t="s">
        <v>486</v>
      </c>
      <c r="J71" s="274">
        <v>106</v>
      </c>
    </row>
    <row r="72" spans="1:10" ht="16.8" x14ac:dyDescent="0.3">
      <c r="A72" s="365" t="s">
        <v>192</v>
      </c>
      <c r="B72" s="661">
        <v>1</v>
      </c>
      <c r="C72" s="7"/>
      <c r="D72" s="10" t="s">
        <v>73</v>
      </c>
      <c r="E72" s="1" t="s">
        <v>116</v>
      </c>
      <c r="F72" s="268" t="s">
        <v>133</v>
      </c>
      <c r="G72" s="4" t="s">
        <v>90</v>
      </c>
      <c r="H72" s="4" t="s">
        <v>74</v>
      </c>
      <c r="I72" s="4" t="s">
        <v>442</v>
      </c>
      <c r="J72" s="275">
        <v>285</v>
      </c>
    </row>
    <row r="73" spans="1:10" ht="16.8" x14ac:dyDescent="0.3">
      <c r="A73" s="365" t="s">
        <v>535</v>
      </c>
      <c r="B73" s="661">
        <v>1</v>
      </c>
      <c r="C73" s="7"/>
      <c r="D73" s="10" t="s">
        <v>73</v>
      </c>
      <c r="E73" s="1" t="s">
        <v>116</v>
      </c>
      <c r="F73" s="268" t="s">
        <v>133</v>
      </c>
      <c r="G73" s="4" t="s">
        <v>90</v>
      </c>
      <c r="H73" s="4" t="s">
        <v>74</v>
      </c>
      <c r="I73" s="4" t="s">
        <v>459</v>
      </c>
      <c r="J73" s="275">
        <v>71</v>
      </c>
    </row>
    <row r="74" spans="1:10" ht="16.8" x14ac:dyDescent="0.3">
      <c r="A74" s="365" t="s">
        <v>536</v>
      </c>
      <c r="B74" s="661">
        <v>1</v>
      </c>
      <c r="C74" s="7"/>
      <c r="D74" s="10" t="s">
        <v>65</v>
      </c>
      <c r="E74" s="1" t="s">
        <v>114</v>
      </c>
      <c r="F74" s="268" t="s">
        <v>111</v>
      </c>
      <c r="G74" s="4" t="s">
        <v>66</v>
      </c>
      <c r="H74" s="4" t="s">
        <v>95</v>
      </c>
      <c r="I74" s="4" t="s">
        <v>486</v>
      </c>
      <c r="J74" s="274">
        <v>106</v>
      </c>
    </row>
    <row r="75" spans="1:10" ht="16.8" x14ac:dyDescent="0.3">
      <c r="A75" s="365" t="s">
        <v>537</v>
      </c>
      <c r="B75" s="661">
        <v>1</v>
      </c>
      <c r="C75" s="7"/>
      <c r="D75" s="10" t="s">
        <v>65</v>
      </c>
      <c r="E75" s="1" t="s">
        <v>538</v>
      </c>
      <c r="F75" s="4" t="s">
        <v>111</v>
      </c>
      <c r="G75" s="4" t="s">
        <v>66</v>
      </c>
      <c r="H75" s="4" t="s">
        <v>69</v>
      </c>
      <c r="I75" s="4" t="s">
        <v>449</v>
      </c>
      <c r="J75" s="274">
        <v>110</v>
      </c>
    </row>
    <row r="76" spans="1:10" ht="16.8" x14ac:dyDescent="0.3">
      <c r="A76" s="365" t="s">
        <v>539</v>
      </c>
      <c r="B76" s="661">
        <v>1</v>
      </c>
      <c r="C76" s="7"/>
      <c r="D76" s="10" t="s">
        <v>73</v>
      </c>
      <c r="E76" s="1" t="s">
        <v>110</v>
      </c>
      <c r="F76" s="268" t="s">
        <v>111</v>
      </c>
      <c r="G76" s="4" t="s">
        <v>66</v>
      </c>
      <c r="H76" s="4" t="s">
        <v>124</v>
      </c>
      <c r="I76" s="4" t="s">
        <v>522</v>
      </c>
      <c r="J76" s="274">
        <v>186</v>
      </c>
    </row>
    <row r="77" spans="1:10" ht="16.8" x14ac:dyDescent="0.3">
      <c r="A77" s="366" t="s">
        <v>540</v>
      </c>
      <c r="B77" s="664">
        <v>1</v>
      </c>
      <c r="C77" s="77"/>
      <c r="D77" s="78" t="s">
        <v>188</v>
      </c>
      <c r="E77" s="6" t="s">
        <v>135</v>
      </c>
      <c r="F77" s="11" t="s">
        <v>111</v>
      </c>
      <c r="G77" s="276" t="s">
        <v>90</v>
      </c>
      <c r="H77" s="11" t="s">
        <v>137</v>
      </c>
      <c r="I77" s="11" t="s">
        <v>449</v>
      </c>
      <c r="J77" s="665">
        <v>111</v>
      </c>
    </row>
    <row r="78" spans="1:10" ht="16.8" x14ac:dyDescent="0.3">
      <c r="A78" s="365" t="s">
        <v>541</v>
      </c>
      <c r="B78" s="661">
        <v>2</v>
      </c>
      <c r="C78" s="7"/>
      <c r="D78" s="10" t="s">
        <v>188</v>
      </c>
      <c r="E78" s="1" t="s">
        <v>542</v>
      </c>
      <c r="F78" s="268" t="s">
        <v>111</v>
      </c>
      <c r="G78" s="4" t="s">
        <v>66</v>
      </c>
      <c r="H78" s="4" t="s">
        <v>70</v>
      </c>
      <c r="I78" s="4" t="s">
        <v>486</v>
      </c>
      <c r="J78" s="274">
        <v>84</v>
      </c>
    </row>
    <row r="79" spans="1:10" ht="16.8" x14ac:dyDescent="0.3">
      <c r="A79" s="365" t="s">
        <v>171</v>
      </c>
      <c r="B79" s="661">
        <v>2</v>
      </c>
      <c r="C79" s="10" t="s">
        <v>279</v>
      </c>
      <c r="D79" s="10" t="s">
        <v>188</v>
      </c>
      <c r="E79" s="1" t="s">
        <v>113</v>
      </c>
      <c r="F79" s="268" t="s">
        <v>111</v>
      </c>
      <c r="G79" s="4" t="s">
        <v>66</v>
      </c>
      <c r="H79" s="4" t="s">
        <v>69</v>
      </c>
      <c r="I79" s="4" t="s">
        <v>442</v>
      </c>
      <c r="J79" s="544">
        <v>196</v>
      </c>
    </row>
    <row r="80" spans="1:10" ht="16.8" x14ac:dyDescent="0.3">
      <c r="A80" s="365" t="s">
        <v>543</v>
      </c>
      <c r="B80" s="661">
        <v>2</v>
      </c>
      <c r="C80" s="7"/>
      <c r="D80" s="10" t="s">
        <v>175</v>
      </c>
      <c r="E80" s="1" t="s">
        <v>113</v>
      </c>
      <c r="F80" s="268" t="s">
        <v>111</v>
      </c>
      <c r="G80" s="273" t="s">
        <v>66</v>
      </c>
      <c r="H80" s="4" t="s">
        <v>69</v>
      </c>
      <c r="I80" s="4" t="s">
        <v>442</v>
      </c>
      <c r="J80" s="274">
        <v>197</v>
      </c>
    </row>
    <row r="81" spans="1:10" ht="16.8" x14ac:dyDescent="0.3">
      <c r="A81" s="365" t="s">
        <v>193</v>
      </c>
      <c r="B81" s="661">
        <v>2</v>
      </c>
      <c r="C81" s="7"/>
      <c r="D81" s="10" t="s">
        <v>92</v>
      </c>
      <c r="E81" s="1" t="s">
        <v>114</v>
      </c>
      <c r="F81" s="268" t="s">
        <v>67</v>
      </c>
      <c r="G81" s="273" t="s">
        <v>80</v>
      </c>
      <c r="H81" s="4" t="s">
        <v>74</v>
      </c>
      <c r="I81" s="4" t="s">
        <v>544</v>
      </c>
      <c r="J81" s="274">
        <v>33</v>
      </c>
    </row>
    <row r="82" spans="1:10" ht="16.8" x14ac:dyDescent="0.3">
      <c r="A82" s="365" t="s">
        <v>545</v>
      </c>
      <c r="B82" s="661">
        <v>2</v>
      </c>
      <c r="C82" s="10" t="s">
        <v>275</v>
      </c>
      <c r="D82" s="10" t="s">
        <v>545</v>
      </c>
      <c r="E82" s="1" t="s">
        <v>134</v>
      </c>
      <c r="F82" s="268" t="s">
        <v>111</v>
      </c>
      <c r="G82" s="4" t="s">
        <v>71</v>
      </c>
      <c r="H82" s="4" t="s">
        <v>70</v>
      </c>
      <c r="I82" s="4" t="s">
        <v>442</v>
      </c>
      <c r="J82" s="274">
        <v>202</v>
      </c>
    </row>
    <row r="83" spans="1:10" ht="16.8" x14ac:dyDescent="0.3">
      <c r="A83" s="365" t="s">
        <v>546</v>
      </c>
      <c r="B83" s="661">
        <v>2</v>
      </c>
      <c r="C83" s="7"/>
      <c r="D83" s="10" t="s">
        <v>65</v>
      </c>
      <c r="E83" s="1" t="s">
        <v>135</v>
      </c>
      <c r="F83" s="4" t="s">
        <v>111</v>
      </c>
      <c r="G83" s="4" t="s">
        <v>322</v>
      </c>
      <c r="H83" s="4" t="s">
        <v>69</v>
      </c>
      <c r="I83" s="4" t="s">
        <v>446</v>
      </c>
      <c r="J83" s="274">
        <v>94</v>
      </c>
    </row>
    <row r="84" spans="1:10" ht="16.8" x14ac:dyDescent="0.3">
      <c r="A84" s="365" t="s">
        <v>547</v>
      </c>
      <c r="B84" s="661">
        <v>2</v>
      </c>
      <c r="C84" s="7"/>
      <c r="D84" s="10" t="s">
        <v>75</v>
      </c>
      <c r="E84" s="1" t="s">
        <v>548</v>
      </c>
      <c r="F84" s="4" t="s">
        <v>111</v>
      </c>
      <c r="G84" s="4" t="s">
        <v>80</v>
      </c>
      <c r="H84" s="4" t="s">
        <v>70</v>
      </c>
      <c r="I84" s="4" t="s">
        <v>449</v>
      </c>
      <c r="J84" s="274">
        <v>91</v>
      </c>
    </row>
    <row r="85" spans="1:10" ht="16.8" x14ac:dyDescent="0.3">
      <c r="A85" s="365" t="s">
        <v>549</v>
      </c>
      <c r="B85" s="661">
        <v>2</v>
      </c>
      <c r="C85" s="7"/>
      <c r="D85" s="10" t="s">
        <v>175</v>
      </c>
      <c r="E85" s="1" t="s">
        <v>113</v>
      </c>
      <c r="F85" s="268" t="s">
        <v>111</v>
      </c>
      <c r="G85" s="4" t="s">
        <v>66</v>
      </c>
      <c r="H85" s="4" t="s">
        <v>69</v>
      </c>
      <c r="I85" s="4" t="s">
        <v>442</v>
      </c>
      <c r="J85" s="544">
        <v>203</v>
      </c>
    </row>
    <row r="86" spans="1:10" ht="16.8" x14ac:dyDescent="0.3">
      <c r="A86" s="365" t="s">
        <v>550</v>
      </c>
      <c r="B86" s="661">
        <v>2</v>
      </c>
      <c r="C86" s="7"/>
      <c r="D86" s="10" t="s">
        <v>65</v>
      </c>
      <c r="E86" s="1" t="s">
        <v>113</v>
      </c>
      <c r="F86" s="268" t="s">
        <v>133</v>
      </c>
      <c r="G86" s="4" t="s">
        <v>66</v>
      </c>
      <c r="H86" s="4" t="s">
        <v>72</v>
      </c>
      <c r="I86" s="4" t="s">
        <v>444</v>
      </c>
      <c r="J86" s="274">
        <v>116</v>
      </c>
    </row>
    <row r="87" spans="1:10" ht="16.8" x14ac:dyDescent="0.3">
      <c r="A87" s="365" t="s">
        <v>194</v>
      </c>
      <c r="B87" s="661">
        <v>2</v>
      </c>
      <c r="C87" s="7"/>
      <c r="D87" s="10" t="s">
        <v>195</v>
      </c>
      <c r="E87" s="1" t="s">
        <v>113</v>
      </c>
      <c r="F87" s="268" t="s">
        <v>111</v>
      </c>
      <c r="G87" s="4" t="s">
        <v>90</v>
      </c>
      <c r="H87" s="4" t="s">
        <v>74</v>
      </c>
      <c r="I87" s="4" t="s">
        <v>444</v>
      </c>
      <c r="J87" s="274">
        <v>116</v>
      </c>
    </row>
    <row r="88" spans="1:10" ht="16.8" x14ac:dyDescent="0.3">
      <c r="A88" s="365" t="s">
        <v>196</v>
      </c>
      <c r="B88" s="661">
        <v>2</v>
      </c>
      <c r="C88" s="7"/>
      <c r="D88" s="10" t="s">
        <v>195</v>
      </c>
      <c r="E88" s="1" t="s">
        <v>113</v>
      </c>
      <c r="F88" s="268" t="s">
        <v>111</v>
      </c>
      <c r="G88" s="4" t="s">
        <v>90</v>
      </c>
      <c r="H88" s="4" t="s">
        <v>74</v>
      </c>
      <c r="I88" s="4" t="s">
        <v>444</v>
      </c>
      <c r="J88" s="274">
        <v>117</v>
      </c>
    </row>
    <row r="89" spans="1:10" ht="16.8" x14ac:dyDescent="0.3">
      <c r="A89" s="365" t="s">
        <v>551</v>
      </c>
      <c r="B89" s="661">
        <v>2</v>
      </c>
      <c r="C89" s="7"/>
      <c r="D89" s="10" t="s">
        <v>175</v>
      </c>
      <c r="E89" s="271" t="s">
        <v>110</v>
      </c>
      <c r="F89" s="277" t="s">
        <v>111</v>
      </c>
      <c r="G89" s="273" t="s">
        <v>71</v>
      </c>
      <c r="H89" s="273" t="s">
        <v>69</v>
      </c>
      <c r="I89" s="273" t="s">
        <v>448</v>
      </c>
      <c r="J89" s="274">
        <v>82</v>
      </c>
    </row>
    <row r="90" spans="1:10" ht="16.8" x14ac:dyDescent="0.3">
      <c r="A90" s="365" t="s">
        <v>131</v>
      </c>
      <c r="B90" s="661">
        <v>2</v>
      </c>
      <c r="C90" s="7"/>
      <c r="D90" s="10" t="s">
        <v>65</v>
      </c>
      <c r="E90" s="1" t="s">
        <v>113</v>
      </c>
      <c r="F90" s="268" t="s">
        <v>111</v>
      </c>
      <c r="G90" s="4" t="s">
        <v>66</v>
      </c>
      <c r="H90" s="4" t="s">
        <v>69</v>
      </c>
      <c r="I90" s="4" t="s">
        <v>444</v>
      </c>
      <c r="J90" s="274">
        <v>117</v>
      </c>
    </row>
    <row r="91" spans="1:10" ht="16.8" x14ac:dyDescent="0.3">
      <c r="A91" s="365" t="s">
        <v>552</v>
      </c>
      <c r="B91" s="661">
        <v>2</v>
      </c>
      <c r="C91" s="7"/>
      <c r="D91" s="10" t="s">
        <v>174</v>
      </c>
      <c r="E91" s="1" t="s">
        <v>110</v>
      </c>
      <c r="F91" s="268" t="s">
        <v>111</v>
      </c>
      <c r="G91" s="4" t="s">
        <v>66</v>
      </c>
      <c r="H91" s="4" t="s">
        <v>70</v>
      </c>
      <c r="I91" s="4" t="s">
        <v>486</v>
      </c>
      <c r="J91" s="274">
        <v>86</v>
      </c>
    </row>
    <row r="92" spans="1:10" ht="16.8" x14ac:dyDescent="0.3">
      <c r="A92" s="365" t="s">
        <v>553</v>
      </c>
      <c r="B92" s="661">
        <v>2</v>
      </c>
      <c r="C92" s="7"/>
      <c r="D92" s="10" t="s">
        <v>175</v>
      </c>
      <c r="E92" s="1" t="s">
        <v>114</v>
      </c>
      <c r="F92" s="268" t="s">
        <v>111</v>
      </c>
      <c r="G92" s="4" t="s">
        <v>66</v>
      </c>
      <c r="H92" s="4" t="s">
        <v>74</v>
      </c>
      <c r="I92" s="4" t="s">
        <v>522</v>
      </c>
      <c r="J92" s="274">
        <v>156</v>
      </c>
    </row>
    <row r="93" spans="1:10" ht="16.8" x14ac:dyDescent="0.3">
      <c r="A93" s="365" t="s">
        <v>115</v>
      </c>
      <c r="B93" s="661">
        <v>2</v>
      </c>
      <c r="C93" s="7"/>
      <c r="D93" s="10" t="s">
        <v>175</v>
      </c>
      <c r="E93" s="1" t="s">
        <v>116</v>
      </c>
      <c r="F93" s="268" t="s">
        <v>111</v>
      </c>
      <c r="G93" s="4" t="s">
        <v>66</v>
      </c>
      <c r="H93" s="4" t="s">
        <v>69</v>
      </c>
      <c r="I93" s="4" t="s">
        <v>442</v>
      </c>
      <c r="J93" s="274">
        <v>207</v>
      </c>
    </row>
    <row r="94" spans="1:10" ht="16.8" x14ac:dyDescent="0.3">
      <c r="A94" s="365" t="s">
        <v>197</v>
      </c>
      <c r="B94" s="661">
        <v>2</v>
      </c>
      <c r="C94" s="7"/>
      <c r="D94" s="10" t="s">
        <v>188</v>
      </c>
      <c r="E94" s="1" t="s">
        <v>113</v>
      </c>
      <c r="F94" s="268" t="s">
        <v>111</v>
      </c>
      <c r="G94" s="4" t="s">
        <v>118</v>
      </c>
      <c r="H94" s="4" t="s">
        <v>74</v>
      </c>
      <c r="I94" s="4" t="s">
        <v>442</v>
      </c>
      <c r="J94" s="274">
        <v>207</v>
      </c>
    </row>
    <row r="95" spans="1:10" ht="16.8" x14ac:dyDescent="0.3">
      <c r="A95" s="365" t="s">
        <v>554</v>
      </c>
      <c r="B95" s="661">
        <v>2</v>
      </c>
      <c r="C95" s="7"/>
      <c r="D95" s="10" t="s">
        <v>175</v>
      </c>
      <c r="E95" s="1" t="s">
        <v>114</v>
      </c>
      <c r="F95" s="268" t="s">
        <v>111</v>
      </c>
      <c r="G95" s="4" t="s">
        <v>66</v>
      </c>
      <c r="H95" s="4" t="s">
        <v>69</v>
      </c>
      <c r="I95" s="4" t="s">
        <v>442</v>
      </c>
      <c r="J95" s="544">
        <v>208</v>
      </c>
    </row>
    <row r="96" spans="1:10" ht="16.8" x14ac:dyDescent="0.3">
      <c r="A96" s="365" t="s">
        <v>331</v>
      </c>
      <c r="B96" s="661">
        <v>2</v>
      </c>
      <c r="C96" s="7"/>
      <c r="D96" s="193" t="s">
        <v>73</v>
      </c>
      <c r="E96" s="5" t="s">
        <v>135</v>
      </c>
      <c r="F96" s="9" t="s">
        <v>332</v>
      </c>
      <c r="G96" s="9" t="s">
        <v>90</v>
      </c>
      <c r="H96" s="9" t="s">
        <v>70</v>
      </c>
      <c r="I96" s="9" t="s">
        <v>369</v>
      </c>
      <c r="J96" s="668">
        <v>48</v>
      </c>
    </row>
    <row r="97" spans="1:10" ht="16.8" x14ac:dyDescent="0.3">
      <c r="A97" s="365" t="s">
        <v>198</v>
      </c>
      <c r="B97" s="661">
        <v>2</v>
      </c>
      <c r="C97" s="7"/>
      <c r="D97" s="10" t="s">
        <v>73</v>
      </c>
      <c r="E97" s="1" t="s">
        <v>110</v>
      </c>
      <c r="F97" s="268" t="s">
        <v>111</v>
      </c>
      <c r="G97" s="4" t="s">
        <v>71</v>
      </c>
      <c r="H97" s="4" t="s">
        <v>72</v>
      </c>
      <c r="I97" s="4" t="s">
        <v>444</v>
      </c>
      <c r="J97" s="274">
        <v>118</v>
      </c>
    </row>
    <row r="98" spans="1:10" ht="16.8" x14ac:dyDescent="0.3">
      <c r="A98" s="365" t="s">
        <v>555</v>
      </c>
      <c r="B98" s="661">
        <v>2</v>
      </c>
      <c r="C98" s="7"/>
      <c r="D98" s="272" t="s">
        <v>73</v>
      </c>
      <c r="E98" s="271" t="s">
        <v>113</v>
      </c>
      <c r="F98" s="268" t="s">
        <v>133</v>
      </c>
      <c r="G98" s="273" t="s">
        <v>90</v>
      </c>
      <c r="H98" s="273" t="s">
        <v>74</v>
      </c>
      <c r="I98" s="4" t="s">
        <v>450</v>
      </c>
      <c r="J98" s="274">
        <v>91</v>
      </c>
    </row>
    <row r="99" spans="1:10" ht="16.8" x14ac:dyDescent="0.3">
      <c r="A99" s="365" t="s">
        <v>556</v>
      </c>
      <c r="B99" s="661">
        <v>2</v>
      </c>
      <c r="C99" s="7"/>
      <c r="D99" s="10" t="s">
        <v>75</v>
      </c>
      <c r="E99" s="1" t="s">
        <v>116</v>
      </c>
      <c r="F99" s="268" t="s">
        <v>111</v>
      </c>
      <c r="G99" s="4" t="s">
        <v>90</v>
      </c>
      <c r="H99" s="4" t="s">
        <v>127</v>
      </c>
      <c r="I99" s="4" t="s">
        <v>442</v>
      </c>
      <c r="J99" s="274">
        <v>212</v>
      </c>
    </row>
    <row r="100" spans="1:10" ht="16.8" x14ac:dyDescent="0.3">
      <c r="A100" s="365" t="s">
        <v>120</v>
      </c>
      <c r="B100" s="661">
        <v>2</v>
      </c>
      <c r="C100" s="7"/>
      <c r="D100" s="10" t="s">
        <v>73</v>
      </c>
      <c r="E100" s="1" t="s">
        <v>110</v>
      </c>
      <c r="F100" s="268" t="s">
        <v>111</v>
      </c>
      <c r="G100" s="4" t="s">
        <v>66</v>
      </c>
      <c r="H100" s="4" t="s">
        <v>70</v>
      </c>
      <c r="I100" s="4" t="s">
        <v>442</v>
      </c>
      <c r="J100" s="274">
        <v>216</v>
      </c>
    </row>
    <row r="101" spans="1:10" ht="16.8" x14ac:dyDescent="0.3">
      <c r="A101" s="365" t="s">
        <v>557</v>
      </c>
      <c r="B101" s="661">
        <v>2</v>
      </c>
      <c r="C101" s="7"/>
      <c r="D101" s="10" t="s">
        <v>174</v>
      </c>
      <c r="E101" s="1" t="s">
        <v>110</v>
      </c>
      <c r="F101" s="268" t="s">
        <v>133</v>
      </c>
      <c r="G101" s="4" t="s">
        <v>90</v>
      </c>
      <c r="H101" s="4" t="s">
        <v>70</v>
      </c>
      <c r="I101" s="4" t="s">
        <v>486</v>
      </c>
      <c r="J101" s="274">
        <v>90</v>
      </c>
    </row>
    <row r="102" spans="1:10" ht="16.8" x14ac:dyDescent="0.3">
      <c r="A102" s="365" t="s">
        <v>558</v>
      </c>
      <c r="B102" s="661">
        <v>2</v>
      </c>
      <c r="C102" s="7"/>
      <c r="D102" s="10" t="s">
        <v>75</v>
      </c>
      <c r="E102" s="1" t="s">
        <v>110</v>
      </c>
      <c r="F102" s="4" t="s">
        <v>111</v>
      </c>
      <c r="G102" s="4" t="s">
        <v>90</v>
      </c>
      <c r="H102" s="4" t="s">
        <v>70</v>
      </c>
      <c r="I102" s="4" t="s">
        <v>486</v>
      </c>
      <c r="J102" s="274">
        <v>90</v>
      </c>
    </row>
    <row r="103" spans="1:10" ht="16.8" x14ac:dyDescent="0.3">
      <c r="A103" s="365" t="s">
        <v>199</v>
      </c>
      <c r="B103" s="661">
        <v>2</v>
      </c>
      <c r="C103" s="7"/>
      <c r="D103" s="10" t="s">
        <v>75</v>
      </c>
      <c r="E103" s="1" t="s">
        <v>200</v>
      </c>
      <c r="F103" s="268" t="s">
        <v>111</v>
      </c>
      <c r="G103" s="4" t="s">
        <v>66</v>
      </c>
      <c r="H103" s="4" t="s">
        <v>72</v>
      </c>
      <c r="I103" s="4" t="s">
        <v>442</v>
      </c>
      <c r="J103" s="274">
        <v>216</v>
      </c>
    </row>
    <row r="104" spans="1:10" ht="16.8" x14ac:dyDescent="0.3">
      <c r="A104" s="365" t="s">
        <v>121</v>
      </c>
      <c r="B104" s="661">
        <v>2</v>
      </c>
      <c r="C104" s="7"/>
      <c r="D104" s="10" t="s">
        <v>75</v>
      </c>
      <c r="E104" s="1" t="s">
        <v>110</v>
      </c>
      <c r="F104" s="268" t="s">
        <v>111</v>
      </c>
      <c r="G104" s="4" t="s">
        <v>66</v>
      </c>
      <c r="H104" s="4" t="s">
        <v>72</v>
      </c>
      <c r="I104" s="4" t="s">
        <v>442</v>
      </c>
      <c r="J104" s="274">
        <v>216</v>
      </c>
    </row>
    <row r="105" spans="1:10" ht="16.8" x14ac:dyDescent="0.3">
      <c r="A105" s="365" t="s">
        <v>201</v>
      </c>
      <c r="B105" s="661">
        <v>2</v>
      </c>
      <c r="C105" s="7"/>
      <c r="D105" s="10" t="s">
        <v>174</v>
      </c>
      <c r="E105" s="1" t="s">
        <v>110</v>
      </c>
      <c r="F105" s="268" t="s">
        <v>111</v>
      </c>
      <c r="G105" s="4" t="s">
        <v>66</v>
      </c>
      <c r="H105" s="4" t="s">
        <v>124</v>
      </c>
      <c r="I105" s="4" t="s">
        <v>442</v>
      </c>
      <c r="J105" s="274">
        <v>217</v>
      </c>
    </row>
    <row r="106" spans="1:10" ht="16.8" x14ac:dyDescent="0.3">
      <c r="A106" s="365" t="s">
        <v>559</v>
      </c>
      <c r="B106" s="661">
        <v>2</v>
      </c>
      <c r="C106" s="7"/>
      <c r="D106" s="10" t="s">
        <v>73</v>
      </c>
      <c r="E106" s="1" t="s">
        <v>113</v>
      </c>
      <c r="F106" s="268" t="s">
        <v>111</v>
      </c>
      <c r="G106" s="4" t="s">
        <v>90</v>
      </c>
      <c r="H106" s="4" t="s">
        <v>70</v>
      </c>
      <c r="I106" s="4" t="s">
        <v>522</v>
      </c>
      <c r="J106" s="274">
        <v>161</v>
      </c>
    </row>
    <row r="107" spans="1:10" ht="16.8" x14ac:dyDescent="0.3">
      <c r="A107" s="365" t="s">
        <v>117</v>
      </c>
      <c r="B107" s="661">
        <v>2</v>
      </c>
      <c r="C107" s="7"/>
      <c r="D107" s="10" t="s">
        <v>73</v>
      </c>
      <c r="E107" s="1" t="s">
        <v>113</v>
      </c>
      <c r="F107" s="268" t="s">
        <v>111</v>
      </c>
      <c r="G107" s="4" t="s">
        <v>66</v>
      </c>
      <c r="H107" s="4" t="s">
        <v>112</v>
      </c>
      <c r="I107" s="4" t="s">
        <v>442</v>
      </c>
      <c r="J107" s="274">
        <v>217</v>
      </c>
    </row>
    <row r="108" spans="1:10" ht="16.8" x14ac:dyDescent="0.3">
      <c r="A108" s="365" t="s">
        <v>202</v>
      </c>
      <c r="B108" s="661">
        <v>2</v>
      </c>
      <c r="C108" s="7"/>
      <c r="D108" s="10" t="s">
        <v>75</v>
      </c>
      <c r="E108" s="1" t="s">
        <v>116</v>
      </c>
      <c r="F108" s="268" t="s">
        <v>111</v>
      </c>
      <c r="G108" s="4" t="s">
        <v>90</v>
      </c>
      <c r="H108" s="4" t="s">
        <v>127</v>
      </c>
      <c r="I108" s="4" t="s">
        <v>442</v>
      </c>
      <c r="J108" s="274">
        <v>218</v>
      </c>
    </row>
    <row r="109" spans="1:10" ht="16.8" x14ac:dyDescent="0.3">
      <c r="A109" s="365" t="s">
        <v>560</v>
      </c>
      <c r="B109" s="661">
        <v>2</v>
      </c>
      <c r="C109" s="7"/>
      <c r="D109" s="10" t="s">
        <v>65</v>
      </c>
      <c r="E109" s="1" t="s">
        <v>110</v>
      </c>
      <c r="F109" s="268" t="s">
        <v>111</v>
      </c>
      <c r="G109" s="4" t="s">
        <v>561</v>
      </c>
      <c r="H109" s="9" t="s">
        <v>74</v>
      </c>
      <c r="I109" s="9" t="s">
        <v>447</v>
      </c>
      <c r="J109" s="274">
        <v>85</v>
      </c>
    </row>
    <row r="110" spans="1:10" ht="16.8" x14ac:dyDescent="0.3">
      <c r="A110" s="365" t="s">
        <v>562</v>
      </c>
      <c r="B110" s="661">
        <v>2</v>
      </c>
      <c r="C110" s="7"/>
      <c r="D110" s="10" t="s">
        <v>92</v>
      </c>
      <c r="E110" s="1" t="s">
        <v>113</v>
      </c>
      <c r="F110" s="268" t="s">
        <v>111</v>
      </c>
      <c r="G110" s="4" t="s">
        <v>71</v>
      </c>
      <c r="H110" s="4" t="s">
        <v>112</v>
      </c>
      <c r="I110" s="9" t="s">
        <v>511</v>
      </c>
      <c r="J110" s="274">
        <v>146</v>
      </c>
    </row>
    <row r="111" spans="1:10" ht="16.8" x14ac:dyDescent="0.3">
      <c r="A111" s="365" t="s">
        <v>132</v>
      </c>
      <c r="B111" s="661">
        <v>2</v>
      </c>
      <c r="C111" s="7"/>
      <c r="D111" s="10" t="s">
        <v>175</v>
      </c>
      <c r="E111" s="1" t="s">
        <v>110</v>
      </c>
      <c r="F111" s="268" t="s">
        <v>111</v>
      </c>
      <c r="G111" s="4" t="s">
        <v>71</v>
      </c>
      <c r="H111" s="4" t="s">
        <v>72</v>
      </c>
      <c r="I111" s="4" t="s">
        <v>444</v>
      </c>
      <c r="J111" s="274">
        <v>119</v>
      </c>
    </row>
    <row r="112" spans="1:10" ht="16.8" x14ac:dyDescent="0.3">
      <c r="A112" s="365" t="s">
        <v>563</v>
      </c>
      <c r="B112" s="661">
        <v>2</v>
      </c>
      <c r="C112" s="7"/>
      <c r="D112" s="10" t="s">
        <v>65</v>
      </c>
      <c r="E112" s="1" t="s">
        <v>110</v>
      </c>
      <c r="F112" s="268" t="s">
        <v>111</v>
      </c>
      <c r="G112" s="4" t="s">
        <v>561</v>
      </c>
      <c r="H112" s="9" t="s">
        <v>74</v>
      </c>
      <c r="I112" s="9" t="s">
        <v>447</v>
      </c>
      <c r="J112" s="274">
        <v>85</v>
      </c>
    </row>
    <row r="113" spans="1:10" ht="16.8" x14ac:dyDescent="0.3">
      <c r="A113" s="365" t="s">
        <v>564</v>
      </c>
      <c r="B113" s="661">
        <v>2</v>
      </c>
      <c r="C113" s="7"/>
      <c r="D113" s="10" t="s">
        <v>175</v>
      </c>
      <c r="E113" s="1" t="s">
        <v>116</v>
      </c>
      <c r="F113" s="268" t="s">
        <v>111</v>
      </c>
      <c r="G113" s="4" t="s">
        <v>66</v>
      </c>
      <c r="H113" s="4" t="s">
        <v>69</v>
      </c>
      <c r="I113" s="4" t="s">
        <v>442</v>
      </c>
      <c r="J113" s="274">
        <v>225</v>
      </c>
    </row>
    <row r="114" spans="1:10" ht="16.8" x14ac:dyDescent="0.3">
      <c r="A114" s="365" t="s">
        <v>565</v>
      </c>
      <c r="B114" s="661">
        <v>2</v>
      </c>
      <c r="C114" s="7"/>
      <c r="D114" s="10" t="s">
        <v>73</v>
      </c>
      <c r="E114" s="1" t="s">
        <v>566</v>
      </c>
      <c r="F114" s="4" t="s">
        <v>111</v>
      </c>
      <c r="G114" s="4" t="s">
        <v>66</v>
      </c>
      <c r="H114" s="4" t="s">
        <v>70</v>
      </c>
      <c r="I114" s="4" t="s">
        <v>449</v>
      </c>
      <c r="J114" s="274">
        <v>97</v>
      </c>
    </row>
    <row r="115" spans="1:10" ht="16.8" x14ac:dyDescent="0.3">
      <c r="A115" s="365" t="s">
        <v>204</v>
      </c>
      <c r="B115" s="661">
        <v>2</v>
      </c>
      <c r="C115" s="7"/>
      <c r="D115" s="10" t="s">
        <v>188</v>
      </c>
      <c r="E115" s="1" t="s">
        <v>110</v>
      </c>
      <c r="F115" s="268" t="s">
        <v>111</v>
      </c>
      <c r="G115" s="4" t="s">
        <v>118</v>
      </c>
      <c r="H115" s="4" t="s">
        <v>138</v>
      </c>
      <c r="I115" s="4" t="s">
        <v>442</v>
      </c>
      <c r="J115" s="274">
        <v>227</v>
      </c>
    </row>
    <row r="116" spans="1:10" ht="16.8" x14ac:dyDescent="0.3">
      <c r="A116" s="365" t="s">
        <v>567</v>
      </c>
      <c r="B116" s="661">
        <v>2</v>
      </c>
      <c r="C116" s="7"/>
      <c r="D116" s="10" t="s">
        <v>73</v>
      </c>
      <c r="E116" s="1" t="s">
        <v>134</v>
      </c>
      <c r="F116" s="4" t="s">
        <v>133</v>
      </c>
      <c r="G116" s="4" t="s">
        <v>178</v>
      </c>
      <c r="H116" s="4" t="s">
        <v>70</v>
      </c>
      <c r="I116" s="4" t="s">
        <v>449</v>
      </c>
      <c r="J116" s="274">
        <v>99</v>
      </c>
    </row>
    <row r="117" spans="1:10" ht="16.8" x14ac:dyDescent="0.3">
      <c r="A117" s="365" t="s">
        <v>205</v>
      </c>
      <c r="B117" s="661">
        <v>2</v>
      </c>
      <c r="C117" s="7"/>
      <c r="D117" s="10" t="s">
        <v>174</v>
      </c>
      <c r="E117" s="1" t="s">
        <v>113</v>
      </c>
      <c r="F117" s="268" t="s">
        <v>111</v>
      </c>
      <c r="G117" s="4" t="s">
        <v>66</v>
      </c>
      <c r="H117" s="4" t="s">
        <v>72</v>
      </c>
      <c r="I117" s="4" t="s">
        <v>444</v>
      </c>
      <c r="J117" s="274">
        <v>120</v>
      </c>
    </row>
    <row r="118" spans="1:10" ht="16.8" x14ac:dyDescent="0.3">
      <c r="A118" s="365" t="s">
        <v>568</v>
      </c>
      <c r="B118" s="661">
        <v>2</v>
      </c>
      <c r="C118" s="7"/>
      <c r="D118" s="10" t="s">
        <v>92</v>
      </c>
      <c r="E118" s="1" t="s">
        <v>134</v>
      </c>
      <c r="F118" s="268" t="s">
        <v>520</v>
      </c>
      <c r="G118" s="4" t="s">
        <v>71</v>
      </c>
      <c r="H118" s="4" t="s">
        <v>112</v>
      </c>
      <c r="I118" s="4" t="s">
        <v>486</v>
      </c>
      <c r="J118" s="274">
        <v>94</v>
      </c>
    </row>
    <row r="119" spans="1:10" ht="16.8" x14ac:dyDescent="0.3">
      <c r="A119" s="365" t="s">
        <v>569</v>
      </c>
      <c r="B119" s="661">
        <v>2</v>
      </c>
      <c r="C119" s="7"/>
      <c r="D119" s="10" t="s">
        <v>65</v>
      </c>
      <c r="E119" s="1" t="s">
        <v>116</v>
      </c>
      <c r="F119" s="268" t="s">
        <v>111</v>
      </c>
      <c r="G119" s="4" t="s">
        <v>66</v>
      </c>
      <c r="H119" s="4" t="s">
        <v>72</v>
      </c>
      <c r="I119" s="4" t="s">
        <v>570</v>
      </c>
      <c r="J119" s="274">
        <v>89</v>
      </c>
    </row>
    <row r="120" spans="1:10" ht="16.8" x14ac:dyDescent="0.3">
      <c r="A120" s="365" t="s">
        <v>206</v>
      </c>
      <c r="B120" s="661">
        <v>2</v>
      </c>
      <c r="C120" s="7"/>
      <c r="D120" s="10" t="s">
        <v>92</v>
      </c>
      <c r="E120" s="1" t="s">
        <v>110</v>
      </c>
      <c r="F120" s="268" t="s">
        <v>111</v>
      </c>
      <c r="G120" s="4" t="s">
        <v>118</v>
      </c>
      <c r="H120" s="4" t="s">
        <v>69</v>
      </c>
      <c r="I120" s="4" t="s">
        <v>442</v>
      </c>
      <c r="J120" s="274">
        <v>230</v>
      </c>
    </row>
    <row r="121" spans="1:10" ht="16.8" x14ac:dyDescent="0.3">
      <c r="A121" s="365" t="s">
        <v>571</v>
      </c>
      <c r="B121" s="661">
        <v>2</v>
      </c>
      <c r="C121" s="7"/>
      <c r="D121" s="10" t="s">
        <v>65</v>
      </c>
      <c r="E121" s="1" t="s">
        <v>110</v>
      </c>
      <c r="F121" s="268" t="s">
        <v>111</v>
      </c>
      <c r="G121" s="4" t="s">
        <v>66</v>
      </c>
      <c r="H121" s="4" t="s">
        <v>72</v>
      </c>
      <c r="I121" s="4" t="s">
        <v>570</v>
      </c>
      <c r="J121" s="274">
        <v>90</v>
      </c>
    </row>
    <row r="122" spans="1:10" ht="16.8" x14ac:dyDescent="0.3">
      <c r="A122" s="365" t="s">
        <v>207</v>
      </c>
      <c r="B122" s="661">
        <v>2</v>
      </c>
      <c r="C122" s="7"/>
      <c r="D122" s="10" t="s">
        <v>174</v>
      </c>
      <c r="E122" s="1" t="s">
        <v>116</v>
      </c>
      <c r="F122" s="268" t="s">
        <v>111</v>
      </c>
      <c r="G122" s="4" t="s">
        <v>66</v>
      </c>
      <c r="H122" s="4" t="s">
        <v>97</v>
      </c>
      <c r="I122" s="4" t="s">
        <v>442</v>
      </c>
      <c r="J122" s="274">
        <v>235</v>
      </c>
    </row>
    <row r="123" spans="1:10" ht="16.8" x14ac:dyDescent="0.3">
      <c r="A123" s="365" t="s">
        <v>572</v>
      </c>
      <c r="B123" s="661">
        <v>2</v>
      </c>
      <c r="C123" s="7"/>
      <c r="D123" s="10" t="s">
        <v>92</v>
      </c>
      <c r="E123" s="271" t="s">
        <v>114</v>
      </c>
      <c r="F123" s="268" t="s">
        <v>111</v>
      </c>
      <c r="G123" s="273" t="s">
        <v>71</v>
      </c>
      <c r="H123" s="4" t="s">
        <v>69</v>
      </c>
      <c r="I123" s="4" t="s">
        <v>511</v>
      </c>
      <c r="J123" s="274">
        <v>151</v>
      </c>
    </row>
    <row r="124" spans="1:10" ht="16.8" x14ac:dyDescent="0.3">
      <c r="A124" s="365" t="s">
        <v>208</v>
      </c>
      <c r="B124" s="661">
        <v>2</v>
      </c>
      <c r="C124" s="7"/>
      <c r="D124" s="10" t="s">
        <v>188</v>
      </c>
      <c r="E124" s="1" t="s">
        <v>190</v>
      </c>
      <c r="F124" s="268" t="s">
        <v>111</v>
      </c>
      <c r="G124" s="4" t="s">
        <v>118</v>
      </c>
      <c r="H124" s="4" t="s">
        <v>74</v>
      </c>
      <c r="I124" s="4" t="s">
        <v>442</v>
      </c>
      <c r="J124" s="274">
        <v>241</v>
      </c>
    </row>
    <row r="125" spans="1:10" ht="16.8" x14ac:dyDescent="0.3">
      <c r="A125" s="365" t="s">
        <v>573</v>
      </c>
      <c r="B125" s="661">
        <v>2</v>
      </c>
      <c r="C125" s="7"/>
      <c r="D125" s="8" t="s">
        <v>174</v>
      </c>
      <c r="E125" s="1" t="s">
        <v>110</v>
      </c>
      <c r="F125" s="9" t="s">
        <v>111</v>
      </c>
      <c r="G125" s="4" t="s">
        <v>66</v>
      </c>
      <c r="H125" s="9" t="s">
        <v>485</v>
      </c>
      <c r="I125" s="4" t="s">
        <v>442</v>
      </c>
      <c r="J125" s="274">
        <v>244</v>
      </c>
    </row>
    <row r="126" spans="1:10" ht="16.8" x14ac:dyDescent="0.3">
      <c r="A126" s="365" t="s">
        <v>574</v>
      </c>
      <c r="B126" s="661">
        <v>2</v>
      </c>
      <c r="C126" s="7"/>
      <c r="D126" s="10" t="s">
        <v>188</v>
      </c>
      <c r="E126" s="1" t="s">
        <v>113</v>
      </c>
      <c r="F126" s="268" t="s">
        <v>133</v>
      </c>
      <c r="G126" s="4" t="s">
        <v>322</v>
      </c>
      <c r="H126" s="4" t="s">
        <v>74</v>
      </c>
      <c r="I126" s="4" t="s">
        <v>444</v>
      </c>
      <c r="J126" s="274">
        <v>123</v>
      </c>
    </row>
    <row r="127" spans="1:10" ht="16.8" x14ac:dyDescent="0.3">
      <c r="A127" s="365" t="s">
        <v>575</v>
      </c>
      <c r="B127" s="661">
        <v>2</v>
      </c>
      <c r="C127" s="7"/>
      <c r="D127" s="10" t="s">
        <v>75</v>
      </c>
      <c r="E127" s="1" t="s">
        <v>110</v>
      </c>
      <c r="F127" s="268" t="s">
        <v>111</v>
      </c>
      <c r="G127" s="4" t="s">
        <v>90</v>
      </c>
      <c r="H127" s="4" t="s">
        <v>70</v>
      </c>
      <c r="I127" s="4" t="s">
        <v>447</v>
      </c>
      <c r="J127" s="274">
        <v>87</v>
      </c>
    </row>
    <row r="128" spans="1:10" ht="16.8" x14ac:dyDescent="0.3">
      <c r="A128" s="365" t="s">
        <v>576</v>
      </c>
      <c r="B128" s="661">
        <v>2</v>
      </c>
      <c r="C128" s="7"/>
      <c r="D128" s="10" t="s">
        <v>188</v>
      </c>
      <c r="E128" s="271" t="s">
        <v>114</v>
      </c>
      <c r="F128" s="4" t="s">
        <v>111</v>
      </c>
      <c r="G128" s="4" t="s">
        <v>66</v>
      </c>
      <c r="H128" s="4" t="s">
        <v>74</v>
      </c>
      <c r="I128" s="4" t="s">
        <v>449</v>
      </c>
      <c r="J128" s="274">
        <v>102</v>
      </c>
    </row>
    <row r="129" spans="1:10" ht="16.8" x14ac:dyDescent="0.3">
      <c r="A129" s="365" t="s">
        <v>577</v>
      </c>
      <c r="B129" s="661">
        <v>2</v>
      </c>
      <c r="C129" s="7"/>
      <c r="D129" s="10" t="s">
        <v>92</v>
      </c>
      <c r="E129" s="1" t="s">
        <v>110</v>
      </c>
      <c r="F129" s="268" t="s">
        <v>111</v>
      </c>
      <c r="G129" s="4" t="s">
        <v>164</v>
      </c>
      <c r="H129" s="4" t="s">
        <v>72</v>
      </c>
      <c r="I129" s="4" t="s">
        <v>447</v>
      </c>
      <c r="J129" s="274">
        <v>87</v>
      </c>
    </row>
    <row r="130" spans="1:10" ht="16.8" x14ac:dyDescent="0.3">
      <c r="A130" s="365" t="s">
        <v>578</v>
      </c>
      <c r="B130" s="661">
        <v>2</v>
      </c>
      <c r="C130" s="7"/>
      <c r="D130" s="10" t="s">
        <v>65</v>
      </c>
      <c r="E130" s="1" t="s">
        <v>113</v>
      </c>
      <c r="F130" s="268" t="s">
        <v>111</v>
      </c>
      <c r="G130" s="4" t="s">
        <v>66</v>
      </c>
      <c r="H130" s="4" t="s">
        <v>74</v>
      </c>
      <c r="I130" s="4" t="s">
        <v>444</v>
      </c>
      <c r="J130" s="274">
        <v>123</v>
      </c>
    </row>
    <row r="131" spans="1:10" ht="16.8" x14ac:dyDescent="0.3">
      <c r="A131" s="365" t="s">
        <v>579</v>
      </c>
      <c r="B131" s="661">
        <v>2</v>
      </c>
      <c r="C131" s="7"/>
      <c r="D131" s="272" t="s">
        <v>92</v>
      </c>
      <c r="E131" s="271" t="s">
        <v>110</v>
      </c>
      <c r="F131" s="268" t="s">
        <v>111</v>
      </c>
      <c r="G131" s="273" t="s">
        <v>124</v>
      </c>
      <c r="H131" s="273" t="s">
        <v>70</v>
      </c>
      <c r="I131" s="273" t="s">
        <v>446</v>
      </c>
      <c r="J131" s="274">
        <v>100</v>
      </c>
    </row>
    <row r="132" spans="1:10" ht="16.8" x14ac:dyDescent="0.3">
      <c r="A132" s="365" t="s">
        <v>209</v>
      </c>
      <c r="B132" s="661">
        <v>2</v>
      </c>
      <c r="C132" s="7"/>
      <c r="D132" s="10" t="s">
        <v>92</v>
      </c>
      <c r="E132" s="1" t="s">
        <v>110</v>
      </c>
      <c r="F132" s="268" t="s">
        <v>111</v>
      </c>
      <c r="G132" s="4" t="s">
        <v>66</v>
      </c>
      <c r="H132" s="4" t="s">
        <v>72</v>
      </c>
      <c r="I132" s="4" t="s">
        <v>444</v>
      </c>
      <c r="J132" s="274">
        <v>124</v>
      </c>
    </row>
    <row r="133" spans="1:10" ht="16.8" x14ac:dyDescent="0.3">
      <c r="A133" s="365" t="s">
        <v>580</v>
      </c>
      <c r="B133" s="661">
        <v>2</v>
      </c>
      <c r="C133" s="7"/>
      <c r="D133" s="10" t="s">
        <v>65</v>
      </c>
      <c r="E133" s="1" t="s">
        <v>506</v>
      </c>
      <c r="F133" s="4" t="s">
        <v>111</v>
      </c>
      <c r="G133" s="4" t="s">
        <v>66</v>
      </c>
      <c r="H133" s="4" t="s">
        <v>112</v>
      </c>
      <c r="I133" s="4" t="s">
        <v>449</v>
      </c>
      <c r="J133" s="274">
        <v>102</v>
      </c>
    </row>
    <row r="134" spans="1:10" ht="16.8" x14ac:dyDescent="0.3">
      <c r="A134" s="365" t="s">
        <v>210</v>
      </c>
      <c r="B134" s="661">
        <v>2</v>
      </c>
      <c r="C134" s="7"/>
      <c r="D134" s="10" t="s">
        <v>175</v>
      </c>
      <c r="E134" s="1" t="s">
        <v>110</v>
      </c>
      <c r="F134" s="268" t="s">
        <v>111</v>
      </c>
      <c r="G134" s="4" t="s">
        <v>90</v>
      </c>
      <c r="H134" s="4" t="s">
        <v>70</v>
      </c>
      <c r="I134" s="4" t="s">
        <v>442</v>
      </c>
      <c r="J134" s="274">
        <v>252</v>
      </c>
    </row>
    <row r="135" spans="1:10" ht="16.8" x14ac:dyDescent="0.3">
      <c r="A135" s="365" t="s">
        <v>581</v>
      </c>
      <c r="B135" s="661">
        <v>2</v>
      </c>
      <c r="C135" s="7"/>
      <c r="D135" s="10" t="s">
        <v>175</v>
      </c>
      <c r="E135" s="1" t="s">
        <v>110</v>
      </c>
      <c r="F135" s="268" t="s">
        <v>111</v>
      </c>
      <c r="G135" s="4" t="s">
        <v>71</v>
      </c>
      <c r="H135" s="4" t="s">
        <v>74</v>
      </c>
      <c r="I135" s="4" t="s">
        <v>444</v>
      </c>
      <c r="J135" s="274">
        <v>125</v>
      </c>
    </row>
    <row r="136" spans="1:10" ht="16.8" x14ac:dyDescent="0.3">
      <c r="A136" s="365" t="s">
        <v>467</v>
      </c>
      <c r="B136" s="661">
        <v>2</v>
      </c>
      <c r="C136" s="7"/>
      <c r="D136" s="10" t="s">
        <v>175</v>
      </c>
      <c r="E136" s="1" t="s">
        <v>116</v>
      </c>
      <c r="F136" s="268" t="s">
        <v>111</v>
      </c>
      <c r="G136" s="4" t="s">
        <v>66</v>
      </c>
      <c r="H136" s="4" t="s">
        <v>69</v>
      </c>
      <c r="I136" s="4" t="s">
        <v>442</v>
      </c>
      <c r="J136" s="274">
        <v>259</v>
      </c>
    </row>
    <row r="137" spans="1:10" ht="16.8" x14ac:dyDescent="0.3">
      <c r="A137" s="365" t="s">
        <v>582</v>
      </c>
      <c r="B137" s="661">
        <v>2</v>
      </c>
      <c r="C137" s="7"/>
      <c r="D137" s="272" t="s">
        <v>175</v>
      </c>
      <c r="E137" s="271" t="s">
        <v>114</v>
      </c>
      <c r="F137" s="277" t="s">
        <v>111</v>
      </c>
      <c r="G137" s="273" t="s">
        <v>66</v>
      </c>
      <c r="H137" s="273" t="s">
        <v>74</v>
      </c>
      <c r="I137" s="273" t="s">
        <v>456</v>
      </c>
      <c r="J137" s="278">
        <v>56</v>
      </c>
    </row>
    <row r="138" spans="1:10" ht="16.8" x14ac:dyDescent="0.3">
      <c r="A138" s="365" t="s">
        <v>583</v>
      </c>
      <c r="B138" s="661">
        <v>2</v>
      </c>
      <c r="C138" s="7"/>
      <c r="D138" s="10" t="s">
        <v>73</v>
      </c>
      <c r="E138" s="1" t="s">
        <v>110</v>
      </c>
      <c r="F138" s="4" t="s">
        <v>111</v>
      </c>
      <c r="G138" s="4" t="s">
        <v>66</v>
      </c>
      <c r="H138" s="4" t="s">
        <v>70</v>
      </c>
      <c r="I138" s="4" t="s">
        <v>449</v>
      </c>
      <c r="J138" s="274">
        <v>105</v>
      </c>
    </row>
    <row r="139" spans="1:10" ht="16.8" x14ac:dyDescent="0.3">
      <c r="A139" s="365" t="s">
        <v>211</v>
      </c>
      <c r="B139" s="661">
        <v>2</v>
      </c>
      <c r="C139" s="7"/>
      <c r="D139" s="10" t="s">
        <v>73</v>
      </c>
      <c r="E139" s="1" t="s">
        <v>110</v>
      </c>
      <c r="F139" s="268" t="s">
        <v>111</v>
      </c>
      <c r="G139" s="4" t="s">
        <v>90</v>
      </c>
      <c r="H139" s="4" t="s">
        <v>70</v>
      </c>
      <c r="I139" s="4" t="s">
        <v>442</v>
      </c>
      <c r="J139" s="274">
        <v>271</v>
      </c>
    </row>
    <row r="140" spans="1:10" ht="16.8" x14ac:dyDescent="0.3">
      <c r="A140" s="365" t="s">
        <v>584</v>
      </c>
      <c r="B140" s="661">
        <v>2</v>
      </c>
      <c r="C140" s="7"/>
      <c r="D140" s="10" t="s">
        <v>65</v>
      </c>
      <c r="E140" s="1" t="s">
        <v>113</v>
      </c>
      <c r="F140" s="268" t="s">
        <v>111</v>
      </c>
      <c r="G140" s="4" t="s">
        <v>66</v>
      </c>
      <c r="H140" s="4" t="s">
        <v>72</v>
      </c>
      <c r="I140" s="4" t="s">
        <v>442</v>
      </c>
      <c r="J140" s="274">
        <v>272</v>
      </c>
    </row>
    <row r="141" spans="1:10" ht="16.8" x14ac:dyDescent="0.3">
      <c r="A141" s="365" t="s">
        <v>585</v>
      </c>
      <c r="B141" s="661">
        <v>2</v>
      </c>
      <c r="C141" s="7"/>
      <c r="D141" s="10" t="s">
        <v>73</v>
      </c>
      <c r="E141" s="1" t="s">
        <v>110</v>
      </c>
      <c r="F141" s="268" t="s">
        <v>111</v>
      </c>
      <c r="G141" s="4" t="s">
        <v>66</v>
      </c>
      <c r="H141" s="4" t="s">
        <v>70</v>
      </c>
      <c r="I141" s="4" t="s">
        <v>442</v>
      </c>
      <c r="J141" s="274">
        <v>272</v>
      </c>
    </row>
    <row r="142" spans="1:10" ht="16.8" x14ac:dyDescent="0.3">
      <c r="A142" s="365" t="s">
        <v>586</v>
      </c>
      <c r="B142" s="661">
        <v>2</v>
      </c>
      <c r="C142" s="7"/>
      <c r="D142" s="10" t="s">
        <v>188</v>
      </c>
      <c r="E142" s="1" t="s">
        <v>114</v>
      </c>
      <c r="F142" s="268" t="s">
        <v>111</v>
      </c>
      <c r="G142" s="4" t="s">
        <v>66</v>
      </c>
      <c r="H142" s="4" t="s">
        <v>70</v>
      </c>
      <c r="I142" s="4" t="s">
        <v>486</v>
      </c>
      <c r="J142" s="274">
        <v>103</v>
      </c>
    </row>
    <row r="143" spans="1:10" ht="16.8" x14ac:dyDescent="0.3">
      <c r="A143" s="365" t="s">
        <v>212</v>
      </c>
      <c r="B143" s="661">
        <v>2</v>
      </c>
      <c r="C143" s="7"/>
      <c r="D143" s="10" t="s">
        <v>75</v>
      </c>
      <c r="E143" s="1" t="s">
        <v>116</v>
      </c>
      <c r="F143" s="268" t="s">
        <v>111</v>
      </c>
      <c r="G143" s="4" t="s">
        <v>90</v>
      </c>
      <c r="H143" s="4" t="s">
        <v>70</v>
      </c>
      <c r="I143" s="4" t="s">
        <v>442</v>
      </c>
      <c r="J143" s="274">
        <v>278</v>
      </c>
    </row>
    <row r="144" spans="1:10" ht="16.8" x14ac:dyDescent="0.3">
      <c r="A144" s="365" t="s">
        <v>213</v>
      </c>
      <c r="B144" s="661">
        <v>2</v>
      </c>
      <c r="C144" s="7"/>
      <c r="D144" s="10" t="s">
        <v>65</v>
      </c>
      <c r="E144" s="1" t="s">
        <v>134</v>
      </c>
      <c r="F144" s="268" t="s">
        <v>111</v>
      </c>
      <c r="G144" s="4" t="s">
        <v>90</v>
      </c>
      <c r="H144" s="4" t="s">
        <v>112</v>
      </c>
      <c r="I144" s="4" t="s">
        <v>442</v>
      </c>
      <c r="J144" s="274">
        <v>278</v>
      </c>
    </row>
    <row r="145" spans="1:10" ht="16.8" x14ac:dyDescent="0.3">
      <c r="A145" s="365" t="s">
        <v>214</v>
      </c>
      <c r="B145" s="661">
        <v>2</v>
      </c>
      <c r="C145" s="7"/>
      <c r="D145" s="10" t="s">
        <v>195</v>
      </c>
      <c r="E145" s="1" t="s">
        <v>110</v>
      </c>
      <c r="F145" s="268" t="s">
        <v>111</v>
      </c>
      <c r="G145" s="4" t="s">
        <v>99</v>
      </c>
      <c r="H145" s="4" t="s">
        <v>69</v>
      </c>
      <c r="I145" s="4" t="s">
        <v>442</v>
      </c>
      <c r="J145" s="274">
        <v>279</v>
      </c>
    </row>
    <row r="146" spans="1:10" ht="16.8" x14ac:dyDescent="0.3">
      <c r="A146" s="365" t="s">
        <v>587</v>
      </c>
      <c r="B146" s="661">
        <v>2</v>
      </c>
      <c r="C146" s="7"/>
      <c r="D146" s="10" t="s">
        <v>65</v>
      </c>
      <c r="E146" s="1" t="s">
        <v>113</v>
      </c>
      <c r="F146" s="268" t="s">
        <v>111</v>
      </c>
      <c r="G146" s="4" t="s">
        <v>66</v>
      </c>
      <c r="H146" s="4" t="s">
        <v>69</v>
      </c>
      <c r="I146" s="4" t="s">
        <v>444</v>
      </c>
      <c r="J146" s="274">
        <v>127</v>
      </c>
    </row>
    <row r="147" spans="1:10" ht="16.8" x14ac:dyDescent="0.3">
      <c r="A147" s="365" t="s">
        <v>215</v>
      </c>
      <c r="B147" s="661">
        <v>2</v>
      </c>
      <c r="C147" s="7"/>
      <c r="D147" s="10" t="s">
        <v>75</v>
      </c>
      <c r="E147" s="1" t="s">
        <v>190</v>
      </c>
      <c r="F147" s="268" t="s">
        <v>111</v>
      </c>
      <c r="G147" s="4" t="s">
        <v>90</v>
      </c>
      <c r="H147" s="4" t="s">
        <v>70</v>
      </c>
      <c r="I147" s="4" t="s">
        <v>442</v>
      </c>
      <c r="J147" s="274">
        <v>281</v>
      </c>
    </row>
    <row r="148" spans="1:10" ht="16.8" x14ac:dyDescent="0.3">
      <c r="A148" s="365" t="s">
        <v>588</v>
      </c>
      <c r="B148" s="661">
        <v>2</v>
      </c>
      <c r="C148" s="7"/>
      <c r="D148" s="10" t="s">
        <v>175</v>
      </c>
      <c r="E148" s="1" t="s">
        <v>134</v>
      </c>
      <c r="F148" s="268" t="s">
        <v>111</v>
      </c>
      <c r="G148" s="4" t="s">
        <v>71</v>
      </c>
      <c r="H148" s="4" t="s">
        <v>69</v>
      </c>
      <c r="I148" s="4" t="s">
        <v>486</v>
      </c>
      <c r="J148" s="274">
        <v>105</v>
      </c>
    </row>
    <row r="149" spans="1:10" ht="16.8" x14ac:dyDescent="0.3">
      <c r="A149" s="365" t="s">
        <v>216</v>
      </c>
      <c r="B149" s="661">
        <v>2</v>
      </c>
      <c r="C149" s="10" t="s">
        <v>277</v>
      </c>
      <c r="D149" s="10" t="s">
        <v>75</v>
      </c>
      <c r="E149" s="1" t="s">
        <v>113</v>
      </c>
      <c r="F149" s="268" t="s">
        <v>111</v>
      </c>
      <c r="G149" s="4" t="s">
        <v>118</v>
      </c>
      <c r="H149" s="4" t="s">
        <v>74</v>
      </c>
      <c r="I149" s="4" t="s">
        <v>442</v>
      </c>
      <c r="J149" s="274">
        <v>283</v>
      </c>
    </row>
    <row r="150" spans="1:10" ht="16.8" x14ac:dyDescent="0.3">
      <c r="A150" s="365" t="s">
        <v>589</v>
      </c>
      <c r="B150" s="661">
        <v>2</v>
      </c>
      <c r="C150" s="7"/>
      <c r="D150" s="10" t="s">
        <v>92</v>
      </c>
      <c r="E150" s="1" t="s">
        <v>110</v>
      </c>
      <c r="F150" s="268" t="s">
        <v>111</v>
      </c>
      <c r="G150" s="4" t="s">
        <v>66</v>
      </c>
      <c r="H150" s="4" t="s">
        <v>112</v>
      </c>
      <c r="I150" s="4" t="s">
        <v>442</v>
      </c>
      <c r="J150" s="274">
        <v>284</v>
      </c>
    </row>
    <row r="151" spans="1:10" ht="16.8" x14ac:dyDescent="0.3">
      <c r="A151" s="365" t="s">
        <v>590</v>
      </c>
      <c r="B151" s="661">
        <v>2</v>
      </c>
      <c r="C151" s="7"/>
      <c r="D151" s="10" t="s">
        <v>188</v>
      </c>
      <c r="E151" s="1" t="s">
        <v>135</v>
      </c>
      <c r="F151" s="561" t="s">
        <v>111</v>
      </c>
      <c r="G151" s="4" t="s">
        <v>118</v>
      </c>
      <c r="H151" s="4" t="s">
        <v>70</v>
      </c>
      <c r="I151" s="4" t="s">
        <v>493</v>
      </c>
      <c r="J151" s="274">
        <v>126</v>
      </c>
    </row>
    <row r="152" spans="1:10" ht="16.8" x14ac:dyDescent="0.3">
      <c r="A152" s="365" t="s">
        <v>217</v>
      </c>
      <c r="B152" s="661">
        <v>2</v>
      </c>
      <c r="C152" s="7"/>
      <c r="D152" s="10" t="s">
        <v>175</v>
      </c>
      <c r="E152" s="1" t="s">
        <v>113</v>
      </c>
      <c r="F152" s="268" t="s">
        <v>136</v>
      </c>
      <c r="G152" s="4" t="s">
        <v>71</v>
      </c>
      <c r="H152" s="4" t="s">
        <v>97</v>
      </c>
      <c r="I152" s="4" t="s">
        <v>444</v>
      </c>
      <c r="J152" s="274">
        <v>128</v>
      </c>
    </row>
    <row r="153" spans="1:10" ht="16.8" x14ac:dyDescent="0.3">
      <c r="A153" s="365" t="s">
        <v>218</v>
      </c>
      <c r="B153" s="661">
        <v>2</v>
      </c>
      <c r="C153" s="7"/>
      <c r="D153" s="10" t="s">
        <v>73</v>
      </c>
      <c r="E153" s="1" t="s">
        <v>116</v>
      </c>
      <c r="F153" s="268" t="s">
        <v>133</v>
      </c>
      <c r="G153" s="4" t="s">
        <v>90</v>
      </c>
      <c r="H153" s="4" t="s">
        <v>74</v>
      </c>
      <c r="I153" s="4" t="s">
        <v>442</v>
      </c>
      <c r="J153" s="275">
        <v>286</v>
      </c>
    </row>
    <row r="154" spans="1:10" ht="16.8" x14ac:dyDescent="0.3">
      <c r="A154" s="365" t="s">
        <v>591</v>
      </c>
      <c r="B154" s="661">
        <v>2</v>
      </c>
      <c r="C154" s="7"/>
      <c r="D154" s="10" t="s">
        <v>73</v>
      </c>
      <c r="E154" s="1" t="s">
        <v>116</v>
      </c>
      <c r="F154" s="268" t="s">
        <v>133</v>
      </c>
      <c r="G154" s="4" t="s">
        <v>90</v>
      </c>
      <c r="H154" s="4" t="s">
        <v>74</v>
      </c>
      <c r="I154" s="4" t="s">
        <v>459</v>
      </c>
      <c r="J154" s="275">
        <v>71</v>
      </c>
    </row>
    <row r="155" spans="1:10" ht="16.8" x14ac:dyDescent="0.3">
      <c r="A155" s="365" t="s">
        <v>592</v>
      </c>
      <c r="B155" s="661">
        <v>2</v>
      </c>
      <c r="C155" s="7"/>
      <c r="D155" s="10" t="s">
        <v>92</v>
      </c>
      <c r="E155" s="1" t="s">
        <v>110</v>
      </c>
      <c r="F155" s="268" t="s">
        <v>111</v>
      </c>
      <c r="G155" s="273" t="s">
        <v>99</v>
      </c>
      <c r="H155" s="4" t="s">
        <v>70</v>
      </c>
      <c r="I155" s="4" t="s">
        <v>447</v>
      </c>
      <c r="J155" s="274">
        <v>90</v>
      </c>
    </row>
    <row r="156" spans="1:10" ht="16.8" x14ac:dyDescent="0.3">
      <c r="A156" s="365" t="s">
        <v>219</v>
      </c>
      <c r="B156" s="661">
        <v>2</v>
      </c>
      <c r="C156" s="7"/>
      <c r="D156" s="10" t="s">
        <v>188</v>
      </c>
      <c r="E156" s="1" t="s">
        <v>113</v>
      </c>
      <c r="F156" s="268" t="s">
        <v>111</v>
      </c>
      <c r="G156" s="4" t="s">
        <v>71</v>
      </c>
      <c r="H156" s="4" t="s">
        <v>136</v>
      </c>
      <c r="I156" s="4" t="s">
        <v>444</v>
      </c>
      <c r="J156" s="274">
        <v>129</v>
      </c>
    </row>
    <row r="157" spans="1:10" ht="16.8" x14ac:dyDescent="0.3">
      <c r="A157" s="365" t="s">
        <v>220</v>
      </c>
      <c r="B157" s="661">
        <v>2</v>
      </c>
      <c r="C157" s="7"/>
      <c r="D157" s="10" t="s">
        <v>65</v>
      </c>
      <c r="E157" s="1" t="s">
        <v>110</v>
      </c>
      <c r="F157" s="268" t="s">
        <v>111</v>
      </c>
      <c r="G157" s="4" t="s">
        <v>90</v>
      </c>
      <c r="H157" s="4" t="s">
        <v>95</v>
      </c>
      <c r="I157" s="4" t="s">
        <v>442</v>
      </c>
      <c r="J157" s="274">
        <v>297</v>
      </c>
    </row>
    <row r="158" spans="1:10" ht="16.8" x14ac:dyDescent="0.3">
      <c r="A158" s="365" t="s">
        <v>593</v>
      </c>
      <c r="B158" s="661">
        <v>2</v>
      </c>
      <c r="C158" s="7"/>
      <c r="D158" s="10" t="s">
        <v>188</v>
      </c>
      <c r="E158" s="1" t="s">
        <v>534</v>
      </c>
      <c r="F158" s="268" t="s">
        <v>111</v>
      </c>
      <c r="G158" s="4" t="s">
        <v>90</v>
      </c>
      <c r="H158" s="4" t="s">
        <v>74</v>
      </c>
      <c r="I158" s="4" t="s">
        <v>522</v>
      </c>
      <c r="J158" s="274">
        <v>188</v>
      </c>
    </row>
    <row r="159" spans="1:10" ht="16.8" x14ac:dyDescent="0.3">
      <c r="A159" s="365" t="s">
        <v>594</v>
      </c>
      <c r="B159" s="661">
        <v>2</v>
      </c>
      <c r="C159" s="7"/>
      <c r="D159" s="10" t="s">
        <v>174</v>
      </c>
      <c r="E159" s="1" t="s">
        <v>110</v>
      </c>
      <c r="F159" s="4" t="s">
        <v>111</v>
      </c>
      <c r="G159" s="4" t="s">
        <v>90</v>
      </c>
      <c r="H159" s="4" t="s">
        <v>74</v>
      </c>
      <c r="I159" s="4" t="s">
        <v>486</v>
      </c>
      <c r="J159" s="274">
        <v>110</v>
      </c>
    </row>
    <row r="160" spans="1:10" ht="16.8" x14ac:dyDescent="0.3">
      <c r="A160" s="366" t="s">
        <v>221</v>
      </c>
      <c r="B160" s="664">
        <v>2</v>
      </c>
      <c r="C160" s="77"/>
      <c r="D160" s="78" t="s">
        <v>188</v>
      </c>
      <c r="E160" s="6" t="s">
        <v>116</v>
      </c>
      <c r="F160" s="11" t="s">
        <v>111</v>
      </c>
      <c r="G160" s="11" t="s">
        <v>90</v>
      </c>
      <c r="H160" s="11" t="s">
        <v>69</v>
      </c>
      <c r="I160" s="11" t="s">
        <v>442</v>
      </c>
      <c r="J160" s="665">
        <v>303</v>
      </c>
    </row>
    <row r="161" spans="1:10" ht="16.8" x14ac:dyDescent="0.3">
      <c r="A161" s="365" t="s">
        <v>595</v>
      </c>
      <c r="B161" s="661">
        <v>3</v>
      </c>
      <c r="C161" s="7"/>
      <c r="D161" s="279" t="s">
        <v>174</v>
      </c>
      <c r="E161" s="1" t="s">
        <v>110</v>
      </c>
      <c r="F161" s="9" t="s">
        <v>111</v>
      </c>
      <c r="G161" s="9" t="s">
        <v>66</v>
      </c>
      <c r="H161" s="9" t="s">
        <v>70</v>
      </c>
      <c r="I161" s="9" t="s">
        <v>449</v>
      </c>
      <c r="J161" s="663">
        <v>89</v>
      </c>
    </row>
    <row r="162" spans="1:10" ht="16.8" x14ac:dyDescent="0.3">
      <c r="A162" s="365" t="s">
        <v>596</v>
      </c>
      <c r="B162" s="661">
        <v>3</v>
      </c>
      <c r="C162" s="7"/>
      <c r="D162" s="279" t="s">
        <v>175</v>
      </c>
      <c r="E162" s="1" t="s">
        <v>597</v>
      </c>
      <c r="F162" s="9" t="s">
        <v>111</v>
      </c>
      <c r="G162" s="9" t="s">
        <v>66</v>
      </c>
      <c r="H162" s="9" t="s">
        <v>127</v>
      </c>
      <c r="I162" s="9" t="s">
        <v>598</v>
      </c>
      <c r="J162" s="663">
        <v>113</v>
      </c>
    </row>
    <row r="163" spans="1:10" ht="16.8" x14ac:dyDescent="0.3">
      <c r="A163" s="365" t="s">
        <v>222</v>
      </c>
      <c r="B163" s="661">
        <v>3</v>
      </c>
      <c r="C163" s="7"/>
      <c r="D163" s="10" t="s">
        <v>174</v>
      </c>
      <c r="E163" s="1" t="s">
        <v>114</v>
      </c>
      <c r="F163" s="268" t="s">
        <v>111</v>
      </c>
      <c r="G163" s="4" t="s">
        <v>66</v>
      </c>
      <c r="H163" s="4" t="s">
        <v>70</v>
      </c>
      <c r="I163" s="4" t="s">
        <v>442</v>
      </c>
      <c r="J163" s="274">
        <v>198</v>
      </c>
    </row>
    <row r="164" spans="1:10" ht="16.8" x14ac:dyDescent="0.3">
      <c r="A164" s="365" t="s">
        <v>599</v>
      </c>
      <c r="B164" s="661">
        <v>3</v>
      </c>
      <c r="C164" s="7"/>
      <c r="D164" s="10" t="s">
        <v>175</v>
      </c>
      <c r="E164" s="271" t="s">
        <v>116</v>
      </c>
      <c r="F164" s="4" t="s">
        <v>111</v>
      </c>
      <c r="G164" s="273" t="s">
        <v>66</v>
      </c>
      <c r="H164" s="4" t="s">
        <v>127</v>
      </c>
      <c r="I164" s="4" t="s">
        <v>446</v>
      </c>
      <c r="J164" s="274">
        <v>94</v>
      </c>
    </row>
    <row r="165" spans="1:10" ht="16.8" x14ac:dyDescent="0.3">
      <c r="A165" s="365" t="s">
        <v>223</v>
      </c>
      <c r="B165" s="661">
        <v>3</v>
      </c>
      <c r="C165" s="7"/>
      <c r="D165" s="10" t="s">
        <v>175</v>
      </c>
      <c r="E165" s="1" t="s">
        <v>110</v>
      </c>
      <c r="F165" s="268" t="s">
        <v>111</v>
      </c>
      <c r="G165" s="4" t="s">
        <v>66</v>
      </c>
      <c r="H165" s="4" t="s">
        <v>148</v>
      </c>
      <c r="I165" s="4" t="s">
        <v>442</v>
      </c>
      <c r="J165" s="274">
        <v>203</v>
      </c>
    </row>
    <row r="166" spans="1:10" ht="16.8" x14ac:dyDescent="0.3">
      <c r="A166" s="365" t="s">
        <v>600</v>
      </c>
      <c r="B166" s="661">
        <v>3</v>
      </c>
      <c r="C166" s="7"/>
      <c r="D166" s="10" t="s">
        <v>175</v>
      </c>
      <c r="E166" s="271" t="s">
        <v>114</v>
      </c>
      <c r="F166" s="277" t="s">
        <v>111</v>
      </c>
      <c r="G166" s="273" t="s">
        <v>66</v>
      </c>
      <c r="H166" s="273" t="s">
        <v>74</v>
      </c>
      <c r="I166" s="273" t="s">
        <v>454</v>
      </c>
      <c r="J166" s="274">
        <v>48</v>
      </c>
    </row>
    <row r="167" spans="1:10" ht="16.8" x14ac:dyDescent="0.3">
      <c r="A167" s="365" t="s">
        <v>601</v>
      </c>
      <c r="B167" s="661">
        <v>3</v>
      </c>
      <c r="C167" s="7"/>
      <c r="D167" s="10" t="s">
        <v>92</v>
      </c>
      <c r="E167" s="1" t="s">
        <v>110</v>
      </c>
      <c r="F167" s="268" t="s">
        <v>111</v>
      </c>
      <c r="G167" s="4" t="s">
        <v>80</v>
      </c>
      <c r="H167" s="4" t="s">
        <v>8</v>
      </c>
      <c r="I167" s="4" t="s">
        <v>447</v>
      </c>
      <c r="J167" s="274">
        <v>81</v>
      </c>
    </row>
    <row r="168" spans="1:10" ht="16.8" x14ac:dyDescent="0.3">
      <c r="A168" s="365" t="s">
        <v>602</v>
      </c>
      <c r="B168" s="661">
        <v>3</v>
      </c>
      <c r="C168" s="7"/>
      <c r="D168" s="10" t="s">
        <v>92</v>
      </c>
      <c r="E168" s="1" t="s">
        <v>110</v>
      </c>
      <c r="F168" s="4" t="s">
        <v>111</v>
      </c>
      <c r="G168" s="4" t="s">
        <v>71</v>
      </c>
      <c r="H168" s="4" t="s">
        <v>69</v>
      </c>
      <c r="I168" s="4" t="s">
        <v>449</v>
      </c>
      <c r="J168" s="274">
        <v>92</v>
      </c>
    </row>
    <row r="169" spans="1:10" ht="16.8" x14ac:dyDescent="0.3">
      <c r="A169" s="365" t="s">
        <v>603</v>
      </c>
      <c r="B169" s="661">
        <v>3</v>
      </c>
      <c r="C169" s="7"/>
      <c r="D169" s="10" t="s">
        <v>174</v>
      </c>
      <c r="E169" s="1" t="s">
        <v>135</v>
      </c>
      <c r="F169" s="268" t="s">
        <v>111</v>
      </c>
      <c r="G169" s="9" t="s">
        <v>118</v>
      </c>
      <c r="H169" s="4" t="s">
        <v>148</v>
      </c>
      <c r="I169" s="4" t="s">
        <v>442</v>
      </c>
      <c r="J169" s="274">
        <v>206</v>
      </c>
    </row>
    <row r="170" spans="1:10" ht="16.8" x14ac:dyDescent="0.3">
      <c r="A170" s="365" t="s">
        <v>224</v>
      </c>
      <c r="B170" s="661">
        <v>3</v>
      </c>
      <c r="C170" s="7"/>
      <c r="D170" s="10" t="s">
        <v>65</v>
      </c>
      <c r="E170" s="1" t="s">
        <v>110</v>
      </c>
      <c r="F170" s="268" t="s">
        <v>111</v>
      </c>
      <c r="G170" s="4" t="s">
        <v>66</v>
      </c>
      <c r="H170" s="4" t="s">
        <v>72</v>
      </c>
      <c r="I170" s="4" t="s">
        <v>444</v>
      </c>
      <c r="J170" s="274">
        <v>117</v>
      </c>
    </row>
    <row r="171" spans="1:10" ht="16.8" x14ac:dyDescent="0.3">
      <c r="A171" s="365" t="s">
        <v>604</v>
      </c>
      <c r="B171" s="661">
        <v>3</v>
      </c>
      <c r="C171" s="7"/>
      <c r="D171" s="10" t="s">
        <v>175</v>
      </c>
      <c r="E171" s="1" t="s">
        <v>113</v>
      </c>
      <c r="F171" s="268" t="s">
        <v>111</v>
      </c>
      <c r="G171" s="4" t="s">
        <v>118</v>
      </c>
      <c r="H171" s="4" t="s">
        <v>69</v>
      </c>
      <c r="I171" s="4" t="s">
        <v>447</v>
      </c>
      <c r="J171" s="274">
        <v>83</v>
      </c>
    </row>
    <row r="172" spans="1:10" ht="16.8" x14ac:dyDescent="0.3">
      <c r="A172" s="365" t="s">
        <v>605</v>
      </c>
      <c r="B172" s="661">
        <v>3</v>
      </c>
      <c r="C172" s="7"/>
      <c r="D172" s="10" t="s">
        <v>92</v>
      </c>
      <c r="E172" s="1" t="s">
        <v>110</v>
      </c>
      <c r="F172" s="268" t="s">
        <v>111</v>
      </c>
      <c r="G172" s="4" t="s">
        <v>66</v>
      </c>
      <c r="H172" s="9" t="s">
        <v>112</v>
      </c>
      <c r="I172" s="9" t="s">
        <v>447</v>
      </c>
      <c r="J172" s="274">
        <v>84</v>
      </c>
    </row>
    <row r="173" spans="1:10" ht="16.8" x14ac:dyDescent="0.3">
      <c r="A173" s="365" t="s">
        <v>606</v>
      </c>
      <c r="B173" s="661">
        <v>3</v>
      </c>
      <c r="C173" s="7"/>
      <c r="D173" s="272" t="s">
        <v>92</v>
      </c>
      <c r="E173" s="271" t="s">
        <v>110</v>
      </c>
      <c r="F173" s="277" t="s">
        <v>67</v>
      </c>
      <c r="G173" s="273" t="s">
        <v>71</v>
      </c>
      <c r="H173" s="273" t="s">
        <v>70</v>
      </c>
      <c r="I173" s="273" t="s">
        <v>448</v>
      </c>
      <c r="J173" s="278">
        <v>84</v>
      </c>
    </row>
    <row r="174" spans="1:10" ht="16.8" x14ac:dyDescent="0.3">
      <c r="A174" s="365" t="s">
        <v>607</v>
      </c>
      <c r="B174" s="661">
        <v>3</v>
      </c>
      <c r="C174" s="7"/>
      <c r="D174" s="10" t="s">
        <v>75</v>
      </c>
      <c r="E174" s="1" t="s">
        <v>134</v>
      </c>
      <c r="F174" s="268" t="s">
        <v>111</v>
      </c>
      <c r="G174" s="4" t="s">
        <v>71</v>
      </c>
      <c r="H174" s="4" t="s">
        <v>69</v>
      </c>
      <c r="I174" s="4" t="s">
        <v>486</v>
      </c>
      <c r="J174" s="274">
        <v>88</v>
      </c>
    </row>
    <row r="175" spans="1:10" ht="16.8" x14ac:dyDescent="0.3">
      <c r="A175" s="365" t="s">
        <v>660</v>
      </c>
      <c r="B175" s="661">
        <v>3</v>
      </c>
      <c r="C175" s="10" t="s">
        <v>275</v>
      </c>
      <c r="D175" s="10" t="s">
        <v>92</v>
      </c>
      <c r="E175" s="1" t="s">
        <v>190</v>
      </c>
      <c r="F175" s="268" t="s">
        <v>111</v>
      </c>
      <c r="G175" s="4" t="s">
        <v>99</v>
      </c>
      <c r="H175" s="4" t="s">
        <v>69</v>
      </c>
      <c r="I175" s="4" t="s">
        <v>442</v>
      </c>
      <c r="J175" s="274">
        <v>209</v>
      </c>
    </row>
    <row r="176" spans="1:10" ht="16.8" x14ac:dyDescent="0.3">
      <c r="A176" s="365" t="s">
        <v>608</v>
      </c>
      <c r="B176" s="661">
        <v>3</v>
      </c>
      <c r="C176" s="7"/>
      <c r="D176" s="193" t="s">
        <v>65</v>
      </c>
      <c r="E176" s="5" t="s">
        <v>110</v>
      </c>
      <c r="F176" s="9" t="s">
        <v>111</v>
      </c>
      <c r="G176" s="9" t="s">
        <v>80</v>
      </c>
      <c r="H176" s="9" t="s">
        <v>72</v>
      </c>
      <c r="I176" s="9" t="s">
        <v>369</v>
      </c>
      <c r="J176" s="668">
        <v>47</v>
      </c>
    </row>
    <row r="177" spans="1:10" ht="16.8" x14ac:dyDescent="0.3">
      <c r="A177" s="365" t="s">
        <v>609</v>
      </c>
      <c r="B177" s="661">
        <v>3</v>
      </c>
      <c r="C177" s="7"/>
      <c r="D177" s="10" t="s">
        <v>174</v>
      </c>
      <c r="E177" s="1" t="s">
        <v>110</v>
      </c>
      <c r="F177" s="268" t="s">
        <v>111</v>
      </c>
      <c r="G177" s="273" t="s">
        <v>118</v>
      </c>
      <c r="H177" s="4" t="s">
        <v>8</v>
      </c>
      <c r="I177" s="4" t="s">
        <v>486</v>
      </c>
      <c r="J177" s="274">
        <v>88</v>
      </c>
    </row>
    <row r="178" spans="1:10" ht="16.8" x14ac:dyDescent="0.3">
      <c r="A178" s="365" t="s">
        <v>610</v>
      </c>
      <c r="B178" s="661">
        <v>3</v>
      </c>
      <c r="C178" s="7"/>
      <c r="D178" s="272" t="s">
        <v>73</v>
      </c>
      <c r="E178" s="271" t="s">
        <v>113</v>
      </c>
      <c r="F178" s="268" t="s">
        <v>133</v>
      </c>
      <c r="G178" s="273" t="s">
        <v>90</v>
      </c>
      <c r="H178" s="273" t="s">
        <v>74</v>
      </c>
      <c r="I178" s="4" t="s">
        <v>450</v>
      </c>
      <c r="J178" s="274">
        <v>91</v>
      </c>
    </row>
    <row r="179" spans="1:10" ht="16.8" x14ac:dyDescent="0.3">
      <c r="A179" s="365" t="s">
        <v>119</v>
      </c>
      <c r="B179" s="661">
        <v>3</v>
      </c>
      <c r="C179" s="7"/>
      <c r="D179" s="10" t="s">
        <v>174</v>
      </c>
      <c r="E179" s="1" t="s">
        <v>110</v>
      </c>
      <c r="F179" s="268" t="s">
        <v>111</v>
      </c>
      <c r="G179" s="4" t="s">
        <v>66</v>
      </c>
      <c r="H179" s="4" t="s">
        <v>70</v>
      </c>
      <c r="I179" s="4" t="s">
        <v>442</v>
      </c>
      <c r="J179" s="274">
        <v>213</v>
      </c>
    </row>
    <row r="180" spans="1:10" ht="16.8" x14ac:dyDescent="0.3">
      <c r="A180" s="365" t="s">
        <v>225</v>
      </c>
      <c r="B180" s="661">
        <v>3</v>
      </c>
      <c r="C180" s="7"/>
      <c r="D180" s="10" t="s">
        <v>195</v>
      </c>
      <c r="E180" s="1" t="s">
        <v>114</v>
      </c>
      <c r="F180" s="268" t="s">
        <v>111</v>
      </c>
      <c r="G180" s="4" t="s">
        <v>66</v>
      </c>
      <c r="H180" s="4" t="s">
        <v>148</v>
      </c>
      <c r="I180" s="4" t="s">
        <v>442</v>
      </c>
      <c r="J180" s="274">
        <v>213</v>
      </c>
    </row>
    <row r="181" spans="1:10" ht="16.8" x14ac:dyDescent="0.3">
      <c r="A181" s="365" t="s">
        <v>226</v>
      </c>
      <c r="B181" s="661">
        <v>3</v>
      </c>
      <c r="C181" s="7"/>
      <c r="D181" s="10" t="s">
        <v>73</v>
      </c>
      <c r="E181" s="1" t="s">
        <v>110</v>
      </c>
      <c r="F181" s="268" t="s">
        <v>136</v>
      </c>
      <c r="G181" s="4" t="s">
        <v>90</v>
      </c>
      <c r="H181" s="4" t="s">
        <v>95</v>
      </c>
      <c r="I181" s="4" t="s">
        <v>442</v>
      </c>
      <c r="J181" s="274">
        <v>214</v>
      </c>
    </row>
    <row r="182" spans="1:10" ht="16.8" x14ac:dyDescent="0.3">
      <c r="A182" s="365" t="s">
        <v>129</v>
      </c>
      <c r="B182" s="661">
        <v>3</v>
      </c>
      <c r="C182" s="7"/>
      <c r="D182" s="10" t="s">
        <v>73</v>
      </c>
      <c r="E182" s="1" t="s">
        <v>110</v>
      </c>
      <c r="F182" s="268" t="s">
        <v>111</v>
      </c>
      <c r="G182" s="4" t="s">
        <v>66</v>
      </c>
      <c r="H182" s="4" t="s">
        <v>70</v>
      </c>
      <c r="I182" s="4" t="s">
        <v>442</v>
      </c>
      <c r="J182" s="274">
        <v>216</v>
      </c>
    </row>
    <row r="183" spans="1:10" ht="16.8" x14ac:dyDescent="0.3">
      <c r="A183" s="365" t="s">
        <v>611</v>
      </c>
      <c r="B183" s="661">
        <v>3</v>
      </c>
      <c r="C183" s="7"/>
      <c r="D183" s="10" t="s">
        <v>175</v>
      </c>
      <c r="E183" s="1" t="s">
        <v>110</v>
      </c>
      <c r="F183" s="268" t="s">
        <v>111</v>
      </c>
      <c r="G183" s="4" t="s">
        <v>66</v>
      </c>
      <c r="H183" s="9" t="s">
        <v>74</v>
      </c>
      <c r="I183" s="9" t="s">
        <v>447</v>
      </c>
      <c r="J183" s="274">
        <v>84</v>
      </c>
    </row>
    <row r="184" spans="1:10" ht="16.8" x14ac:dyDescent="0.3">
      <c r="A184" s="365" t="s">
        <v>227</v>
      </c>
      <c r="B184" s="661">
        <v>3</v>
      </c>
      <c r="C184" s="7"/>
      <c r="D184" s="10" t="s">
        <v>75</v>
      </c>
      <c r="E184" s="1" t="s">
        <v>110</v>
      </c>
      <c r="F184" s="268" t="s">
        <v>111</v>
      </c>
      <c r="G184" s="4" t="s">
        <v>66</v>
      </c>
      <c r="H184" s="4" t="s">
        <v>97</v>
      </c>
      <c r="I184" s="4" t="s">
        <v>442</v>
      </c>
      <c r="J184" s="274">
        <v>217</v>
      </c>
    </row>
    <row r="185" spans="1:10" ht="16.8" x14ac:dyDescent="0.3">
      <c r="A185" s="365" t="s">
        <v>228</v>
      </c>
      <c r="B185" s="661">
        <v>3</v>
      </c>
      <c r="C185" s="7"/>
      <c r="D185" s="10" t="s">
        <v>175</v>
      </c>
      <c r="E185" s="1" t="s">
        <v>113</v>
      </c>
      <c r="F185" s="268" t="s">
        <v>111</v>
      </c>
      <c r="G185" s="4" t="s">
        <v>66</v>
      </c>
      <c r="H185" s="4" t="s">
        <v>74</v>
      </c>
      <c r="I185" s="4" t="s">
        <v>444</v>
      </c>
      <c r="J185" s="274">
        <v>119</v>
      </c>
    </row>
    <row r="186" spans="1:10" ht="16.8" x14ac:dyDescent="0.3">
      <c r="A186" s="365" t="s">
        <v>612</v>
      </c>
      <c r="B186" s="661">
        <v>3</v>
      </c>
      <c r="C186" s="7"/>
      <c r="D186" s="10" t="s">
        <v>92</v>
      </c>
      <c r="E186" s="1" t="s">
        <v>110</v>
      </c>
      <c r="F186" s="268" t="s">
        <v>111</v>
      </c>
      <c r="G186" s="4" t="s">
        <v>71</v>
      </c>
      <c r="H186" s="4" t="s">
        <v>69</v>
      </c>
      <c r="I186" s="4" t="s">
        <v>486</v>
      </c>
      <c r="J186" s="274">
        <v>92</v>
      </c>
    </row>
    <row r="187" spans="1:10" ht="16.8" x14ac:dyDescent="0.3">
      <c r="A187" s="365" t="s">
        <v>130</v>
      </c>
      <c r="B187" s="661">
        <v>3</v>
      </c>
      <c r="C187" s="7"/>
      <c r="D187" s="10" t="s">
        <v>65</v>
      </c>
      <c r="E187" s="1" t="s">
        <v>110</v>
      </c>
      <c r="F187" s="268" t="s">
        <v>111</v>
      </c>
      <c r="G187" s="4" t="s">
        <v>118</v>
      </c>
      <c r="H187" s="4" t="s">
        <v>70</v>
      </c>
      <c r="I187" s="4" t="s">
        <v>442</v>
      </c>
      <c r="J187" s="274">
        <v>223</v>
      </c>
    </row>
    <row r="188" spans="1:10" ht="16.8" x14ac:dyDescent="0.3">
      <c r="A188" s="365" t="s">
        <v>613</v>
      </c>
      <c r="B188" s="661">
        <v>3</v>
      </c>
      <c r="C188" s="7"/>
      <c r="D188" s="10" t="s">
        <v>175</v>
      </c>
      <c r="E188" s="271" t="s">
        <v>114</v>
      </c>
      <c r="F188" s="4" t="s">
        <v>111</v>
      </c>
      <c r="G188" s="4" t="s">
        <v>90</v>
      </c>
      <c r="H188" s="4" t="s">
        <v>70</v>
      </c>
      <c r="I188" s="4" t="s">
        <v>449</v>
      </c>
      <c r="J188" s="274">
        <v>98</v>
      </c>
    </row>
    <row r="189" spans="1:10" ht="16.8" x14ac:dyDescent="0.3">
      <c r="A189" s="365" t="s">
        <v>614</v>
      </c>
      <c r="B189" s="661">
        <v>3</v>
      </c>
      <c r="C189" s="7"/>
      <c r="D189" s="10" t="s">
        <v>75</v>
      </c>
      <c r="E189" s="1" t="s">
        <v>114</v>
      </c>
      <c r="F189" s="268" t="s">
        <v>111</v>
      </c>
      <c r="G189" s="4" t="s">
        <v>66</v>
      </c>
      <c r="H189" s="9" t="s">
        <v>74</v>
      </c>
      <c r="I189" s="9" t="s">
        <v>447</v>
      </c>
      <c r="J189" s="274">
        <v>86</v>
      </c>
    </row>
    <row r="190" spans="1:10" ht="16.8" x14ac:dyDescent="0.3">
      <c r="A190" s="365" t="s">
        <v>615</v>
      </c>
      <c r="B190" s="661">
        <v>3</v>
      </c>
      <c r="C190" s="7"/>
      <c r="D190" s="10" t="s">
        <v>75</v>
      </c>
      <c r="E190" s="1" t="s">
        <v>616</v>
      </c>
      <c r="F190" s="268" t="s">
        <v>111</v>
      </c>
      <c r="G190" s="4" t="s">
        <v>90</v>
      </c>
      <c r="H190" s="4" t="s">
        <v>70</v>
      </c>
      <c r="I190" s="4" t="s">
        <v>486</v>
      </c>
      <c r="J190" s="274">
        <v>96</v>
      </c>
    </row>
    <row r="191" spans="1:10" ht="16.8" x14ac:dyDescent="0.3">
      <c r="A191" s="365" t="s">
        <v>229</v>
      </c>
      <c r="B191" s="661">
        <v>3</v>
      </c>
      <c r="C191" s="7"/>
      <c r="D191" s="10" t="s">
        <v>175</v>
      </c>
      <c r="E191" s="1" t="s">
        <v>113</v>
      </c>
      <c r="F191" s="268" t="s">
        <v>111</v>
      </c>
      <c r="G191" s="4" t="s">
        <v>71</v>
      </c>
      <c r="H191" s="4" t="s">
        <v>74</v>
      </c>
      <c r="I191" s="4" t="s">
        <v>444</v>
      </c>
      <c r="J191" s="274">
        <v>120</v>
      </c>
    </row>
    <row r="192" spans="1:10" ht="16.8" x14ac:dyDescent="0.3">
      <c r="A192" s="365" t="s">
        <v>617</v>
      </c>
      <c r="B192" s="661">
        <v>3</v>
      </c>
      <c r="C192" s="7"/>
      <c r="D192" s="10" t="s">
        <v>92</v>
      </c>
      <c r="E192" s="1" t="s">
        <v>113</v>
      </c>
      <c r="F192" s="268" t="s">
        <v>67</v>
      </c>
      <c r="G192" s="4" t="s">
        <v>618</v>
      </c>
      <c r="H192" s="4" t="s">
        <v>69</v>
      </c>
      <c r="I192" s="4" t="s">
        <v>444</v>
      </c>
      <c r="J192" s="274">
        <v>121</v>
      </c>
    </row>
    <row r="193" spans="1:10" ht="16.8" x14ac:dyDescent="0.3">
      <c r="A193" s="365" t="s">
        <v>230</v>
      </c>
      <c r="B193" s="661">
        <v>3</v>
      </c>
      <c r="C193" s="7"/>
      <c r="D193" s="10" t="s">
        <v>65</v>
      </c>
      <c r="E193" s="1" t="s">
        <v>452</v>
      </c>
      <c r="F193" s="268" t="s">
        <v>111</v>
      </c>
      <c r="G193" s="4" t="s">
        <v>66</v>
      </c>
      <c r="H193" s="4" t="s">
        <v>231</v>
      </c>
      <c r="I193" s="4" t="s">
        <v>442</v>
      </c>
      <c r="J193" s="274">
        <v>236</v>
      </c>
    </row>
    <row r="194" spans="1:10" ht="16.8" x14ac:dyDescent="0.3">
      <c r="A194" s="365" t="s">
        <v>619</v>
      </c>
      <c r="B194" s="661">
        <v>3</v>
      </c>
      <c r="C194" s="7"/>
      <c r="D194" s="10" t="s">
        <v>188</v>
      </c>
      <c r="E194" s="1" t="s">
        <v>113</v>
      </c>
      <c r="F194" s="4" t="s">
        <v>111</v>
      </c>
      <c r="G194" s="4" t="s">
        <v>90</v>
      </c>
      <c r="H194" s="4" t="s">
        <v>148</v>
      </c>
      <c r="I194" s="4" t="s">
        <v>449</v>
      </c>
      <c r="J194" s="274">
        <v>100</v>
      </c>
    </row>
    <row r="195" spans="1:10" ht="16.8" x14ac:dyDescent="0.3">
      <c r="A195" s="365" t="s">
        <v>620</v>
      </c>
      <c r="B195" s="661">
        <v>3</v>
      </c>
      <c r="C195" s="7"/>
      <c r="D195" s="269" t="s">
        <v>188</v>
      </c>
      <c r="E195" s="1" t="s">
        <v>110</v>
      </c>
      <c r="F195" s="561" t="s">
        <v>621</v>
      </c>
      <c r="G195" s="4" t="s">
        <v>90</v>
      </c>
      <c r="H195" s="4" t="s">
        <v>74</v>
      </c>
      <c r="I195" s="4" t="s">
        <v>493</v>
      </c>
      <c r="J195" s="274">
        <v>114</v>
      </c>
    </row>
    <row r="196" spans="1:10" ht="16.8" x14ac:dyDescent="0.3">
      <c r="A196" s="365" t="s">
        <v>622</v>
      </c>
      <c r="B196" s="661">
        <v>3</v>
      </c>
      <c r="C196" s="7"/>
      <c r="D196" s="8" t="s">
        <v>174</v>
      </c>
      <c r="E196" s="1" t="s">
        <v>110</v>
      </c>
      <c r="F196" s="9" t="s">
        <v>111</v>
      </c>
      <c r="G196" s="4" t="s">
        <v>66</v>
      </c>
      <c r="H196" s="9" t="s">
        <v>485</v>
      </c>
      <c r="I196" s="4" t="s">
        <v>442</v>
      </c>
      <c r="J196" s="274">
        <v>244</v>
      </c>
    </row>
    <row r="197" spans="1:10" ht="16.8" x14ac:dyDescent="0.3">
      <c r="A197" s="365" t="s">
        <v>623</v>
      </c>
      <c r="B197" s="661">
        <v>3</v>
      </c>
      <c r="C197" s="7"/>
      <c r="D197" s="10" t="s">
        <v>188</v>
      </c>
      <c r="E197" s="1" t="s">
        <v>135</v>
      </c>
      <c r="F197" s="4" t="s">
        <v>111</v>
      </c>
      <c r="G197" s="4" t="s">
        <v>504</v>
      </c>
      <c r="H197" s="4" t="s">
        <v>8</v>
      </c>
      <c r="I197" s="4" t="s">
        <v>449</v>
      </c>
      <c r="J197" s="274">
        <v>101</v>
      </c>
    </row>
    <row r="198" spans="1:10" ht="16.8" x14ac:dyDescent="0.3">
      <c r="A198" s="365" t="s">
        <v>232</v>
      </c>
      <c r="B198" s="661">
        <v>3</v>
      </c>
      <c r="C198" s="7"/>
      <c r="D198" s="10" t="s">
        <v>75</v>
      </c>
      <c r="E198" s="1" t="s">
        <v>110</v>
      </c>
      <c r="F198" s="268" t="s">
        <v>111</v>
      </c>
      <c r="G198" s="4" t="s">
        <v>71</v>
      </c>
      <c r="H198" s="4" t="s">
        <v>69</v>
      </c>
      <c r="I198" s="4" t="s">
        <v>442</v>
      </c>
      <c r="J198" s="274">
        <v>245</v>
      </c>
    </row>
    <row r="199" spans="1:10" ht="16.8" x14ac:dyDescent="0.3">
      <c r="A199" s="365" t="s">
        <v>624</v>
      </c>
      <c r="B199" s="661">
        <v>3</v>
      </c>
      <c r="C199" s="7"/>
      <c r="D199" s="8" t="s">
        <v>75</v>
      </c>
      <c r="E199" s="1" t="s">
        <v>455</v>
      </c>
      <c r="F199" s="277" t="s">
        <v>111</v>
      </c>
      <c r="G199" s="9" t="s">
        <v>164</v>
      </c>
      <c r="H199" s="9" t="s">
        <v>70</v>
      </c>
      <c r="I199" s="9" t="s">
        <v>625</v>
      </c>
      <c r="J199" s="663">
        <v>212</v>
      </c>
    </row>
    <row r="200" spans="1:10" ht="16.8" x14ac:dyDescent="0.3">
      <c r="A200" s="365" t="s">
        <v>233</v>
      </c>
      <c r="B200" s="661">
        <v>3</v>
      </c>
      <c r="C200" s="7"/>
      <c r="D200" s="10" t="s">
        <v>65</v>
      </c>
      <c r="E200" s="1" t="s">
        <v>113</v>
      </c>
      <c r="F200" s="268" t="s">
        <v>111</v>
      </c>
      <c r="G200" s="4" t="s">
        <v>66</v>
      </c>
      <c r="H200" s="4" t="s">
        <v>74</v>
      </c>
      <c r="I200" s="4" t="s">
        <v>444</v>
      </c>
      <c r="J200" s="274">
        <v>124</v>
      </c>
    </row>
    <row r="201" spans="1:10" ht="16.8" x14ac:dyDescent="0.3">
      <c r="A201" s="365" t="s">
        <v>626</v>
      </c>
      <c r="B201" s="661">
        <v>3</v>
      </c>
      <c r="C201" s="7"/>
      <c r="D201" s="10" t="s">
        <v>92</v>
      </c>
      <c r="E201" s="1" t="s">
        <v>190</v>
      </c>
      <c r="F201" s="268" t="s">
        <v>111</v>
      </c>
      <c r="G201" s="273" t="s">
        <v>627</v>
      </c>
      <c r="H201" s="4" t="s">
        <v>69</v>
      </c>
      <c r="I201" s="273" t="s">
        <v>628</v>
      </c>
      <c r="J201" s="274">
        <v>31</v>
      </c>
    </row>
    <row r="202" spans="1:10" ht="16.8" x14ac:dyDescent="0.3">
      <c r="A202" s="365" t="s">
        <v>234</v>
      </c>
      <c r="B202" s="661">
        <v>3</v>
      </c>
      <c r="C202" s="7"/>
      <c r="D202" s="10" t="s">
        <v>92</v>
      </c>
      <c r="E202" s="1" t="s">
        <v>190</v>
      </c>
      <c r="F202" s="268" t="s">
        <v>111</v>
      </c>
      <c r="G202" s="4" t="s">
        <v>99</v>
      </c>
      <c r="H202" s="4" t="s">
        <v>69</v>
      </c>
      <c r="I202" s="4" t="s">
        <v>442</v>
      </c>
      <c r="J202" s="274">
        <v>249</v>
      </c>
    </row>
    <row r="203" spans="1:10" ht="16.8" x14ac:dyDescent="0.3">
      <c r="A203" s="365" t="s">
        <v>658</v>
      </c>
      <c r="B203" s="661">
        <v>3</v>
      </c>
      <c r="C203" s="10" t="s">
        <v>279</v>
      </c>
      <c r="D203" s="10" t="s">
        <v>65</v>
      </c>
      <c r="E203" s="1" t="s">
        <v>235</v>
      </c>
      <c r="F203" s="268" t="s">
        <v>111</v>
      </c>
      <c r="G203" s="4" t="s">
        <v>236</v>
      </c>
      <c r="H203" s="4" t="s">
        <v>72</v>
      </c>
      <c r="I203" s="4" t="s">
        <v>442</v>
      </c>
      <c r="J203" s="274">
        <v>250</v>
      </c>
    </row>
    <row r="204" spans="1:10" ht="16.8" x14ac:dyDescent="0.3">
      <c r="A204" s="365" t="s">
        <v>237</v>
      </c>
      <c r="B204" s="661">
        <v>3</v>
      </c>
      <c r="C204" s="10" t="s">
        <v>277</v>
      </c>
      <c r="D204" s="10" t="s">
        <v>175</v>
      </c>
      <c r="E204" s="1" t="s">
        <v>113</v>
      </c>
      <c r="F204" s="268" t="s">
        <v>111</v>
      </c>
      <c r="G204" s="4" t="s">
        <v>66</v>
      </c>
      <c r="H204" s="4" t="s">
        <v>112</v>
      </c>
      <c r="I204" s="4" t="s">
        <v>442</v>
      </c>
      <c r="J204" s="275">
        <v>251</v>
      </c>
    </row>
    <row r="205" spans="1:10" ht="16.8" x14ac:dyDescent="0.3">
      <c r="A205" s="365" t="s">
        <v>629</v>
      </c>
      <c r="B205" s="661">
        <v>3</v>
      </c>
      <c r="C205" s="7"/>
      <c r="D205" s="10" t="s">
        <v>188</v>
      </c>
      <c r="E205" s="1" t="s">
        <v>114</v>
      </c>
      <c r="F205" s="268" t="s">
        <v>111</v>
      </c>
      <c r="G205" s="4" t="s">
        <v>71</v>
      </c>
      <c r="H205" s="4" t="s">
        <v>74</v>
      </c>
      <c r="I205" s="4" t="s">
        <v>486</v>
      </c>
      <c r="J205" s="274">
        <v>99</v>
      </c>
    </row>
    <row r="206" spans="1:10" ht="16.8" x14ac:dyDescent="0.3">
      <c r="A206" s="365" t="s">
        <v>320</v>
      </c>
      <c r="B206" s="661">
        <v>3</v>
      </c>
      <c r="C206" s="7"/>
      <c r="D206" s="10" t="s">
        <v>188</v>
      </c>
      <c r="E206" s="1" t="s">
        <v>113</v>
      </c>
      <c r="F206" s="1" t="s">
        <v>111</v>
      </c>
      <c r="G206" s="4" t="s">
        <v>90</v>
      </c>
      <c r="H206" s="4" t="s">
        <v>69</v>
      </c>
      <c r="I206" s="4" t="s">
        <v>369</v>
      </c>
      <c r="J206" s="274">
        <v>8</v>
      </c>
    </row>
    <row r="207" spans="1:10" ht="16.8" x14ac:dyDescent="0.3">
      <c r="A207" s="365" t="s">
        <v>122</v>
      </c>
      <c r="B207" s="661">
        <v>3</v>
      </c>
      <c r="C207" s="7"/>
      <c r="D207" s="10" t="s">
        <v>175</v>
      </c>
      <c r="E207" s="1" t="s">
        <v>113</v>
      </c>
      <c r="F207" s="268" t="s">
        <v>111</v>
      </c>
      <c r="G207" s="4" t="s">
        <v>71</v>
      </c>
      <c r="H207" s="4" t="s">
        <v>72</v>
      </c>
      <c r="I207" s="4" t="s">
        <v>442</v>
      </c>
      <c r="J207" s="274">
        <v>252</v>
      </c>
    </row>
    <row r="208" spans="1:10" ht="16.8" x14ac:dyDescent="0.3">
      <c r="A208" s="365" t="s">
        <v>238</v>
      </c>
      <c r="B208" s="661">
        <v>3</v>
      </c>
      <c r="C208" s="7"/>
      <c r="D208" s="10" t="s">
        <v>65</v>
      </c>
      <c r="E208" s="1" t="s">
        <v>116</v>
      </c>
      <c r="F208" s="268" t="s">
        <v>111</v>
      </c>
      <c r="G208" s="4" t="s">
        <v>66</v>
      </c>
      <c r="H208" s="4" t="s">
        <v>239</v>
      </c>
      <c r="I208" s="4" t="s">
        <v>442</v>
      </c>
      <c r="J208" s="274">
        <v>258</v>
      </c>
    </row>
    <row r="209" spans="1:10" ht="16.8" x14ac:dyDescent="0.3">
      <c r="A209" s="365" t="s">
        <v>240</v>
      </c>
      <c r="B209" s="661">
        <v>3</v>
      </c>
      <c r="C209" s="7"/>
      <c r="D209" s="10" t="s">
        <v>73</v>
      </c>
      <c r="E209" s="1" t="s">
        <v>113</v>
      </c>
      <c r="F209" s="268" t="s">
        <v>111</v>
      </c>
      <c r="G209" s="4" t="s">
        <v>164</v>
      </c>
      <c r="H209" s="4" t="s">
        <v>74</v>
      </c>
      <c r="I209" s="4" t="s">
        <v>442</v>
      </c>
      <c r="J209" s="544">
        <v>263</v>
      </c>
    </row>
    <row r="210" spans="1:10" ht="16.8" x14ac:dyDescent="0.3">
      <c r="A210" s="365" t="s">
        <v>630</v>
      </c>
      <c r="B210" s="661">
        <v>3</v>
      </c>
      <c r="C210" s="7"/>
      <c r="D210" s="10" t="s">
        <v>65</v>
      </c>
      <c r="E210" s="1" t="s">
        <v>113</v>
      </c>
      <c r="F210" s="268" t="s">
        <v>111</v>
      </c>
      <c r="G210" s="4" t="s">
        <v>66</v>
      </c>
      <c r="H210" s="4" t="s">
        <v>72</v>
      </c>
      <c r="I210" s="4" t="s">
        <v>442</v>
      </c>
      <c r="J210" s="274">
        <v>266</v>
      </c>
    </row>
    <row r="211" spans="1:10" ht="16.8" x14ac:dyDescent="0.3">
      <c r="A211" s="365" t="s">
        <v>631</v>
      </c>
      <c r="B211" s="661">
        <v>3</v>
      </c>
      <c r="C211" s="7"/>
      <c r="D211" s="10" t="s">
        <v>73</v>
      </c>
      <c r="E211" s="1" t="s">
        <v>110</v>
      </c>
      <c r="F211" s="4" t="s">
        <v>111</v>
      </c>
      <c r="G211" s="4" t="s">
        <v>322</v>
      </c>
      <c r="H211" s="4" t="s">
        <v>70</v>
      </c>
      <c r="I211" s="4" t="s">
        <v>449</v>
      </c>
      <c r="J211" s="274">
        <v>105</v>
      </c>
    </row>
    <row r="212" spans="1:10" ht="16.8" x14ac:dyDescent="0.3">
      <c r="A212" s="365" t="s">
        <v>241</v>
      </c>
      <c r="B212" s="661">
        <v>3</v>
      </c>
      <c r="C212" s="7"/>
      <c r="D212" s="10" t="s">
        <v>73</v>
      </c>
      <c r="E212" s="1" t="s">
        <v>110</v>
      </c>
      <c r="F212" s="268" t="s">
        <v>111</v>
      </c>
      <c r="G212" s="4" t="s">
        <v>66</v>
      </c>
      <c r="H212" s="4" t="s">
        <v>70</v>
      </c>
      <c r="I212" s="4" t="s">
        <v>442</v>
      </c>
      <c r="J212" s="274">
        <v>270</v>
      </c>
    </row>
    <row r="213" spans="1:10" ht="16.8" x14ac:dyDescent="0.3">
      <c r="A213" s="365" t="s">
        <v>242</v>
      </c>
      <c r="B213" s="661">
        <v>3</v>
      </c>
      <c r="C213" s="7"/>
      <c r="D213" s="10" t="s">
        <v>65</v>
      </c>
      <c r="E213" s="1" t="s">
        <v>110</v>
      </c>
      <c r="F213" s="268" t="s">
        <v>111</v>
      </c>
      <c r="G213" s="4" t="s">
        <v>66</v>
      </c>
      <c r="H213" s="4" t="s">
        <v>70</v>
      </c>
      <c r="I213" s="4" t="s">
        <v>442</v>
      </c>
      <c r="J213" s="274">
        <v>270</v>
      </c>
    </row>
    <row r="214" spans="1:10" ht="16.8" x14ac:dyDescent="0.3">
      <c r="A214" s="365" t="s">
        <v>123</v>
      </c>
      <c r="B214" s="661">
        <v>3</v>
      </c>
      <c r="C214" s="7"/>
      <c r="D214" s="10" t="s">
        <v>73</v>
      </c>
      <c r="E214" s="1" t="s">
        <v>110</v>
      </c>
      <c r="F214" s="268" t="s">
        <v>111</v>
      </c>
      <c r="G214" s="4" t="s">
        <v>66</v>
      </c>
      <c r="H214" s="4" t="s">
        <v>70</v>
      </c>
      <c r="I214" s="4" t="s">
        <v>442</v>
      </c>
      <c r="J214" s="274">
        <v>271</v>
      </c>
    </row>
    <row r="215" spans="1:10" ht="16.8" x14ac:dyDescent="0.3">
      <c r="A215" s="365" t="s">
        <v>632</v>
      </c>
      <c r="B215" s="661">
        <v>3</v>
      </c>
      <c r="C215" s="7"/>
      <c r="D215" s="10" t="s">
        <v>73</v>
      </c>
      <c r="E215" s="1" t="s">
        <v>461</v>
      </c>
      <c r="F215" s="4" t="s">
        <v>111</v>
      </c>
      <c r="G215" s="4" t="s">
        <v>66</v>
      </c>
      <c r="H215" s="4" t="s">
        <v>70</v>
      </c>
      <c r="I215" s="4" t="s">
        <v>449</v>
      </c>
      <c r="J215" s="274">
        <v>105</v>
      </c>
    </row>
    <row r="216" spans="1:10" ht="16.8" x14ac:dyDescent="0.3">
      <c r="A216" s="365" t="s">
        <v>633</v>
      </c>
      <c r="B216" s="661">
        <v>3</v>
      </c>
      <c r="C216" s="7"/>
      <c r="D216" s="10" t="s">
        <v>65</v>
      </c>
      <c r="E216" s="1" t="s">
        <v>113</v>
      </c>
      <c r="F216" s="268" t="s">
        <v>111</v>
      </c>
      <c r="G216" s="4" t="s">
        <v>90</v>
      </c>
      <c r="H216" s="4" t="s">
        <v>72</v>
      </c>
      <c r="I216" s="4" t="s">
        <v>445</v>
      </c>
      <c r="J216" s="274">
        <v>120</v>
      </c>
    </row>
    <row r="217" spans="1:10" ht="16.8" x14ac:dyDescent="0.3">
      <c r="A217" s="365" t="s">
        <v>634</v>
      </c>
      <c r="B217" s="661">
        <v>3</v>
      </c>
      <c r="C217" s="7"/>
      <c r="D217" s="10" t="s">
        <v>73</v>
      </c>
      <c r="E217" s="1" t="s">
        <v>114</v>
      </c>
      <c r="F217" s="268" t="s">
        <v>111</v>
      </c>
      <c r="G217" s="273" t="s">
        <v>71</v>
      </c>
      <c r="H217" s="4" t="s">
        <v>69</v>
      </c>
      <c r="I217" s="4" t="s">
        <v>445</v>
      </c>
      <c r="J217" s="274">
        <v>121</v>
      </c>
    </row>
    <row r="218" spans="1:10" ht="16.8" x14ac:dyDescent="0.3">
      <c r="A218" s="365" t="s">
        <v>635</v>
      </c>
      <c r="B218" s="661">
        <v>3</v>
      </c>
      <c r="C218" s="7"/>
      <c r="D218" s="10" t="s">
        <v>188</v>
      </c>
      <c r="E218" s="1" t="s">
        <v>114</v>
      </c>
      <c r="F218" s="268" t="s">
        <v>111</v>
      </c>
      <c r="G218" s="4" t="s">
        <v>71</v>
      </c>
      <c r="H218" s="4" t="s">
        <v>74</v>
      </c>
      <c r="I218" s="4" t="s">
        <v>486</v>
      </c>
      <c r="J218" s="274">
        <v>103</v>
      </c>
    </row>
    <row r="219" spans="1:10" ht="16.8" x14ac:dyDescent="0.3">
      <c r="A219" s="365" t="s">
        <v>243</v>
      </c>
      <c r="B219" s="661">
        <v>3</v>
      </c>
      <c r="C219" s="7"/>
      <c r="D219" s="10" t="s">
        <v>75</v>
      </c>
      <c r="E219" s="1" t="s">
        <v>110</v>
      </c>
      <c r="F219" s="268" t="s">
        <v>111</v>
      </c>
      <c r="G219" s="4" t="s">
        <v>118</v>
      </c>
      <c r="H219" s="4" t="s">
        <v>70</v>
      </c>
      <c r="I219" s="4" t="s">
        <v>442</v>
      </c>
      <c r="J219" s="274">
        <v>275</v>
      </c>
    </row>
    <row r="220" spans="1:10" ht="16.8" x14ac:dyDescent="0.3">
      <c r="A220" s="365" t="s">
        <v>636</v>
      </c>
      <c r="B220" s="661">
        <v>3</v>
      </c>
      <c r="C220" s="7"/>
      <c r="D220" s="10" t="s">
        <v>174</v>
      </c>
      <c r="E220" s="1" t="s">
        <v>637</v>
      </c>
      <c r="F220" s="268" t="s">
        <v>111</v>
      </c>
      <c r="G220" s="4" t="s">
        <v>90</v>
      </c>
      <c r="H220" s="4" t="s">
        <v>70</v>
      </c>
      <c r="I220" s="4" t="s">
        <v>486</v>
      </c>
      <c r="J220" s="274">
        <v>103</v>
      </c>
    </row>
    <row r="221" spans="1:10" ht="16.8" x14ac:dyDescent="0.3">
      <c r="A221" s="365" t="s">
        <v>638</v>
      </c>
      <c r="B221" s="661">
        <v>3</v>
      </c>
      <c r="C221" s="7"/>
      <c r="D221" s="10" t="s">
        <v>174</v>
      </c>
      <c r="E221" s="1" t="s">
        <v>134</v>
      </c>
      <c r="F221" s="277" t="s">
        <v>111</v>
      </c>
      <c r="G221" s="273" t="s">
        <v>66</v>
      </c>
      <c r="H221" s="273" t="s">
        <v>112</v>
      </c>
      <c r="I221" s="273" t="s">
        <v>453</v>
      </c>
      <c r="J221" s="274">
        <v>111</v>
      </c>
    </row>
    <row r="222" spans="1:10" ht="16.8" x14ac:dyDescent="0.3">
      <c r="A222" s="365" t="s">
        <v>639</v>
      </c>
      <c r="B222" s="661">
        <v>3</v>
      </c>
      <c r="C222" s="7"/>
      <c r="D222" s="272" t="s">
        <v>75</v>
      </c>
      <c r="E222" s="271" t="s">
        <v>110</v>
      </c>
      <c r="F222" s="277" t="s">
        <v>111</v>
      </c>
      <c r="G222" s="273" t="s">
        <v>118</v>
      </c>
      <c r="H222" s="273" t="s">
        <v>70</v>
      </c>
      <c r="I222" s="273" t="s">
        <v>628</v>
      </c>
      <c r="J222" s="278">
        <v>35</v>
      </c>
    </row>
    <row r="223" spans="1:10" ht="16.8" x14ac:dyDescent="0.3">
      <c r="A223" s="365" t="s">
        <v>244</v>
      </c>
      <c r="B223" s="661">
        <v>3</v>
      </c>
      <c r="C223" s="7"/>
      <c r="D223" s="10" t="s">
        <v>174</v>
      </c>
      <c r="E223" s="1" t="s">
        <v>113</v>
      </c>
      <c r="F223" s="268" t="s">
        <v>111</v>
      </c>
      <c r="G223" s="4" t="s">
        <v>81</v>
      </c>
      <c r="H223" s="4" t="s">
        <v>69</v>
      </c>
      <c r="I223" s="4" t="s">
        <v>442</v>
      </c>
      <c r="J223" s="274">
        <v>281</v>
      </c>
    </row>
    <row r="224" spans="1:10" ht="16.8" x14ac:dyDescent="0.3">
      <c r="A224" s="365" t="s">
        <v>640</v>
      </c>
      <c r="B224" s="661">
        <v>3</v>
      </c>
      <c r="C224" s="7"/>
      <c r="D224" s="10" t="s">
        <v>175</v>
      </c>
      <c r="E224" s="1" t="s">
        <v>110</v>
      </c>
      <c r="F224" s="268" t="s">
        <v>111</v>
      </c>
      <c r="G224" s="4" t="s">
        <v>66</v>
      </c>
      <c r="H224" s="9" t="s">
        <v>112</v>
      </c>
      <c r="I224" s="9" t="s">
        <v>447</v>
      </c>
      <c r="J224" s="274">
        <v>90</v>
      </c>
    </row>
    <row r="225" spans="1:10" ht="16.8" x14ac:dyDescent="0.3">
      <c r="A225" s="365" t="s">
        <v>125</v>
      </c>
      <c r="B225" s="661">
        <v>3</v>
      </c>
      <c r="C225" s="7"/>
      <c r="D225" s="10" t="s">
        <v>175</v>
      </c>
      <c r="E225" s="1" t="s">
        <v>116</v>
      </c>
      <c r="F225" s="268" t="s">
        <v>111</v>
      </c>
      <c r="G225" s="4" t="s">
        <v>66</v>
      </c>
      <c r="H225" s="4" t="s">
        <v>70</v>
      </c>
      <c r="I225" s="4" t="s">
        <v>442</v>
      </c>
      <c r="J225" s="274">
        <v>284</v>
      </c>
    </row>
    <row r="226" spans="1:10" ht="16.8" x14ac:dyDescent="0.3">
      <c r="A226" s="365" t="s">
        <v>245</v>
      </c>
      <c r="B226" s="661">
        <v>3</v>
      </c>
      <c r="C226" s="7"/>
      <c r="D226" s="10" t="s">
        <v>65</v>
      </c>
      <c r="E226" s="1" t="s">
        <v>110</v>
      </c>
      <c r="F226" s="268" t="s">
        <v>111</v>
      </c>
      <c r="G226" s="4" t="s">
        <v>66</v>
      </c>
      <c r="H226" s="4" t="s">
        <v>72</v>
      </c>
      <c r="I226" s="4" t="s">
        <v>444</v>
      </c>
      <c r="J226" s="274">
        <v>128</v>
      </c>
    </row>
    <row r="227" spans="1:10" ht="16.8" x14ac:dyDescent="0.3">
      <c r="A227" s="365" t="s">
        <v>246</v>
      </c>
      <c r="B227" s="661">
        <v>3</v>
      </c>
      <c r="C227" s="7"/>
      <c r="D227" s="10" t="s">
        <v>73</v>
      </c>
      <c r="E227" s="1" t="s">
        <v>116</v>
      </c>
      <c r="F227" s="268" t="s">
        <v>133</v>
      </c>
      <c r="G227" s="4" t="s">
        <v>90</v>
      </c>
      <c r="H227" s="4" t="s">
        <v>74</v>
      </c>
      <c r="I227" s="4" t="s">
        <v>442</v>
      </c>
      <c r="J227" s="275">
        <v>286</v>
      </c>
    </row>
    <row r="228" spans="1:10" ht="16.8" x14ac:dyDescent="0.3">
      <c r="A228" s="365" t="s">
        <v>641</v>
      </c>
      <c r="B228" s="661">
        <v>3</v>
      </c>
      <c r="C228" s="7"/>
      <c r="D228" s="8" t="s">
        <v>73</v>
      </c>
      <c r="E228" s="5" t="s">
        <v>190</v>
      </c>
      <c r="F228" s="561" t="s">
        <v>111</v>
      </c>
      <c r="G228" s="4" t="s">
        <v>90</v>
      </c>
      <c r="H228" s="4" t="s">
        <v>74</v>
      </c>
      <c r="I228" s="4" t="s">
        <v>459</v>
      </c>
      <c r="J228" s="663">
        <v>71</v>
      </c>
    </row>
    <row r="229" spans="1:10" ht="16.8" x14ac:dyDescent="0.3">
      <c r="A229" s="365" t="s">
        <v>642</v>
      </c>
      <c r="B229" s="661">
        <v>3</v>
      </c>
      <c r="C229" s="7"/>
      <c r="D229" s="10" t="s">
        <v>75</v>
      </c>
      <c r="E229" s="1" t="s">
        <v>110</v>
      </c>
      <c r="F229" s="268" t="s">
        <v>111</v>
      </c>
      <c r="G229" s="4" t="s">
        <v>90</v>
      </c>
      <c r="H229" s="4" t="s">
        <v>70</v>
      </c>
      <c r="I229" s="4" t="s">
        <v>447</v>
      </c>
      <c r="J229" s="274">
        <v>90</v>
      </c>
    </row>
    <row r="230" spans="1:10" ht="16.8" x14ac:dyDescent="0.3">
      <c r="A230" s="365" t="s">
        <v>643</v>
      </c>
      <c r="B230" s="661">
        <v>3</v>
      </c>
      <c r="C230" s="7"/>
      <c r="D230" s="10" t="s">
        <v>174</v>
      </c>
      <c r="E230" s="1" t="s">
        <v>114</v>
      </c>
      <c r="F230" s="268" t="s">
        <v>133</v>
      </c>
      <c r="G230" s="4" t="s">
        <v>66</v>
      </c>
      <c r="H230" s="4" t="s">
        <v>112</v>
      </c>
      <c r="I230" s="4" t="s">
        <v>486</v>
      </c>
      <c r="J230" s="274">
        <v>108</v>
      </c>
    </row>
    <row r="231" spans="1:10" ht="16.8" x14ac:dyDescent="0.3">
      <c r="A231" s="365" t="s">
        <v>644</v>
      </c>
      <c r="B231" s="661">
        <v>3</v>
      </c>
      <c r="C231" s="7"/>
      <c r="D231" s="10" t="s">
        <v>73</v>
      </c>
      <c r="E231" s="1" t="s">
        <v>110</v>
      </c>
      <c r="F231" s="268" t="s">
        <v>111</v>
      </c>
      <c r="G231" s="4" t="s">
        <v>66</v>
      </c>
      <c r="H231" s="4" t="s">
        <v>124</v>
      </c>
      <c r="I231" s="4" t="s">
        <v>522</v>
      </c>
      <c r="J231" s="274">
        <v>186</v>
      </c>
    </row>
    <row r="232" spans="1:10" ht="16.8" x14ac:dyDescent="0.3">
      <c r="A232" s="365" t="s">
        <v>645</v>
      </c>
      <c r="B232" s="661">
        <v>3</v>
      </c>
      <c r="C232" s="7"/>
      <c r="D232" s="10" t="s">
        <v>73</v>
      </c>
      <c r="E232" s="1" t="s">
        <v>110</v>
      </c>
      <c r="F232" s="268" t="s">
        <v>111</v>
      </c>
      <c r="G232" s="4" t="s">
        <v>322</v>
      </c>
      <c r="H232" s="4" t="s">
        <v>124</v>
      </c>
      <c r="I232" s="4" t="s">
        <v>522</v>
      </c>
      <c r="J232" s="274">
        <v>186</v>
      </c>
    </row>
    <row r="233" spans="1:10" ht="16.8" x14ac:dyDescent="0.3">
      <c r="A233" s="365" t="s">
        <v>646</v>
      </c>
      <c r="B233" s="661">
        <v>3</v>
      </c>
      <c r="C233" s="7"/>
      <c r="D233" s="10" t="s">
        <v>75</v>
      </c>
      <c r="E233" s="1" t="s">
        <v>116</v>
      </c>
      <c r="F233" s="268" t="s">
        <v>111</v>
      </c>
      <c r="G233" s="4" t="s">
        <v>66</v>
      </c>
      <c r="H233" s="4" t="s">
        <v>72</v>
      </c>
      <c r="I233" s="4" t="s">
        <v>486</v>
      </c>
      <c r="J233" s="274">
        <v>108</v>
      </c>
    </row>
    <row r="234" spans="1:10" ht="16.8" x14ac:dyDescent="0.3">
      <c r="A234" s="365" t="s">
        <v>126</v>
      </c>
      <c r="B234" s="661">
        <v>3</v>
      </c>
      <c r="C234" s="7"/>
      <c r="D234" s="10" t="s">
        <v>175</v>
      </c>
      <c r="E234" s="1" t="s">
        <v>116</v>
      </c>
      <c r="F234" s="268" t="s">
        <v>111</v>
      </c>
      <c r="G234" s="4" t="s">
        <v>66</v>
      </c>
      <c r="H234" s="4" t="s">
        <v>127</v>
      </c>
      <c r="I234" s="4" t="s">
        <v>442</v>
      </c>
      <c r="J234" s="274">
        <v>300</v>
      </c>
    </row>
    <row r="235" spans="1:10" ht="16.8" x14ac:dyDescent="0.3">
      <c r="A235" s="365" t="s">
        <v>248</v>
      </c>
      <c r="B235" s="661">
        <v>3</v>
      </c>
      <c r="C235" s="7"/>
      <c r="D235" s="10" t="s">
        <v>175</v>
      </c>
      <c r="E235" s="1" t="s">
        <v>116</v>
      </c>
      <c r="F235" s="268" t="s">
        <v>111</v>
      </c>
      <c r="G235" s="4" t="s">
        <v>66</v>
      </c>
      <c r="H235" s="4" t="s">
        <v>72</v>
      </c>
      <c r="I235" s="4" t="s">
        <v>442</v>
      </c>
      <c r="J235" s="274">
        <v>300</v>
      </c>
    </row>
    <row r="236" spans="1:10" ht="16.8" x14ac:dyDescent="0.3">
      <c r="A236" s="365" t="s">
        <v>128</v>
      </c>
      <c r="B236" s="661">
        <v>3</v>
      </c>
      <c r="C236" s="7"/>
      <c r="D236" s="10" t="s">
        <v>75</v>
      </c>
      <c r="E236" s="1" t="s">
        <v>116</v>
      </c>
      <c r="F236" s="268" t="s">
        <v>111</v>
      </c>
      <c r="G236" s="4" t="s">
        <v>118</v>
      </c>
      <c r="H236" s="4" t="s">
        <v>74</v>
      </c>
      <c r="I236" s="4" t="s">
        <v>442</v>
      </c>
      <c r="J236" s="274">
        <v>302</v>
      </c>
    </row>
    <row r="237" spans="1:10" ht="16.8" x14ac:dyDescent="0.3">
      <c r="A237" s="365" t="s">
        <v>647</v>
      </c>
      <c r="B237" s="661">
        <v>3</v>
      </c>
      <c r="C237" s="7"/>
      <c r="D237" s="10" t="s">
        <v>174</v>
      </c>
      <c r="E237" s="1" t="s">
        <v>110</v>
      </c>
      <c r="F237" s="268" t="s">
        <v>111</v>
      </c>
      <c r="G237" s="4" t="s">
        <v>90</v>
      </c>
      <c r="H237" s="4" t="s">
        <v>74</v>
      </c>
      <c r="I237" s="4" t="s">
        <v>486</v>
      </c>
      <c r="J237" s="274">
        <v>110</v>
      </c>
    </row>
    <row r="238" spans="1:10" ht="16.8" x14ac:dyDescent="0.3">
      <c r="A238" s="366" t="s">
        <v>648</v>
      </c>
      <c r="B238" s="664">
        <v>4</v>
      </c>
      <c r="C238" s="77"/>
      <c r="D238" s="78" t="s">
        <v>73</v>
      </c>
      <c r="E238" s="6" t="s">
        <v>649</v>
      </c>
      <c r="F238" s="270" t="s">
        <v>111</v>
      </c>
      <c r="G238" s="11" t="s">
        <v>71</v>
      </c>
      <c r="H238" s="11" t="s">
        <v>69</v>
      </c>
      <c r="I238" s="11" t="s">
        <v>486</v>
      </c>
      <c r="J238" s="665">
        <v>84</v>
      </c>
    </row>
    <row r="239" spans="1:10" ht="16.8" x14ac:dyDescent="0.3">
      <c r="A239" s="365" t="s">
        <v>377</v>
      </c>
      <c r="B239" s="661">
        <v>4</v>
      </c>
      <c r="C239" s="7"/>
      <c r="D239" s="279" t="s">
        <v>175</v>
      </c>
      <c r="E239" s="1" t="s">
        <v>135</v>
      </c>
      <c r="F239" s="9" t="s">
        <v>440</v>
      </c>
      <c r="G239" s="9" t="s">
        <v>71</v>
      </c>
      <c r="H239" s="9" t="s">
        <v>69</v>
      </c>
      <c r="I239" s="9" t="s">
        <v>441</v>
      </c>
      <c r="J239" s="663">
        <v>174</v>
      </c>
    </row>
    <row r="240" spans="1:10" ht="16.8" x14ac:dyDescent="0.3">
      <c r="A240" s="365" t="s">
        <v>378</v>
      </c>
      <c r="B240" s="661">
        <v>4</v>
      </c>
      <c r="C240" s="7"/>
      <c r="D240" s="10" t="s">
        <v>175</v>
      </c>
      <c r="E240" s="1" t="s">
        <v>113</v>
      </c>
      <c r="F240" s="268" t="s">
        <v>111</v>
      </c>
      <c r="G240" s="4" t="s">
        <v>66</v>
      </c>
      <c r="H240" s="4" t="s">
        <v>72</v>
      </c>
      <c r="I240" s="4" t="s">
        <v>442</v>
      </c>
      <c r="J240" s="274">
        <v>196</v>
      </c>
    </row>
    <row r="241" spans="1:10" ht="16.8" x14ac:dyDescent="0.3">
      <c r="A241" s="365" t="s">
        <v>379</v>
      </c>
      <c r="B241" s="661">
        <v>4</v>
      </c>
      <c r="C241" s="7"/>
      <c r="D241" s="10" t="s">
        <v>65</v>
      </c>
      <c r="E241" s="1" t="s">
        <v>113</v>
      </c>
      <c r="F241" s="268" t="s">
        <v>111</v>
      </c>
      <c r="G241" s="4" t="s">
        <v>443</v>
      </c>
      <c r="H241" s="4" t="s">
        <v>74</v>
      </c>
      <c r="I241" s="4" t="s">
        <v>444</v>
      </c>
      <c r="J241" s="274">
        <v>116</v>
      </c>
    </row>
    <row r="242" spans="1:10" ht="16.8" x14ac:dyDescent="0.3">
      <c r="A242" s="365" t="s">
        <v>380</v>
      </c>
      <c r="B242" s="661">
        <v>4</v>
      </c>
      <c r="C242" s="7"/>
      <c r="D242" s="10" t="s">
        <v>92</v>
      </c>
      <c r="E242" s="271" t="s">
        <v>110</v>
      </c>
      <c r="F242" s="268" t="s">
        <v>440</v>
      </c>
      <c r="G242" s="273" t="s">
        <v>71</v>
      </c>
      <c r="H242" s="4" t="s">
        <v>74</v>
      </c>
      <c r="I242" s="4" t="s">
        <v>445</v>
      </c>
      <c r="J242" s="274">
        <v>98</v>
      </c>
    </row>
    <row r="243" spans="1:10" ht="16.8" x14ac:dyDescent="0.3">
      <c r="A243" s="365" t="s">
        <v>381</v>
      </c>
      <c r="B243" s="661">
        <v>4</v>
      </c>
      <c r="C243" s="7"/>
      <c r="D243" s="279" t="s">
        <v>92</v>
      </c>
      <c r="E243" s="1" t="s">
        <v>110</v>
      </c>
      <c r="F243" s="9" t="s">
        <v>440</v>
      </c>
      <c r="G243" s="9" t="s">
        <v>71</v>
      </c>
      <c r="H243" s="9" t="s">
        <v>74</v>
      </c>
      <c r="I243" s="9" t="s">
        <v>369</v>
      </c>
      <c r="J243" s="663">
        <v>17</v>
      </c>
    </row>
    <row r="244" spans="1:10" ht="16.8" x14ac:dyDescent="0.3">
      <c r="A244" s="365" t="s">
        <v>382</v>
      </c>
      <c r="B244" s="661">
        <v>4</v>
      </c>
      <c r="C244" s="7"/>
      <c r="D244" s="10" t="s">
        <v>73</v>
      </c>
      <c r="E244" s="271" t="s">
        <v>114</v>
      </c>
      <c r="F244" s="4" t="s">
        <v>111</v>
      </c>
      <c r="G244" s="273" t="s">
        <v>90</v>
      </c>
      <c r="H244" s="4" t="s">
        <v>97</v>
      </c>
      <c r="I244" s="4" t="s">
        <v>446</v>
      </c>
      <c r="J244" s="274">
        <v>93</v>
      </c>
    </row>
    <row r="245" spans="1:10" ht="16.8" x14ac:dyDescent="0.3">
      <c r="A245" s="365" t="s">
        <v>383</v>
      </c>
      <c r="B245" s="661">
        <v>4</v>
      </c>
      <c r="C245" s="7"/>
      <c r="D245" s="10" t="s">
        <v>175</v>
      </c>
      <c r="E245" s="1" t="s">
        <v>114</v>
      </c>
      <c r="F245" s="268" t="s">
        <v>111</v>
      </c>
      <c r="G245" s="4" t="s">
        <v>71</v>
      </c>
      <c r="H245" s="9" t="s">
        <v>74</v>
      </c>
      <c r="I245" s="9" t="s">
        <v>447</v>
      </c>
      <c r="J245" s="274">
        <v>81</v>
      </c>
    </row>
    <row r="246" spans="1:10" ht="16.8" x14ac:dyDescent="0.3">
      <c r="A246" s="365" t="s">
        <v>384</v>
      </c>
      <c r="B246" s="661">
        <v>4</v>
      </c>
      <c r="C246" s="7"/>
      <c r="D246" s="10" t="s">
        <v>174</v>
      </c>
      <c r="E246" s="271" t="s">
        <v>113</v>
      </c>
      <c r="F246" s="268" t="s">
        <v>111</v>
      </c>
      <c r="G246" s="4" t="s">
        <v>66</v>
      </c>
      <c r="H246" s="4" t="s">
        <v>70</v>
      </c>
      <c r="I246" s="4" t="s">
        <v>442</v>
      </c>
      <c r="J246" s="274">
        <v>206</v>
      </c>
    </row>
    <row r="247" spans="1:10" ht="16.8" x14ac:dyDescent="0.3">
      <c r="A247" s="365" t="s">
        <v>385</v>
      </c>
      <c r="B247" s="661">
        <v>4</v>
      </c>
      <c r="C247" s="7"/>
      <c r="D247" s="10" t="s">
        <v>175</v>
      </c>
      <c r="E247" s="271" t="s">
        <v>110</v>
      </c>
      <c r="F247" s="277" t="s">
        <v>111</v>
      </c>
      <c r="G247" s="273" t="s">
        <v>66</v>
      </c>
      <c r="H247" s="273" t="s">
        <v>112</v>
      </c>
      <c r="I247" s="273" t="s">
        <v>448</v>
      </c>
      <c r="J247" s="274">
        <v>82</v>
      </c>
    </row>
    <row r="248" spans="1:10" ht="16.8" x14ac:dyDescent="0.3">
      <c r="A248" s="365" t="s">
        <v>386</v>
      </c>
      <c r="B248" s="661">
        <v>4</v>
      </c>
      <c r="C248" s="7"/>
      <c r="D248" s="10" t="s">
        <v>174</v>
      </c>
      <c r="E248" s="1" t="s">
        <v>110</v>
      </c>
      <c r="F248" s="4" t="s">
        <v>111</v>
      </c>
      <c r="G248" s="273" t="s">
        <v>118</v>
      </c>
      <c r="H248" s="4" t="s">
        <v>70</v>
      </c>
      <c r="I248" s="4" t="s">
        <v>449</v>
      </c>
      <c r="J248" s="274">
        <v>92</v>
      </c>
    </row>
    <row r="249" spans="1:10" ht="16.8" x14ac:dyDescent="0.3">
      <c r="A249" s="365" t="s">
        <v>387</v>
      </c>
      <c r="B249" s="661">
        <v>4</v>
      </c>
      <c r="C249" s="7"/>
      <c r="D249" s="10" t="s">
        <v>75</v>
      </c>
      <c r="E249" s="1" t="s">
        <v>135</v>
      </c>
      <c r="F249" s="268" t="s">
        <v>111</v>
      </c>
      <c r="G249" s="4" t="s">
        <v>81</v>
      </c>
      <c r="H249" s="4" t="s">
        <v>70</v>
      </c>
      <c r="I249" s="4" t="s">
        <v>447</v>
      </c>
      <c r="J249" s="274">
        <v>83</v>
      </c>
    </row>
    <row r="250" spans="1:10" ht="16.8" x14ac:dyDescent="0.3">
      <c r="A250" s="365" t="s">
        <v>388</v>
      </c>
      <c r="B250" s="661">
        <v>4</v>
      </c>
      <c r="C250" s="7"/>
      <c r="D250" s="10" t="s">
        <v>75</v>
      </c>
      <c r="E250" s="1" t="s">
        <v>110</v>
      </c>
      <c r="F250" s="4" t="s">
        <v>111</v>
      </c>
      <c r="G250" s="4" t="s">
        <v>66</v>
      </c>
      <c r="H250" s="4" t="s">
        <v>97</v>
      </c>
      <c r="I250" s="4" t="s">
        <v>449</v>
      </c>
      <c r="J250" s="274">
        <v>94</v>
      </c>
    </row>
    <row r="251" spans="1:10" ht="16.8" x14ac:dyDescent="0.3">
      <c r="A251" s="365" t="s">
        <v>650</v>
      </c>
      <c r="B251" s="661">
        <v>4</v>
      </c>
      <c r="C251" s="7"/>
      <c r="D251" s="10" t="s">
        <v>175</v>
      </c>
      <c r="E251" s="1" t="s">
        <v>110</v>
      </c>
      <c r="F251" s="268" t="s">
        <v>111</v>
      </c>
      <c r="G251" s="4" t="s">
        <v>66</v>
      </c>
      <c r="H251" s="4" t="s">
        <v>72</v>
      </c>
      <c r="I251" s="4" t="s">
        <v>486</v>
      </c>
      <c r="J251" s="274">
        <v>88</v>
      </c>
    </row>
    <row r="252" spans="1:10" ht="16.8" x14ac:dyDescent="0.3">
      <c r="A252" s="365" t="s">
        <v>389</v>
      </c>
      <c r="B252" s="661">
        <v>4</v>
      </c>
      <c r="C252" s="7"/>
      <c r="D252" s="10" t="s">
        <v>188</v>
      </c>
      <c r="E252" s="1" t="s">
        <v>113</v>
      </c>
      <c r="F252" s="268" t="s">
        <v>111</v>
      </c>
      <c r="G252" s="4" t="s">
        <v>90</v>
      </c>
      <c r="H252" s="4" t="s">
        <v>74</v>
      </c>
      <c r="I252" s="4" t="s">
        <v>444</v>
      </c>
      <c r="J252" s="274">
        <v>118</v>
      </c>
    </row>
    <row r="253" spans="1:10" ht="16.8" x14ac:dyDescent="0.3">
      <c r="A253" s="365" t="s">
        <v>390</v>
      </c>
      <c r="B253" s="661">
        <v>4</v>
      </c>
      <c r="C253" s="7"/>
      <c r="D253" s="272" t="s">
        <v>73</v>
      </c>
      <c r="E253" s="271" t="s">
        <v>113</v>
      </c>
      <c r="F253" s="268" t="s">
        <v>133</v>
      </c>
      <c r="G253" s="273" t="s">
        <v>90</v>
      </c>
      <c r="H253" s="273" t="s">
        <v>74</v>
      </c>
      <c r="I253" s="4" t="s">
        <v>450</v>
      </c>
      <c r="J253" s="274">
        <v>91</v>
      </c>
    </row>
    <row r="254" spans="1:10" ht="16.8" x14ac:dyDescent="0.3">
      <c r="A254" s="365" t="s">
        <v>391</v>
      </c>
      <c r="B254" s="661">
        <v>4</v>
      </c>
      <c r="C254" s="7"/>
      <c r="D254" s="10" t="s">
        <v>175</v>
      </c>
      <c r="E254" s="1" t="s">
        <v>116</v>
      </c>
      <c r="F254" s="268" t="s">
        <v>111</v>
      </c>
      <c r="G254" s="4" t="s">
        <v>99</v>
      </c>
      <c r="H254" s="4" t="s">
        <v>72</v>
      </c>
      <c r="I254" s="4" t="s">
        <v>442</v>
      </c>
      <c r="J254" s="274">
        <v>214</v>
      </c>
    </row>
    <row r="255" spans="1:10" ht="16.8" x14ac:dyDescent="0.3">
      <c r="A255" s="365" t="s">
        <v>392</v>
      </c>
      <c r="B255" s="661">
        <v>4</v>
      </c>
      <c r="C255" s="7"/>
      <c r="D255" s="10" t="s">
        <v>73</v>
      </c>
      <c r="E255" s="271" t="s">
        <v>110</v>
      </c>
      <c r="F255" s="273" t="s">
        <v>111</v>
      </c>
      <c r="G255" s="273" t="s">
        <v>66</v>
      </c>
      <c r="H255" s="273" t="s">
        <v>70</v>
      </c>
      <c r="I255" s="4" t="s">
        <v>442</v>
      </c>
      <c r="J255" s="274">
        <v>215</v>
      </c>
    </row>
    <row r="256" spans="1:10" ht="16.8" x14ac:dyDescent="0.3">
      <c r="A256" s="365" t="s">
        <v>393</v>
      </c>
      <c r="B256" s="661">
        <v>4</v>
      </c>
      <c r="C256" s="7"/>
      <c r="D256" s="10" t="s">
        <v>65</v>
      </c>
      <c r="E256" s="1" t="s">
        <v>113</v>
      </c>
      <c r="F256" s="268" t="s">
        <v>111</v>
      </c>
      <c r="G256" s="4" t="s">
        <v>66</v>
      </c>
      <c r="H256" s="4" t="s">
        <v>74</v>
      </c>
      <c r="I256" s="4" t="s">
        <v>444</v>
      </c>
      <c r="J256" s="274">
        <v>118</v>
      </c>
    </row>
    <row r="257" spans="1:10" ht="16.8" x14ac:dyDescent="0.3">
      <c r="A257" s="365" t="s">
        <v>394</v>
      </c>
      <c r="B257" s="661">
        <v>4</v>
      </c>
      <c r="C257" s="7"/>
      <c r="D257" s="272" t="s">
        <v>174</v>
      </c>
      <c r="E257" s="271" t="s">
        <v>113</v>
      </c>
      <c r="F257" s="273" t="s">
        <v>111</v>
      </c>
      <c r="G257" s="273" t="s">
        <v>66</v>
      </c>
      <c r="H257" s="273" t="s">
        <v>69</v>
      </c>
      <c r="I257" s="4" t="s">
        <v>442</v>
      </c>
      <c r="J257" s="274">
        <v>217</v>
      </c>
    </row>
    <row r="258" spans="1:10" ht="16.8" x14ac:dyDescent="0.3">
      <c r="A258" s="365" t="s">
        <v>395</v>
      </c>
      <c r="B258" s="661">
        <v>4</v>
      </c>
      <c r="C258" s="7"/>
      <c r="D258" s="10" t="s">
        <v>65</v>
      </c>
      <c r="E258" s="1" t="s">
        <v>110</v>
      </c>
      <c r="F258" s="268" t="s">
        <v>111</v>
      </c>
      <c r="G258" s="4" t="s">
        <v>118</v>
      </c>
      <c r="H258" s="4" t="s">
        <v>69</v>
      </c>
      <c r="I258" s="4" t="s">
        <v>442</v>
      </c>
      <c r="J258" s="274">
        <v>221</v>
      </c>
    </row>
    <row r="259" spans="1:10" ht="16.8" x14ac:dyDescent="0.3">
      <c r="A259" s="365" t="s">
        <v>396</v>
      </c>
      <c r="B259" s="661">
        <v>4</v>
      </c>
      <c r="C259" s="7"/>
      <c r="D259" s="10" t="s">
        <v>92</v>
      </c>
      <c r="E259" s="1" t="s">
        <v>113</v>
      </c>
      <c r="F259" s="268" t="s">
        <v>111</v>
      </c>
      <c r="G259" s="4" t="s">
        <v>90</v>
      </c>
      <c r="H259" s="4" t="s">
        <v>74</v>
      </c>
      <c r="I259" s="4" t="s">
        <v>442</v>
      </c>
      <c r="J259" s="274">
        <v>221</v>
      </c>
    </row>
    <row r="260" spans="1:10" ht="16.8" x14ac:dyDescent="0.3">
      <c r="A260" s="365" t="s">
        <v>397</v>
      </c>
      <c r="B260" s="661">
        <v>4</v>
      </c>
      <c r="C260" s="7"/>
      <c r="D260" s="10" t="s">
        <v>65</v>
      </c>
      <c r="E260" s="1" t="s">
        <v>190</v>
      </c>
      <c r="F260" s="268" t="s">
        <v>111</v>
      </c>
      <c r="G260" s="4" t="s">
        <v>90</v>
      </c>
      <c r="H260" s="4" t="s">
        <v>70</v>
      </c>
      <c r="I260" s="4" t="s">
        <v>442</v>
      </c>
      <c r="J260" s="274">
        <v>222</v>
      </c>
    </row>
    <row r="261" spans="1:10" ht="16.8" x14ac:dyDescent="0.3">
      <c r="A261" s="365" t="s">
        <v>92</v>
      </c>
      <c r="B261" s="661">
        <v>4</v>
      </c>
      <c r="C261" s="7"/>
      <c r="D261" s="10" t="s">
        <v>92</v>
      </c>
      <c r="E261" s="1" t="s">
        <v>114</v>
      </c>
      <c r="F261" s="268" t="s">
        <v>136</v>
      </c>
      <c r="G261" s="4" t="s">
        <v>71</v>
      </c>
      <c r="H261" s="4" t="s">
        <v>70</v>
      </c>
      <c r="I261" s="4" t="s">
        <v>442</v>
      </c>
      <c r="J261" s="274">
        <v>224</v>
      </c>
    </row>
    <row r="262" spans="1:10" ht="16.8" x14ac:dyDescent="0.3">
      <c r="A262" s="365" t="s">
        <v>398</v>
      </c>
      <c r="B262" s="661">
        <v>4</v>
      </c>
      <c r="C262" s="10" t="s">
        <v>277</v>
      </c>
      <c r="D262" s="10" t="s">
        <v>75</v>
      </c>
      <c r="E262" s="1" t="s">
        <v>113</v>
      </c>
      <c r="F262" s="268" t="s">
        <v>111</v>
      </c>
      <c r="G262" s="4" t="s">
        <v>71</v>
      </c>
      <c r="H262" s="4" t="s">
        <v>74</v>
      </c>
      <c r="I262" s="4" t="s">
        <v>442</v>
      </c>
      <c r="J262" s="274">
        <v>224</v>
      </c>
    </row>
    <row r="263" spans="1:10" ht="16.8" x14ac:dyDescent="0.3">
      <c r="A263" s="365" t="s">
        <v>399</v>
      </c>
      <c r="B263" s="661">
        <v>4</v>
      </c>
      <c r="C263" s="7"/>
      <c r="D263" s="10" t="s">
        <v>75</v>
      </c>
      <c r="E263" s="1" t="s">
        <v>113</v>
      </c>
      <c r="F263" s="268" t="s">
        <v>133</v>
      </c>
      <c r="G263" s="4" t="s">
        <v>90</v>
      </c>
      <c r="H263" s="4" t="s">
        <v>8</v>
      </c>
      <c r="I263" s="4" t="s">
        <v>447</v>
      </c>
      <c r="J263" s="274">
        <v>85</v>
      </c>
    </row>
    <row r="264" spans="1:10" ht="16.8" x14ac:dyDescent="0.3">
      <c r="A264" s="365" t="s">
        <v>400</v>
      </c>
      <c r="B264" s="661">
        <v>4</v>
      </c>
      <c r="C264" s="7"/>
      <c r="D264" s="10" t="s">
        <v>75</v>
      </c>
      <c r="E264" s="271" t="s">
        <v>110</v>
      </c>
      <c r="F264" s="277" t="s">
        <v>111</v>
      </c>
      <c r="G264" s="273" t="s">
        <v>118</v>
      </c>
      <c r="H264" s="273" t="s">
        <v>124</v>
      </c>
      <c r="I264" s="273" t="s">
        <v>451</v>
      </c>
      <c r="J264" s="274">
        <v>114</v>
      </c>
    </row>
    <row r="265" spans="1:10" ht="16.8" x14ac:dyDescent="0.3">
      <c r="A265" s="365" t="s">
        <v>401</v>
      </c>
      <c r="B265" s="661">
        <v>4</v>
      </c>
      <c r="C265" s="7"/>
      <c r="D265" s="279" t="s">
        <v>175</v>
      </c>
      <c r="E265" s="1" t="s">
        <v>113</v>
      </c>
      <c r="F265" s="9" t="s">
        <v>111</v>
      </c>
      <c r="G265" s="9" t="s">
        <v>90</v>
      </c>
      <c r="H265" s="9" t="s">
        <v>70</v>
      </c>
      <c r="I265" s="9" t="s">
        <v>441</v>
      </c>
      <c r="J265" s="663">
        <v>174</v>
      </c>
    </row>
    <row r="266" spans="1:10" ht="16.8" x14ac:dyDescent="0.3">
      <c r="A266" s="365" t="s">
        <v>402</v>
      </c>
      <c r="B266" s="661">
        <v>4</v>
      </c>
      <c r="C266" s="7"/>
      <c r="D266" s="10" t="s">
        <v>175</v>
      </c>
      <c r="E266" s="271" t="s">
        <v>110</v>
      </c>
      <c r="F266" s="268" t="s">
        <v>111</v>
      </c>
      <c r="G266" s="273" t="s">
        <v>66</v>
      </c>
      <c r="H266" s="273" t="s">
        <v>69</v>
      </c>
      <c r="I266" s="273" t="s">
        <v>446</v>
      </c>
      <c r="J266" s="274">
        <v>98</v>
      </c>
    </row>
    <row r="267" spans="1:10" ht="16.8" x14ac:dyDescent="0.3">
      <c r="A267" s="365" t="s">
        <v>403</v>
      </c>
      <c r="B267" s="661">
        <v>4</v>
      </c>
      <c r="C267" s="7"/>
      <c r="D267" s="10" t="s">
        <v>65</v>
      </c>
      <c r="E267" s="1" t="s">
        <v>116</v>
      </c>
      <c r="F267" s="268" t="s">
        <v>111</v>
      </c>
      <c r="G267" s="4" t="s">
        <v>66</v>
      </c>
      <c r="H267" s="4" t="s">
        <v>72</v>
      </c>
      <c r="I267" s="4" t="s">
        <v>442</v>
      </c>
      <c r="J267" s="274">
        <v>233</v>
      </c>
    </row>
    <row r="268" spans="1:10" ht="16.8" x14ac:dyDescent="0.3">
      <c r="A268" s="365" t="s">
        <v>404</v>
      </c>
      <c r="B268" s="661">
        <v>4</v>
      </c>
      <c r="C268" s="7"/>
      <c r="D268" s="10" t="s">
        <v>175</v>
      </c>
      <c r="E268" s="1" t="s">
        <v>113</v>
      </c>
      <c r="F268" s="268" t="s">
        <v>111</v>
      </c>
      <c r="G268" s="4" t="s">
        <v>90</v>
      </c>
      <c r="H268" s="4" t="s">
        <v>69</v>
      </c>
      <c r="I268" s="4" t="s">
        <v>442</v>
      </c>
      <c r="J268" s="274">
        <v>235</v>
      </c>
    </row>
    <row r="269" spans="1:10" ht="16.8" x14ac:dyDescent="0.3">
      <c r="A269" s="365" t="s">
        <v>405</v>
      </c>
      <c r="B269" s="661">
        <v>4</v>
      </c>
      <c r="C269" s="7"/>
      <c r="D269" s="10" t="s">
        <v>92</v>
      </c>
      <c r="E269" s="1" t="s">
        <v>113</v>
      </c>
      <c r="F269" s="4" t="s">
        <v>111</v>
      </c>
      <c r="G269" s="4" t="s">
        <v>66</v>
      </c>
      <c r="H269" s="4" t="s">
        <v>112</v>
      </c>
      <c r="I269" s="4" t="s">
        <v>449</v>
      </c>
      <c r="J269" s="274">
        <v>100</v>
      </c>
    </row>
    <row r="270" spans="1:10" ht="16.8" x14ac:dyDescent="0.3">
      <c r="A270" s="365" t="s">
        <v>406</v>
      </c>
      <c r="B270" s="661">
        <v>4</v>
      </c>
      <c r="C270" s="7"/>
      <c r="D270" s="10" t="s">
        <v>73</v>
      </c>
      <c r="E270" s="1" t="s">
        <v>110</v>
      </c>
      <c r="F270" s="268" t="s">
        <v>111</v>
      </c>
      <c r="G270" s="4" t="s">
        <v>90</v>
      </c>
      <c r="H270" s="9" t="s">
        <v>74</v>
      </c>
      <c r="I270" s="9" t="s">
        <v>447</v>
      </c>
      <c r="J270" s="274">
        <v>87</v>
      </c>
    </row>
    <row r="271" spans="1:10" ht="16.8" x14ac:dyDescent="0.3">
      <c r="A271" s="365" t="s">
        <v>659</v>
      </c>
      <c r="B271" s="661">
        <v>4</v>
      </c>
      <c r="C271" s="10" t="s">
        <v>279</v>
      </c>
      <c r="D271" s="10" t="s">
        <v>75</v>
      </c>
      <c r="E271" s="1" t="s">
        <v>110</v>
      </c>
      <c r="F271" s="268" t="s">
        <v>111</v>
      </c>
      <c r="G271" s="4" t="s">
        <v>118</v>
      </c>
      <c r="H271" s="4" t="s">
        <v>137</v>
      </c>
      <c r="I271" s="4" t="s">
        <v>442</v>
      </c>
      <c r="J271" s="274">
        <v>241</v>
      </c>
    </row>
    <row r="272" spans="1:10" ht="16.8" x14ac:dyDescent="0.3">
      <c r="A272" s="365" t="s">
        <v>407</v>
      </c>
      <c r="B272" s="661">
        <v>4</v>
      </c>
      <c r="C272" s="7"/>
      <c r="D272" s="10" t="s">
        <v>175</v>
      </c>
      <c r="E272" s="1" t="s">
        <v>113</v>
      </c>
      <c r="F272" s="268" t="s">
        <v>111</v>
      </c>
      <c r="G272" s="4" t="s">
        <v>71</v>
      </c>
      <c r="H272" s="4" t="s">
        <v>74</v>
      </c>
      <c r="I272" s="4" t="s">
        <v>369</v>
      </c>
      <c r="J272" s="274">
        <v>116</v>
      </c>
    </row>
    <row r="273" spans="1:10" ht="16.8" x14ac:dyDescent="0.3">
      <c r="A273" s="365" t="s">
        <v>651</v>
      </c>
      <c r="B273" s="661">
        <v>4</v>
      </c>
      <c r="C273" s="7"/>
      <c r="D273" s="10" t="s">
        <v>92</v>
      </c>
      <c r="E273" s="1" t="s">
        <v>652</v>
      </c>
      <c r="F273" s="268" t="s">
        <v>136</v>
      </c>
      <c r="G273" s="4" t="s">
        <v>71</v>
      </c>
      <c r="H273" s="4" t="s">
        <v>70</v>
      </c>
      <c r="I273" s="4" t="s">
        <v>486</v>
      </c>
      <c r="J273" s="274">
        <v>97</v>
      </c>
    </row>
    <row r="274" spans="1:10" ht="16.8" x14ac:dyDescent="0.3">
      <c r="A274" s="365" t="s">
        <v>408</v>
      </c>
      <c r="B274" s="661">
        <v>4</v>
      </c>
      <c r="C274" s="7"/>
      <c r="D274" s="10" t="s">
        <v>75</v>
      </c>
      <c r="E274" s="1" t="s">
        <v>452</v>
      </c>
      <c r="F274" s="268" t="s">
        <v>111</v>
      </c>
      <c r="G274" s="4" t="s">
        <v>66</v>
      </c>
      <c r="H274" s="4" t="s">
        <v>124</v>
      </c>
      <c r="I274" s="4" t="s">
        <v>442</v>
      </c>
      <c r="J274" s="274">
        <v>243</v>
      </c>
    </row>
    <row r="275" spans="1:10" ht="16.8" x14ac:dyDescent="0.3">
      <c r="A275" s="365" t="s">
        <v>409</v>
      </c>
      <c r="B275" s="661">
        <v>4</v>
      </c>
      <c r="C275" s="7"/>
      <c r="D275" s="10" t="s">
        <v>174</v>
      </c>
      <c r="E275" s="1" t="s">
        <v>110</v>
      </c>
      <c r="F275" s="4" t="s">
        <v>111</v>
      </c>
      <c r="G275" s="4" t="s">
        <v>66</v>
      </c>
      <c r="H275" s="4" t="s">
        <v>70</v>
      </c>
      <c r="I275" s="4" t="s">
        <v>442</v>
      </c>
      <c r="J275" s="274">
        <v>244</v>
      </c>
    </row>
    <row r="276" spans="1:10" ht="16.8" x14ac:dyDescent="0.3">
      <c r="A276" s="365" t="s">
        <v>410</v>
      </c>
      <c r="B276" s="661">
        <v>4</v>
      </c>
      <c r="C276" s="7"/>
      <c r="D276" s="10" t="s">
        <v>65</v>
      </c>
      <c r="E276" s="1" t="s">
        <v>113</v>
      </c>
      <c r="F276" s="268" t="s">
        <v>111</v>
      </c>
      <c r="G276" s="4" t="s">
        <v>66</v>
      </c>
      <c r="H276" s="4" t="s">
        <v>74</v>
      </c>
      <c r="I276" s="4" t="s">
        <v>444</v>
      </c>
      <c r="J276" s="274">
        <v>123</v>
      </c>
    </row>
    <row r="277" spans="1:10" ht="16.8" x14ac:dyDescent="0.3">
      <c r="A277" s="365" t="s">
        <v>411</v>
      </c>
      <c r="B277" s="661">
        <v>4</v>
      </c>
      <c r="C277" s="7"/>
      <c r="D277" s="272" t="s">
        <v>175</v>
      </c>
      <c r="E277" s="271" t="s">
        <v>190</v>
      </c>
      <c r="F277" s="273" t="s">
        <v>111</v>
      </c>
      <c r="G277" s="273" t="s">
        <v>90</v>
      </c>
      <c r="H277" s="273" t="s">
        <v>112</v>
      </c>
      <c r="I277" s="4" t="s">
        <v>442</v>
      </c>
      <c r="J277" s="278">
        <v>251</v>
      </c>
    </row>
    <row r="278" spans="1:10" ht="16.8" x14ac:dyDescent="0.3">
      <c r="A278" s="365" t="s">
        <v>412</v>
      </c>
      <c r="B278" s="661">
        <v>4</v>
      </c>
      <c r="C278" s="7"/>
      <c r="D278" s="10" t="s">
        <v>65</v>
      </c>
      <c r="E278" s="1" t="s">
        <v>110</v>
      </c>
      <c r="F278" s="268" t="s">
        <v>111</v>
      </c>
      <c r="G278" s="4" t="s">
        <v>90</v>
      </c>
      <c r="H278" s="4" t="s">
        <v>95</v>
      </c>
      <c r="I278" s="4" t="s">
        <v>444</v>
      </c>
      <c r="J278" s="274">
        <v>125</v>
      </c>
    </row>
    <row r="279" spans="1:10" ht="16.8" x14ac:dyDescent="0.3">
      <c r="A279" s="365" t="s">
        <v>413</v>
      </c>
      <c r="B279" s="661">
        <v>4</v>
      </c>
      <c r="C279" s="7"/>
      <c r="D279" s="10" t="s">
        <v>75</v>
      </c>
      <c r="E279" s="1" t="s">
        <v>134</v>
      </c>
      <c r="F279" s="277" t="s">
        <v>111</v>
      </c>
      <c r="G279" s="273" t="s">
        <v>66</v>
      </c>
      <c r="H279" s="273" t="s">
        <v>148</v>
      </c>
      <c r="I279" s="273" t="s">
        <v>453</v>
      </c>
      <c r="J279" s="274">
        <v>107</v>
      </c>
    </row>
    <row r="280" spans="1:10" ht="16.8" x14ac:dyDescent="0.3">
      <c r="A280" s="365" t="s">
        <v>414</v>
      </c>
      <c r="B280" s="661">
        <v>4</v>
      </c>
      <c r="C280" s="7"/>
      <c r="D280" s="10" t="s">
        <v>73</v>
      </c>
      <c r="E280" s="1" t="s">
        <v>116</v>
      </c>
      <c r="F280" s="268" t="s">
        <v>111</v>
      </c>
      <c r="G280" s="4" t="s">
        <v>66</v>
      </c>
      <c r="H280" s="4" t="s">
        <v>70</v>
      </c>
      <c r="I280" s="4" t="s">
        <v>442</v>
      </c>
      <c r="J280" s="274">
        <v>257</v>
      </c>
    </row>
    <row r="281" spans="1:10" ht="16.8" x14ac:dyDescent="0.3">
      <c r="A281" s="365" t="s">
        <v>415</v>
      </c>
      <c r="B281" s="661">
        <v>4</v>
      </c>
      <c r="C281" s="7"/>
      <c r="D281" s="10" t="s">
        <v>73</v>
      </c>
      <c r="E281" s="1" t="s">
        <v>113</v>
      </c>
      <c r="F281" s="268" t="s">
        <v>111</v>
      </c>
      <c r="G281" s="4" t="s">
        <v>90</v>
      </c>
      <c r="H281" s="4" t="s">
        <v>70</v>
      </c>
      <c r="I281" s="4" t="s">
        <v>442</v>
      </c>
      <c r="J281" s="274">
        <v>261</v>
      </c>
    </row>
    <row r="282" spans="1:10" ht="16.8" x14ac:dyDescent="0.3">
      <c r="A282" s="365" t="s">
        <v>416</v>
      </c>
      <c r="B282" s="661">
        <v>4</v>
      </c>
      <c r="C282" s="7"/>
      <c r="D282" s="10" t="s">
        <v>65</v>
      </c>
      <c r="E282" s="1" t="s">
        <v>135</v>
      </c>
      <c r="F282" s="4" t="s">
        <v>111</v>
      </c>
      <c r="G282" s="4" t="s">
        <v>322</v>
      </c>
      <c r="H282" s="4" t="s">
        <v>112</v>
      </c>
      <c r="I282" s="4" t="s">
        <v>446</v>
      </c>
      <c r="J282" s="274">
        <v>101</v>
      </c>
    </row>
    <row r="283" spans="1:10" ht="16.8" x14ac:dyDescent="0.3">
      <c r="A283" s="365" t="s">
        <v>417</v>
      </c>
      <c r="B283" s="661">
        <v>4</v>
      </c>
      <c r="C283" s="7"/>
      <c r="D283" s="10" t="s">
        <v>174</v>
      </c>
      <c r="E283" s="271" t="s">
        <v>113</v>
      </c>
      <c r="F283" s="4" t="s">
        <v>111</v>
      </c>
      <c r="G283" s="4" t="s">
        <v>66</v>
      </c>
      <c r="H283" s="4" t="s">
        <v>70</v>
      </c>
      <c r="I283" s="4" t="s">
        <v>442</v>
      </c>
      <c r="J283" s="274">
        <v>262</v>
      </c>
    </row>
    <row r="284" spans="1:10" ht="16.8" x14ac:dyDescent="0.3">
      <c r="A284" s="365" t="s">
        <v>653</v>
      </c>
      <c r="B284" s="661">
        <v>4</v>
      </c>
      <c r="C284" s="7"/>
      <c r="D284" s="10" t="s">
        <v>65</v>
      </c>
      <c r="E284" s="1" t="s">
        <v>116</v>
      </c>
      <c r="F284" s="268" t="s">
        <v>136</v>
      </c>
      <c r="G284" s="4" t="s">
        <v>90</v>
      </c>
      <c r="H284" s="4" t="s">
        <v>112</v>
      </c>
      <c r="I284" s="4" t="s">
        <v>486</v>
      </c>
      <c r="J284" s="274">
        <v>101</v>
      </c>
    </row>
    <row r="285" spans="1:10" ht="16.8" x14ac:dyDescent="0.3">
      <c r="A285" s="365" t="s">
        <v>418</v>
      </c>
      <c r="B285" s="661">
        <v>4</v>
      </c>
      <c r="C285" s="7"/>
      <c r="D285" s="10" t="s">
        <v>65</v>
      </c>
      <c r="E285" s="1" t="s">
        <v>113</v>
      </c>
      <c r="F285" s="277" t="s">
        <v>111</v>
      </c>
      <c r="G285" s="273" t="s">
        <v>80</v>
      </c>
      <c r="H285" s="273" t="s">
        <v>74</v>
      </c>
      <c r="I285" s="273" t="s">
        <v>454</v>
      </c>
      <c r="J285" s="274">
        <v>52</v>
      </c>
    </row>
    <row r="286" spans="1:10" ht="16.8" x14ac:dyDescent="0.3">
      <c r="A286" s="365" t="s">
        <v>419</v>
      </c>
      <c r="B286" s="661">
        <v>4</v>
      </c>
      <c r="C286" s="7"/>
      <c r="D286" s="10" t="s">
        <v>175</v>
      </c>
      <c r="E286" s="1" t="s">
        <v>455</v>
      </c>
      <c r="F286" s="4" t="s">
        <v>136</v>
      </c>
      <c r="G286" s="4" t="s">
        <v>71</v>
      </c>
      <c r="H286" s="4" t="s">
        <v>70</v>
      </c>
      <c r="I286" s="4" t="s">
        <v>449</v>
      </c>
      <c r="J286" s="274">
        <v>105</v>
      </c>
    </row>
    <row r="287" spans="1:10" ht="16.8" x14ac:dyDescent="0.3">
      <c r="A287" s="365" t="s">
        <v>420</v>
      </c>
      <c r="B287" s="661">
        <v>4</v>
      </c>
      <c r="C287" s="7"/>
      <c r="D287" s="10" t="s">
        <v>65</v>
      </c>
      <c r="E287" s="1" t="s">
        <v>113</v>
      </c>
      <c r="F287" s="268" t="s">
        <v>111</v>
      </c>
      <c r="G287" s="4" t="s">
        <v>81</v>
      </c>
      <c r="H287" s="4" t="s">
        <v>72</v>
      </c>
      <c r="I287" s="4" t="s">
        <v>442</v>
      </c>
      <c r="J287" s="274">
        <v>271</v>
      </c>
    </row>
    <row r="288" spans="1:10" ht="16.8" x14ac:dyDescent="0.3">
      <c r="A288" s="365" t="s">
        <v>421</v>
      </c>
      <c r="B288" s="661">
        <v>4</v>
      </c>
      <c r="C288" s="7"/>
      <c r="D288" s="10" t="s">
        <v>73</v>
      </c>
      <c r="E288" s="1" t="s">
        <v>114</v>
      </c>
      <c r="F288" s="268" t="s">
        <v>111</v>
      </c>
      <c r="G288" s="4" t="s">
        <v>66</v>
      </c>
      <c r="H288" s="4" t="s">
        <v>70</v>
      </c>
      <c r="I288" s="4" t="s">
        <v>442</v>
      </c>
      <c r="J288" s="274">
        <v>272</v>
      </c>
    </row>
    <row r="289" spans="1:10" ht="16.8" x14ac:dyDescent="0.3">
      <c r="A289" s="365" t="s">
        <v>422</v>
      </c>
      <c r="B289" s="661">
        <v>4</v>
      </c>
      <c r="C289" s="7"/>
      <c r="D289" s="10" t="s">
        <v>92</v>
      </c>
      <c r="E289" s="271" t="s">
        <v>114</v>
      </c>
      <c r="F289" s="268" t="s">
        <v>133</v>
      </c>
      <c r="G289" s="273" t="s">
        <v>118</v>
      </c>
      <c r="H289" s="273" t="s">
        <v>137</v>
      </c>
      <c r="I289" s="273" t="s">
        <v>451</v>
      </c>
      <c r="J289" s="274">
        <v>117</v>
      </c>
    </row>
    <row r="290" spans="1:10" ht="16.8" x14ac:dyDescent="0.3">
      <c r="A290" s="365" t="s">
        <v>423</v>
      </c>
      <c r="B290" s="661">
        <v>4</v>
      </c>
      <c r="C290" s="7"/>
      <c r="D290" s="272" t="s">
        <v>73</v>
      </c>
      <c r="E290" s="271" t="s">
        <v>114</v>
      </c>
      <c r="F290" s="277" t="s">
        <v>111</v>
      </c>
      <c r="G290" s="273" t="s">
        <v>90</v>
      </c>
      <c r="H290" s="273" t="s">
        <v>148</v>
      </c>
      <c r="I290" s="273" t="s">
        <v>456</v>
      </c>
      <c r="J290" s="278">
        <v>57</v>
      </c>
    </row>
    <row r="291" spans="1:10" ht="16.8" x14ac:dyDescent="0.3">
      <c r="A291" s="365" t="s">
        <v>424</v>
      </c>
      <c r="B291" s="661">
        <v>4</v>
      </c>
      <c r="C291" s="7"/>
      <c r="D291" s="10" t="s">
        <v>175</v>
      </c>
      <c r="E291" s="1" t="s">
        <v>113</v>
      </c>
      <c r="F291" s="268" t="s">
        <v>111</v>
      </c>
      <c r="G291" s="4" t="s">
        <v>66</v>
      </c>
      <c r="H291" s="4" t="s">
        <v>148</v>
      </c>
      <c r="I291" s="4" t="s">
        <v>444</v>
      </c>
      <c r="J291" s="274">
        <v>126</v>
      </c>
    </row>
    <row r="292" spans="1:10" ht="16.8" x14ac:dyDescent="0.3">
      <c r="A292" s="365" t="s">
        <v>425</v>
      </c>
      <c r="B292" s="661">
        <v>4</v>
      </c>
      <c r="C292" s="7"/>
      <c r="D292" s="10" t="s">
        <v>73</v>
      </c>
      <c r="E292" s="1" t="s">
        <v>113</v>
      </c>
      <c r="F292" s="268" t="s">
        <v>111</v>
      </c>
      <c r="G292" s="4" t="s">
        <v>66</v>
      </c>
      <c r="H292" s="4" t="s">
        <v>457</v>
      </c>
      <c r="I292" s="4" t="s">
        <v>444</v>
      </c>
      <c r="J292" s="274">
        <v>127</v>
      </c>
    </row>
    <row r="293" spans="1:10" ht="16.8" x14ac:dyDescent="0.3">
      <c r="A293" s="365" t="s">
        <v>426</v>
      </c>
      <c r="B293" s="661">
        <v>4</v>
      </c>
      <c r="C293" s="7"/>
      <c r="D293" s="10" t="s">
        <v>75</v>
      </c>
      <c r="E293" s="1" t="s">
        <v>116</v>
      </c>
      <c r="F293" s="268" t="s">
        <v>136</v>
      </c>
      <c r="G293" s="4" t="s">
        <v>90</v>
      </c>
      <c r="H293" s="4" t="s">
        <v>458</v>
      </c>
      <c r="I293" s="4" t="s">
        <v>442</v>
      </c>
      <c r="J293" s="274">
        <v>275</v>
      </c>
    </row>
    <row r="294" spans="1:10" ht="16.8" x14ac:dyDescent="0.3">
      <c r="A294" s="365" t="s">
        <v>654</v>
      </c>
      <c r="B294" s="661">
        <v>4</v>
      </c>
      <c r="C294" s="7"/>
      <c r="D294" s="10" t="s">
        <v>65</v>
      </c>
      <c r="E294" s="1" t="s">
        <v>114</v>
      </c>
      <c r="F294" s="268" t="s">
        <v>111</v>
      </c>
      <c r="G294" s="4" t="s">
        <v>164</v>
      </c>
      <c r="H294" s="4" t="s">
        <v>69</v>
      </c>
      <c r="I294" s="4" t="s">
        <v>369</v>
      </c>
      <c r="J294" s="544">
        <v>188</v>
      </c>
    </row>
    <row r="295" spans="1:10" ht="16.8" x14ac:dyDescent="0.3">
      <c r="A295" s="365" t="s">
        <v>427</v>
      </c>
      <c r="B295" s="661">
        <v>4</v>
      </c>
      <c r="C295" s="7"/>
      <c r="D295" s="10" t="s">
        <v>65</v>
      </c>
      <c r="E295" s="1" t="s">
        <v>113</v>
      </c>
      <c r="F295" s="268" t="s">
        <v>111</v>
      </c>
      <c r="G295" s="4" t="s">
        <v>66</v>
      </c>
      <c r="H295" s="4" t="s">
        <v>72</v>
      </c>
      <c r="I295" s="4" t="s">
        <v>442</v>
      </c>
      <c r="J295" s="274">
        <v>282</v>
      </c>
    </row>
    <row r="296" spans="1:10" ht="16.8" x14ac:dyDescent="0.3">
      <c r="A296" s="365" t="s">
        <v>428</v>
      </c>
      <c r="B296" s="661">
        <v>4</v>
      </c>
      <c r="C296" s="7"/>
      <c r="D296" s="10" t="s">
        <v>92</v>
      </c>
      <c r="E296" s="1" t="s">
        <v>110</v>
      </c>
      <c r="F296" s="268" t="s">
        <v>111</v>
      </c>
      <c r="G296" s="4" t="s">
        <v>71</v>
      </c>
      <c r="H296" s="4" t="s">
        <v>74</v>
      </c>
      <c r="I296" s="4" t="s">
        <v>444</v>
      </c>
      <c r="J296" s="274">
        <v>127</v>
      </c>
    </row>
    <row r="297" spans="1:10" ht="16.8" x14ac:dyDescent="0.3">
      <c r="A297" s="365" t="s">
        <v>429</v>
      </c>
      <c r="B297" s="661">
        <v>4</v>
      </c>
      <c r="C297" s="7"/>
      <c r="D297" s="10" t="s">
        <v>75</v>
      </c>
      <c r="E297" s="1" t="s">
        <v>110</v>
      </c>
      <c r="F297" s="4" t="s">
        <v>111</v>
      </c>
      <c r="G297" s="9" t="s">
        <v>90</v>
      </c>
      <c r="H297" s="9" t="s">
        <v>69</v>
      </c>
      <c r="I297" s="4" t="s">
        <v>449</v>
      </c>
      <c r="J297" s="274">
        <v>108</v>
      </c>
    </row>
    <row r="298" spans="1:10" ht="16.8" x14ac:dyDescent="0.3">
      <c r="A298" s="365" t="s">
        <v>430</v>
      </c>
      <c r="B298" s="661">
        <v>4</v>
      </c>
      <c r="C298" s="7"/>
      <c r="D298" s="272" t="s">
        <v>75</v>
      </c>
      <c r="E298" s="271" t="s">
        <v>110</v>
      </c>
      <c r="F298" s="277" t="s">
        <v>111</v>
      </c>
      <c r="G298" s="273" t="s">
        <v>90</v>
      </c>
      <c r="H298" s="273" t="s">
        <v>69</v>
      </c>
      <c r="I298" s="273" t="s">
        <v>456</v>
      </c>
      <c r="J298" s="278">
        <v>59</v>
      </c>
    </row>
    <row r="299" spans="1:10" ht="16.8" x14ac:dyDescent="0.3">
      <c r="A299" s="365" t="s">
        <v>431</v>
      </c>
      <c r="B299" s="661">
        <v>4</v>
      </c>
      <c r="C299" s="7"/>
      <c r="D299" s="272" t="s">
        <v>75</v>
      </c>
      <c r="E299" s="271" t="s">
        <v>110</v>
      </c>
      <c r="F299" s="277" t="s">
        <v>111</v>
      </c>
      <c r="G299" s="273" t="s">
        <v>90</v>
      </c>
      <c r="H299" s="273" t="s">
        <v>69</v>
      </c>
      <c r="I299" s="273" t="s">
        <v>456</v>
      </c>
      <c r="J299" s="278">
        <v>59</v>
      </c>
    </row>
    <row r="300" spans="1:10" ht="16.8" x14ac:dyDescent="0.3">
      <c r="A300" s="365" t="s">
        <v>589</v>
      </c>
      <c r="B300" s="661">
        <v>4</v>
      </c>
      <c r="C300" s="10" t="s">
        <v>275</v>
      </c>
      <c r="D300" s="10" t="s">
        <v>92</v>
      </c>
      <c r="E300" s="1" t="s">
        <v>110</v>
      </c>
      <c r="F300" s="268" t="s">
        <v>111</v>
      </c>
      <c r="G300" s="4" t="s">
        <v>66</v>
      </c>
      <c r="H300" s="4" t="s">
        <v>112</v>
      </c>
      <c r="I300" s="4" t="s">
        <v>442</v>
      </c>
      <c r="J300" s="274">
        <v>284</v>
      </c>
    </row>
    <row r="301" spans="1:10" ht="16.8" x14ac:dyDescent="0.3">
      <c r="A301" s="365" t="s">
        <v>655</v>
      </c>
      <c r="B301" s="661">
        <v>4</v>
      </c>
      <c r="C301" s="7"/>
      <c r="D301" s="10" t="s">
        <v>174</v>
      </c>
      <c r="E301" s="1" t="s">
        <v>656</v>
      </c>
      <c r="F301" s="268" t="s">
        <v>111</v>
      </c>
      <c r="G301" s="4" t="s">
        <v>66</v>
      </c>
      <c r="H301" s="4" t="s">
        <v>70</v>
      </c>
      <c r="I301" s="4" t="s">
        <v>486</v>
      </c>
      <c r="J301" s="274">
        <v>106</v>
      </c>
    </row>
    <row r="302" spans="1:10" ht="16.8" x14ac:dyDescent="0.3">
      <c r="A302" s="365" t="s">
        <v>432</v>
      </c>
      <c r="B302" s="661">
        <v>4</v>
      </c>
      <c r="C302" s="7"/>
      <c r="D302" s="10" t="s">
        <v>73</v>
      </c>
      <c r="E302" s="1" t="s">
        <v>116</v>
      </c>
      <c r="F302" s="268" t="s">
        <v>133</v>
      </c>
      <c r="G302" s="4" t="s">
        <v>90</v>
      </c>
      <c r="H302" s="4" t="s">
        <v>74</v>
      </c>
      <c r="I302" s="4" t="s">
        <v>442</v>
      </c>
      <c r="J302" s="275">
        <v>286</v>
      </c>
    </row>
    <row r="303" spans="1:10" ht="16.8" x14ac:dyDescent="0.3">
      <c r="A303" s="365" t="s">
        <v>433</v>
      </c>
      <c r="B303" s="661">
        <v>4</v>
      </c>
      <c r="C303" s="7"/>
      <c r="D303" s="8" t="s">
        <v>73</v>
      </c>
      <c r="E303" s="5" t="s">
        <v>190</v>
      </c>
      <c r="F303" s="561" t="s">
        <v>111</v>
      </c>
      <c r="G303" s="4" t="s">
        <v>90</v>
      </c>
      <c r="H303" s="4" t="s">
        <v>74</v>
      </c>
      <c r="I303" s="4" t="s">
        <v>459</v>
      </c>
      <c r="J303" s="663">
        <v>72</v>
      </c>
    </row>
    <row r="304" spans="1:10" ht="16.8" x14ac:dyDescent="0.3">
      <c r="A304" s="365" t="s">
        <v>434</v>
      </c>
      <c r="B304" s="661">
        <v>4</v>
      </c>
      <c r="C304" s="7"/>
      <c r="D304" s="10" t="s">
        <v>175</v>
      </c>
      <c r="E304" s="271" t="s">
        <v>114</v>
      </c>
      <c r="F304" s="4" t="s">
        <v>111</v>
      </c>
      <c r="G304" s="4" t="s">
        <v>66</v>
      </c>
      <c r="H304" s="4" t="s">
        <v>460</v>
      </c>
      <c r="I304" s="4" t="s">
        <v>449</v>
      </c>
      <c r="J304" s="274">
        <v>109</v>
      </c>
    </row>
    <row r="305" spans="1:10" ht="16.8" x14ac:dyDescent="0.3">
      <c r="A305" s="365" t="s">
        <v>435</v>
      </c>
      <c r="B305" s="661">
        <v>4</v>
      </c>
      <c r="C305" s="7"/>
      <c r="D305" s="10" t="s">
        <v>188</v>
      </c>
      <c r="E305" s="1" t="s">
        <v>461</v>
      </c>
      <c r="F305" s="4" t="s">
        <v>111</v>
      </c>
      <c r="G305" s="9" t="s">
        <v>90</v>
      </c>
      <c r="H305" s="4" t="s">
        <v>70</v>
      </c>
      <c r="I305" s="4" t="s">
        <v>449</v>
      </c>
      <c r="J305" s="274">
        <v>109</v>
      </c>
    </row>
    <row r="306" spans="1:10" ht="16.8" x14ac:dyDescent="0.3">
      <c r="A306" s="365" t="s">
        <v>247</v>
      </c>
      <c r="B306" s="661">
        <v>4</v>
      </c>
      <c r="C306" s="7"/>
      <c r="D306" s="10" t="s">
        <v>92</v>
      </c>
      <c r="E306" s="1" t="s">
        <v>200</v>
      </c>
      <c r="F306" s="268" t="s">
        <v>111</v>
      </c>
      <c r="G306" s="4" t="s">
        <v>66</v>
      </c>
      <c r="H306" s="4" t="s">
        <v>72</v>
      </c>
      <c r="I306" s="4" t="s">
        <v>442</v>
      </c>
      <c r="J306" s="274">
        <v>294</v>
      </c>
    </row>
    <row r="307" spans="1:10" ht="16.8" x14ac:dyDescent="0.3">
      <c r="A307" s="365" t="s">
        <v>436</v>
      </c>
      <c r="B307" s="661">
        <v>4</v>
      </c>
      <c r="C307" s="7"/>
      <c r="D307" s="10" t="s">
        <v>175</v>
      </c>
      <c r="E307" s="1" t="s">
        <v>110</v>
      </c>
      <c r="F307" s="268" t="s">
        <v>133</v>
      </c>
      <c r="G307" s="4" t="s">
        <v>66</v>
      </c>
      <c r="H307" s="4" t="s">
        <v>97</v>
      </c>
      <c r="I307" s="4" t="s">
        <v>447</v>
      </c>
      <c r="J307" s="274">
        <v>91</v>
      </c>
    </row>
    <row r="308" spans="1:10" ht="16.8" x14ac:dyDescent="0.3">
      <c r="A308" s="365" t="s">
        <v>437</v>
      </c>
      <c r="B308" s="661">
        <v>4</v>
      </c>
      <c r="C308" s="7"/>
      <c r="D308" s="279" t="s">
        <v>75</v>
      </c>
      <c r="E308" s="1" t="s">
        <v>116</v>
      </c>
      <c r="F308" s="268" t="s">
        <v>111</v>
      </c>
      <c r="G308" s="4" t="s">
        <v>90</v>
      </c>
      <c r="H308" s="9" t="s">
        <v>72</v>
      </c>
      <c r="I308" s="9" t="s">
        <v>369</v>
      </c>
      <c r="J308" s="274">
        <v>233</v>
      </c>
    </row>
    <row r="309" spans="1:10" ht="16.8" x14ac:dyDescent="0.3">
      <c r="A309" s="365" t="s">
        <v>438</v>
      </c>
      <c r="B309" s="661">
        <v>4</v>
      </c>
      <c r="C309" s="7"/>
      <c r="D309" s="10" t="s">
        <v>73</v>
      </c>
      <c r="E309" s="1" t="s">
        <v>116</v>
      </c>
      <c r="F309" s="277" t="s">
        <v>111</v>
      </c>
      <c r="G309" s="273" t="s">
        <v>118</v>
      </c>
      <c r="H309" s="273" t="s">
        <v>462</v>
      </c>
      <c r="I309" s="273" t="s">
        <v>453</v>
      </c>
      <c r="J309" s="274">
        <v>118</v>
      </c>
    </row>
    <row r="310" spans="1:10" ht="16.8" x14ac:dyDescent="0.3">
      <c r="A310" s="365" t="s">
        <v>368</v>
      </c>
      <c r="B310" s="661">
        <v>4</v>
      </c>
      <c r="C310" s="7"/>
      <c r="D310" s="10" t="s">
        <v>175</v>
      </c>
      <c r="E310" s="1" t="s">
        <v>461</v>
      </c>
      <c r="F310" s="268" t="s">
        <v>111</v>
      </c>
      <c r="G310" s="4" t="s">
        <v>71</v>
      </c>
      <c r="H310" s="9" t="s">
        <v>74</v>
      </c>
      <c r="I310" s="9" t="s">
        <v>447</v>
      </c>
      <c r="J310" s="274">
        <v>92</v>
      </c>
    </row>
    <row r="311" spans="1:10" ht="16.8" x14ac:dyDescent="0.3">
      <c r="A311" s="366" t="s">
        <v>439</v>
      </c>
      <c r="B311" s="664">
        <v>4</v>
      </c>
      <c r="C311" s="77"/>
      <c r="D311" s="78" t="s">
        <v>92</v>
      </c>
      <c r="E311" s="6" t="s">
        <v>110</v>
      </c>
      <c r="F311" s="270" t="s">
        <v>111</v>
      </c>
      <c r="G311" s="11" t="s">
        <v>463</v>
      </c>
      <c r="H311" s="11" t="s">
        <v>70</v>
      </c>
      <c r="I311" s="11" t="s">
        <v>447</v>
      </c>
      <c r="J311" s="665">
        <v>92</v>
      </c>
    </row>
    <row r="312" spans="1:10" ht="16.8" x14ac:dyDescent="0.3">
      <c r="A312" s="365" t="s">
        <v>925</v>
      </c>
      <c r="B312" s="661">
        <v>5</v>
      </c>
      <c r="C312" s="7"/>
      <c r="D312" s="10" t="s">
        <v>65</v>
      </c>
      <c r="E312" s="1" t="s">
        <v>1061</v>
      </c>
      <c r="F312" s="268" t="s">
        <v>138</v>
      </c>
      <c r="G312" s="4" t="s">
        <v>66</v>
      </c>
      <c r="H312" s="9" t="s">
        <v>70</v>
      </c>
      <c r="I312" s="9" t="s">
        <v>442</v>
      </c>
      <c r="J312" s="274">
        <v>201</v>
      </c>
    </row>
    <row r="313" spans="1:10" ht="16.8" x14ac:dyDescent="0.3">
      <c r="A313" s="365" t="s">
        <v>926</v>
      </c>
      <c r="B313" s="661">
        <v>5</v>
      </c>
      <c r="C313" s="7"/>
      <c r="D313" s="10" t="s">
        <v>65</v>
      </c>
      <c r="E313" s="1" t="s">
        <v>110</v>
      </c>
      <c r="F313" s="268" t="s">
        <v>67</v>
      </c>
      <c r="G313" s="4" t="s">
        <v>90</v>
      </c>
      <c r="H313" s="9" t="s">
        <v>70</v>
      </c>
      <c r="I313" s="9" t="s">
        <v>442</v>
      </c>
      <c r="J313" s="274">
        <v>207</v>
      </c>
    </row>
    <row r="314" spans="1:10" ht="16.8" x14ac:dyDescent="0.3">
      <c r="A314" s="365" t="s">
        <v>927</v>
      </c>
      <c r="B314" s="661">
        <v>5</v>
      </c>
      <c r="C314" s="7"/>
      <c r="D314" s="10" t="s">
        <v>65</v>
      </c>
      <c r="E314" s="1" t="s">
        <v>135</v>
      </c>
      <c r="F314" s="268" t="s">
        <v>111</v>
      </c>
      <c r="G314" s="4" t="s">
        <v>90</v>
      </c>
      <c r="H314" s="9" t="s">
        <v>137</v>
      </c>
      <c r="I314" s="9" t="s">
        <v>493</v>
      </c>
      <c r="J314" s="274">
        <v>107</v>
      </c>
    </row>
    <row r="315" spans="1:10" ht="16.8" x14ac:dyDescent="0.3">
      <c r="A315" s="365" t="s">
        <v>928</v>
      </c>
      <c r="B315" s="661">
        <v>5</v>
      </c>
      <c r="C315" s="7"/>
      <c r="D315" s="10" t="s">
        <v>65</v>
      </c>
      <c r="E315" s="1" t="s">
        <v>110</v>
      </c>
      <c r="F315" s="268" t="s">
        <v>111</v>
      </c>
      <c r="G315" s="4" t="s">
        <v>71</v>
      </c>
      <c r="H315" s="9" t="s">
        <v>69</v>
      </c>
      <c r="I315" s="9" t="s">
        <v>522</v>
      </c>
      <c r="J315" s="274">
        <v>161</v>
      </c>
    </row>
    <row r="316" spans="1:10" ht="16.8" x14ac:dyDescent="0.3">
      <c r="A316" s="365" t="s">
        <v>929</v>
      </c>
      <c r="B316" s="661">
        <v>5</v>
      </c>
      <c r="C316" s="7"/>
      <c r="D316" s="10" t="s">
        <v>65</v>
      </c>
      <c r="E316" s="1" t="s">
        <v>113</v>
      </c>
      <c r="F316" s="268" t="s">
        <v>111</v>
      </c>
      <c r="G316" s="4" t="s">
        <v>66</v>
      </c>
      <c r="H316" s="9" t="s">
        <v>74</v>
      </c>
      <c r="I316" s="9" t="s">
        <v>450</v>
      </c>
      <c r="J316" s="274">
        <v>93</v>
      </c>
    </row>
    <row r="317" spans="1:10" ht="16.8" x14ac:dyDescent="0.3">
      <c r="A317" s="365" t="s">
        <v>930</v>
      </c>
      <c r="B317" s="661">
        <v>5</v>
      </c>
      <c r="C317" s="7"/>
      <c r="D317" s="10" t="s">
        <v>65</v>
      </c>
      <c r="E317" s="1" t="s">
        <v>113</v>
      </c>
      <c r="F317" s="268" t="s">
        <v>111</v>
      </c>
      <c r="G317" s="4" t="s">
        <v>66</v>
      </c>
      <c r="H317" s="9" t="s">
        <v>74</v>
      </c>
      <c r="I317" s="9" t="s">
        <v>442</v>
      </c>
      <c r="J317" s="274">
        <v>222</v>
      </c>
    </row>
    <row r="318" spans="1:10" ht="16.8" x14ac:dyDescent="0.3">
      <c r="A318" s="365" t="s">
        <v>931</v>
      </c>
      <c r="B318" s="661">
        <v>5</v>
      </c>
      <c r="C318" s="7"/>
      <c r="D318" s="10" t="s">
        <v>65</v>
      </c>
      <c r="E318" s="1" t="s">
        <v>113</v>
      </c>
      <c r="F318" s="268" t="s">
        <v>111</v>
      </c>
      <c r="G318" s="4" t="s">
        <v>66</v>
      </c>
      <c r="H318" s="9" t="s">
        <v>74</v>
      </c>
      <c r="I318" s="9" t="s">
        <v>450</v>
      </c>
      <c r="J318" s="274">
        <v>93</v>
      </c>
    </row>
    <row r="319" spans="1:10" ht="16.8" x14ac:dyDescent="0.3">
      <c r="A319" s="365" t="s">
        <v>932</v>
      </c>
      <c r="B319" s="661">
        <v>5</v>
      </c>
      <c r="C319" s="7"/>
      <c r="D319" s="10" t="s">
        <v>65</v>
      </c>
      <c r="E319" s="1" t="s">
        <v>113</v>
      </c>
      <c r="F319" s="268" t="s">
        <v>111</v>
      </c>
      <c r="G319" s="4" t="s">
        <v>71</v>
      </c>
      <c r="H319" s="9" t="s">
        <v>72</v>
      </c>
      <c r="I319" s="9" t="s">
        <v>444</v>
      </c>
      <c r="J319" s="274">
        <v>119</v>
      </c>
    </row>
    <row r="320" spans="1:10" ht="16.8" x14ac:dyDescent="0.3">
      <c r="A320" s="365" t="s">
        <v>933</v>
      </c>
      <c r="B320" s="661">
        <v>5</v>
      </c>
      <c r="C320" s="7"/>
      <c r="D320" s="10" t="s">
        <v>65</v>
      </c>
      <c r="E320" s="1" t="s">
        <v>110</v>
      </c>
      <c r="F320" s="268" t="s">
        <v>111</v>
      </c>
      <c r="G320" s="4" t="s">
        <v>118</v>
      </c>
      <c r="H320" s="9" t="s">
        <v>74</v>
      </c>
      <c r="I320" s="9" t="s">
        <v>493</v>
      </c>
      <c r="J320" s="274">
        <v>119</v>
      </c>
    </row>
    <row r="321" spans="1:10" ht="16.8" x14ac:dyDescent="0.3">
      <c r="A321" s="365" t="s">
        <v>934</v>
      </c>
      <c r="B321" s="661">
        <v>5</v>
      </c>
      <c r="C321" s="7"/>
      <c r="D321" s="10" t="s">
        <v>65</v>
      </c>
      <c r="E321" s="1" t="s">
        <v>110</v>
      </c>
      <c r="F321" s="268" t="s">
        <v>111</v>
      </c>
      <c r="G321" s="4" t="s">
        <v>90</v>
      </c>
      <c r="H321" s="9" t="s">
        <v>70</v>
      </c>
      <c r="I321" s="9" t="s">
        <v>1062</v>
      </c>
      <c r="J321" s="274">
        <v>104</v>
      </c>
    </row>
    <row r="322" spans="1:10" ht="16.8" x14ac:dyDescent="0.3">
      <c r="A322" s="365" t="s">
        <v>935</v>
      </c>
      <c r="B322" s="661">
        <v>5</v>
      </c>
      <c r="C322" s="7"/>
      <c r="D322" s="10" t="s">
        <v>65</v>
      </c>
      <c r="E322" s="1" t="s">
        <v>110</v>
      </c>
      <c r="F322" s="268" t="s">
        <v>111</v>
      </c>
      <c r="G322" s="4" t="s">
        <v>90</v>
      </c>
      <c r="H322" s="9" t="s">
        <v>74</v>
      </c>
      <c r="I322" s="9" t="s">
        <v>449</v>
      </c>
      <c r="J322" s="274">
        <v>109</v>
      </c>
    </row>
    <row r="323" spans="1:10" ht="16.8" x14ac:dyDescent="0.3">
      <c r="A323" s="365" t="s">
        <v>936</v>
      </c>
      <c r="B323" s="661">
        <v>5</v>
      </c>
      <c r="C323" s="7"/>
      <c r="D323" s="10" t="s">
        <v>73</v>
      </c>
      <c r="E323" s="1" t="s">
        <v>1063</v>
      </c>
      <c r="F323" s="268" t="s">
        <v>111</v>
      </c>
      <c r="G323" s="4" t="s">
        <v>90</v>
      </c>
      <c r="H323" s="9" t="s">
        <v>70</v>
      </c>
      <c r="I323" s="9" t="s">
        <v>446</v>
      </c>
      <c r="J323" s="274">
        <v>96</v>
      </c>
    </row>
    <row r="324" spans="1:10" ht="16.8" x14ac:dyDescent="0.3">
      <c r="A324" s="365" t="s">
        <v>937</v>
      </c>
      <c r="B324" s="661">
        <v>5</v>
      </c>
      <c r="C324" s="7"/>
      <c r="D324" s="10" t="s">
        <v>73</v>
      </c>
      <c r="E324" s="1" t="s">
        <v>113</v>
      </c>
      <c r="F324" s="268" t="s">
        <v>133</v>
      </c>
      <c r="G324" s="4" t="s">
        <v>90</v>
      </c>
      <c r="H324" s="9" t="s">
        <v>74</v>
      </c>
      <c r="I324" s="9" t="s">
        <v>450</v>
      </c>
      <c r="J324" s="274">
        <v>91</v>
      </c>
    </row>
    <row r="325" spans="1:10" ht="16.8" x14ac:dyDescent="0.3">
      <c r="A325" s="365" t="s">
        <v>938</v>
      </c>
      <c r="B325" s="661">
        <v>5</v>
      </c>
      <c r="C325" s="7"/>
      <c r="D325" s="10" t="s">
        <v>73</v>
      </c>
      <c r="E325" s="1" t="s">
        <v>110</v>
      </c>
      <c r="F325" s="268" t="s">
        <v>111</v>
      </c>
      <c r="G325" s="4" t="s">
        <v>90</v>
      </c>
      <c r="H325" s="9" t="s">
        <v>69</v>
      </c>
      <c r="I325" s="9" t="s">
        <v>444</v>
      </c>
      <c r="J325" s="274">
        <v>118</v>
      </c>
    </row>
    <row r="326" spans="1:10" ht="16.8" x14ac:dyDescent="0.3">
      <c r="A326" s="365" t="s">
        <v>939</v>
      </c>
      <c r="B326" s="661">
        <v>5</v>
      </c>
      <c r="C326" s="7"/>
      <c r="D326" s="10" t="s">
        <v>73</v>
      </c>
      <c r="E326" s="1" t="s">
        <v>110</v>
      </c>
      <c r="F326" s="268" t="s">
        <v>111</v>
      </c>
      <c r="G326" s="4" t="s">
        <v>1064</v>
      </c>
      <c r="H326" s="9" t="s">
        <v>70</v>
      </c>
      <c r="I326" s="9" t="s">
        <v>444</v>
      </c>
      <c r="J326" s="274">
        <v>120</v>
      </c>
    </row>
    <row r="327" spans="1:10" ht="16.8" x14ac:dyDescent="0.3">
      <c r="A327" s="365" t="s">
        <v>940</v>
      </c>
      <c r="B327" s="661">
        <v>5</v>
      </c>
      <c r="C327" s="7"/>
      <c r="D327" s="10" t="s">
        <v>73</v>
      </c>
      <c r="E327" s="1" t="s">
        <v>113</v>
      </c>
      <c r="F327" s="268" t="s">
        <v>111</v>
      </c>
      <c r="G327" s="4" t="s">
        <v>90</v>
      </c>
      <c r="H327" s="9" t="s">
        <v>70</v>
      </c>
      <c r="I327" s="9" t="s">
        <v>450</v>
      </c>
      <c r="J327" s="274">
        <v>95</v>
      </c>
    </row>
    <row r="328" spans="1:10" ht="16.8" x14ac:dyDescent="0.3">
      <c r="A328" s="365" t="s">
        <v>941</v>
      </c>
      <c r="B328" s="661">
        <v>5</v>
      </c>
      <c r="C328" s="7"/>
      <c r="D328" s="10" t="s">
        <v>73</v>
      </c>
      <c r="E328" s="1" t="s">
        <v>110</v>
      </c>
      <c r="F328" s="268" t="s">
        <v>111</v>
      </c>
      <c r="G328" s="4" t="s">
        <v>71</v>
      </c>
      <c r="H328" s="9" t="s">
        <v>69</v>
      </c>
      <c r="I328" s="9" t="s">
        <v>444</v>
      </c>
      <c r="J328" s="274">
        <v>122</v>
      </c>
    </row>
    <row r="329" spans="1:10" ht="16.8" x14ac:dyDescent="0.3">
      <c r="A329" s="365" t="s">
        <v>942</v>
      </c>
      <c r="B329" s="661">
        <v>5</v>
      </c>
      <c r="C329" s="7"/>
      <c r="D329" s="10" t="s">
        <v>73</v>
      </c>
      <c r="E329" s="1" t="s">
        <v>113</v>
      </c>
      <c r="F329" s="268" t="s">
        <v>133</v>
      </c>
      <c r="G329" s="4" t="s">
        <v>99</v>
      </c>
      <c r="H329" s="9" t="s">
        <v>69</v>
      </c>
      <c r="I329" s="9" t="s">
        <v>442</v>
      </c>
      <c r="J329" s="274">
        <v>244</v>
      </c>
    </row>
    <row r="330" spans="1:10" ht="16.8" x14ac:dyDescent="0.3">
      <c r="A330" s="365" t="s">
        <v>943</v>
      </c>
      <c r="B330" s="661">
        <v>5</v>
      </c>
      <c r="C330" s="7"/>
      <c r="D330" s="10" t="s">
        <v>73</v>
      </c>
      <c r="E330" s="1" t="s">
        <v>110</v>
      </c>
      <c r="F330" s="268" t="s">
        <v>111</v>
      </c>
      <c r="G330" s="4" t="s">
        <v>66</v>
      </c>
      <c r="H330" s="9" t="s">
        <v>70</v>
      </c>
      <c r="I330" s="9" t="s">
        <v>493</v>
      </c>
      <c r="J330" s="274">
        <v>115</v>
      </c>
    </row>
    <row r="331" spans="1:10" ht="16.8" x14ac:dyDescent="0.3">
      <c r="A331" s="365" t="s">
        <v>944</v>
      </c>
      <c r="B331" s="661">
        <v>5</v>
      </c>
      <c r="C331" s="7"/>
      <c r="D331" s="10" t="s">
        <v>73</v>
      </c>
      <c r="E331" s="1" t="s">
        <v>114</v>
      </c>
      <c r="F331" s="268" t="s">
        <v>111</v>
      </c>
      <c r="G331" s="4" t="s">
        <v>322</v>
      </c>
      <c r="H331" s="9" t="s">
        <v>74</v>
      </c>
      <c r="I331" s="9" t="s">
        <v>493</v>
      </c>
      <c r="J331" s="274">
        <v>118</v>
      </c>
    </row>
    <row r="332" spans="1:10" ht="16.8" x14ac:dyDescent="0.3">
      <c r="A332" s="365" t="s">
        <v>945</v>
      </c>
      <c r="B332" s="661">
        <v>5</v>
      </c>
      <c r="C332" s="7"/>
      <c r="D332" s="10" t="s">
        <v>73</v>
      </c>
      <c r="E332" s="1" t="s">
        <v>113</v>
      </c>
      <c r="F332" s="268" t="s">
        <v>111</v>
      </c>
      <c r="G332" s="4" t="s">
        <v>90</v>
      </c>
      <c r="H332" s="9" t="s">
        <v>124</v>
      </c>
      <c r="I332" s="9" t="s">
        <v>446</v>
      </c>
      <c r="J332" s="274">
        <v>105</v>
      </c>
    </row>
    <row r="333" spans="1:10" ht="16.8" x14ac:dyDescent="0.3">
      <c r="A333" s="365" t="s">
        <v>946</v>
      </c>
      <c r="B333" s="661">
        <v>5</v>
      </c>
      <c r="C333" s="7"/>
      <c r="D333" s="10" t="s">
        <v>73</v>
      </c>
      <c r="E333" s="1" t="s">
        <v>116</v>
      </c>
      <c r="F333" s="268" t="s">
        <v>133</v>
      </c>
      <c r="G333" s="4" t="s">
        <v>90</v>
      </c>
      <c r="H333" s="9" t="s">
        <v>74</v>
      </c>
      <c r="I333" s="9" t="s">
        <v>442</v>
      </c>
      <c r="J333" s="274">
        <v>286</v>
      </c>
    </row>
    <row r="334" spans="1:10" ht="16.8" x14ac:dyDescent="0.3">
      <c r="A334" s="365" t="s">
        <v>947</v>
      </c>
      <c r="B334" s="661">
        <v>5</v>
      </c>
      <c r="C334" s="7"/>
      <c r="D334" s="10" t="s">
        <v>73</v>
      </c>
      <c r="E334" s="1" t="s">
        <v>190</v>
      </c>
      <c r="F334" s="268" t="s">
        <v>111</v>
      </c>
      <c r="G334" s="4" t="s">
        <v>90</v>
      </c>
      <c r="H334" s="9" t="s">
        <v>74</v>
      </c>
      <c r="I334" s="9" t="s">
        <v>459</v>
      </c>
      <c r="J334" s="274">
        <v>72</v>
      </c>
    </row>
    <row r="335" spans="1:10" ht="16.8" x14ac:dyDescent="0.3">
      <c r="A335" s="365" t="s">
        <v>948</v>
      </c>
      <c r="B335" s="661">
        <v>5</v>
      </c>
      <c r="C335" s="7"/>
      <c r="D335" s="10" t="s">
        <v>73</v>
      </c>
      <c r="E335" s="1" t="s">
        <v>110</v>
      </c>
      <c r="F335" s="268" t="s">
        <v>111</v>
      </c>
      <c r="G335" s="4" t="s">
        <v>66</v>
      </c>
      <c r="H335" s="9" t="s">
        <v>124</v>
      </c>
      <c r="I335" s="9" t="s">
        <v>522</v>
      </c>
      <c r="J335" s="274">
        <v>186</v>
      </c>
    </row>
    <row r="336" spans="1:10" ht="16.8" x14ac:dyDescent="0.3">
      <c r="A336" s="365" t="s">
        <v>949</v>
      </c>
      <c r="B336" s="661">
        <v>5</v>
      </c>
      <c r="C336" s="7"/>
      <c r="D336" s="10" t="s">
        <v>73</v>
      </c>
      <c r="E336" s="1" t="s">
        <v>116</v>
      </c>
      <c r="F336" s="268" t="s">
        <v>111</v>
      </c>
      <c r="G336" s="4" t="s">
        <v>118</v>
      </c>
      <c r="H336" s="9" t="s">
        <v>462</v>
      </c>
      <c r="I336" s="9" t="s">
        <v>486</v>
      </c>
      <c r="J336" s="274">
        <v>109</v>
      </c>
    </row>
    <row r="337" spans="1:10" ht="16.8" x14ac:dyDescent="0.3">
      <c r="A337" s="365" t="s">
        <v>950</v>
      </c>
      <c r="B337" s="661">
        <v>5</v>
      </c>
      <c r="C337" s="7"/>
      <c r="D337" s="10" t="s">
        <v>73</v>
      </c>
      <c r="E337" s="1" t="s">
        <v>116</v>
      </c>
      <c r="F337" s="268" t="s">
        <v>111</v>
      </c>
      <c r="G337" s="4" t="s">
        <v>118</v>
      </c>
      <c r="H337" s="9" t="s">
        <v>70</v>
      </c>
      <c r="I337" s="9" t="s">
        <v>442</v>
      </c>
      <c r="J337" s="274">
        <v>299</v>
      </c>
    </row>
    <row r="338" spans="1:10" ht="16.8" x14ac:dyDescent="0.3">
      <c r="A338" s="365" t="s">
        <v>951</v>
      </c>
      <c r="B338" s="661">
        <v>5</v>
      </c>
      <c r="C338" s="7"/>
      <c r="D338" s="10" t="s">
        <v>73</v>
      </c>
      <c r="E338" s="1" t="s">
        <v>110</v>
      </c>
      <c r="F338" s="268" t="s">
        <v>111</v>
      </c>
      <c r="G338" s="4" t="s">
        <v>90</v>
      </c>
      <c r="H338" s="9" t="s">
        <v>112</v>
      </c>
      <c r="I338" s="9" t="s">
        <v>449</v>
      </c>
      <c r="J338" s="274">
        <v>111</v>
      </c>
    </row>
    <row r="339" spans="1:10" ht="16.8" x14ac:dyDescent="0.3">
      <c r="A339" s="365" t="s">
        <v>952</v>
      </c>
      <c r="B339" s="661">
        <v>5</v>
      </c>
      <c r="C339" s="7"/>
      <c r="D339" s="10" t="s">
        <v>92</v>
      </c>
      <c r="E339" s="1" t="s">
        <v>1065</v>
      </c>
      <c r="F339" s="268" t="s">
        <v>136</v>
      </c>
      <c r="G339" s="4" t="s">
        <v>71</v>
      </c>
      <c r="H339" s="9" t="s">
        <v>74</v>
      </c>
      <c r="I339" s="9" t="s">
        <v>442</v>
      </c>
      <c r="J339" s="274">
        <v>211</v>
      </c>
    </row>
    <row r="340" spans="1:10" ht="16.8" x14ac:dyDescent="0.3">
      <c r="A340" s="365" t="s">
        <v>953</v>
      </c>
      <c r="B340" s="661">
        <v>5</v>
      </c>
      <c r="C340" s="7"/>
      <c r="D340" s="10" t="s">
        <v>92</v>
      </c>
      <c r="E340" s="1" t="s">
        <v>1066</v>
      </c>
      <c r="F340" s="268" t="s">
        <v>111</v>
      </c>
      <c r="G340" s="4" t="s">
        <v>66</v>
      </c>
      <c r="H340" s="9" t="s">
        <v>97</v>
      </c>
      <c r="I340" s="9" t="s">
        <v>449</v>
      </c>
      <c r="J340" s="274">
        <v>106</v>
      </c>
    </row>
    <row r="341" spans="1:10" ht="16.8" x14ac:dyDescent="0.3">
      <c r="A341" s="365" t="s">
        <v>954</v>
      </c>
      <c r="B341" s="661">
        <v>5</v>
      </c>
      <c r="C341" s="7"/>
      <c r="D341" s="10" t="s">
        <v>92</v>
      </c>
      <c r="E341" s="1" t="s">
        <v>1067</v>
      </c>
      <c r="F341" s="268" t="s">
        <v>138</v>
      </c>
      <c r="G341" s="4" t="s">
        <v>1068</v>
      </c>
      <c r="H341" s="9" t="s">
        <v>69</v>
      </c>
      <c r="I341" s="9" t="s">
        <v>442</v>
      </c>
      <c r="J341" s="274">
        <v>274</v>
      </c>
    </row>
    <row r="342" spans="1:10" ht="16.8" x14ac:dyDescent="0.3">
      <c r="A342" s="365" t="s">
        <v>955</v>
      </c>
      <c r="B342" s="661">
        <v>5</v>
      </c>
      <c r="C342" s="7"/>
      <c r="D342" s="10" t="s">
        <v>92</v>
      </c>
      <c r="E342" s="1" t="s">
        <v>114</v>
      </c>
      <c r="F342" s="268" t="s">
        <v>111</v>
      </c>
      <c r="G342" s="4" t="s">
        <v>66</v>
      </c>
      <c r="H342" s="9" t="s">
        <v>69</v>
      </c>
      <c r="I342" s="9" t="s">
        <v>442</v>
      </c>
      <c r="J342" s="274">
        <v>296</v>
      </c>
    </row>
    <row r="343" spans="1:10" ht="16.8" x14ac:dyDescent="0.3">
      <c r="A343" s="365" t="s">
        <v>956</v>
      </c>
      <c r="B343" s="661">
        <v>5</v>
      </c>
      <c r="C343" s="7"/>
      <c r="D343" s="10" t="s">
        <v>188</v>
      </c>
      <c r="E343" s="1" t="s">
        <v>113</v>
      </c>
      <c r="F343" s="268" t="s">
        <v>111</v>
      </c>
      <c r="G343" s="4" t="s">
        <v>90</v>
      </c>
      <c r="H343" s="9" t="s">
        <v>74</v>
      </c>
      <c r="I343" s="9" t="s">
        <v>444</v>
      </c>
      <c r="J343" s="274">
        <v>116</v>
      </c>
    </row>
    <row r="344" spans="1:10" ht="16.8" x14ac:dyDescent="0.3">
      <c r="A344" s="365" t="s">
        <v>957</v>
      </c>
      <c r="B344" s="661">
        <v>5</v>
      </c>
      <c r="C344" s="7"/>
      <c r="D344" s="10" t="s">
        <v>188</v>
      </c>
      <c r="E344" s="1" t="s">
        <v>135</v>
      </c>
      <c r="F344" s="268" t="s">
        <v>111</v>
      </c>
      <c r="G344" s="4" t="s">
        <v>504</v>
      </c>
      <c r="H344" s="9" t="s">
        <v>69</v>
      </c>
      <c r="I344" s="9" t="s">
        <v>449</v>
      </c>
      <c r="J344" s="274">
        <v>94</v>
      </c>
    </row>
    <row r="345" spans="1:10" ht="16.8" x14ac:dyDescent="0.3">
      <c r="A345" s="365" t="s">
        <v>958</v>
      </c>
      <c r="B345" s="661">
        <v>5</v>
      </c>
      <c r="C345" s="7"/>
      <c r="D345" s="10" t="s">
        <v>188</v>
      </c>
      <c r="E345" s="1" t="s">
        <v>135</v>
      </c>
      <c r="F345" s="268" t="s">
        <v>111</v>
      </c>
      <c r="G345" s="4" t="s">
        <v>90</v>
      </c>
      <c r="H345" s="9" t="s">
        <v>74</v>
      </c>
      <c r="I345" s="9" t="s">
        <v>442</v>
      </c>
      <c r="J345" s="274">
        <v>211</v>
      </c>
    </row>
    <row r="346" spans="1:10" ht="16.8" x14ac:dyDescent="0.3">
      <c r="A346" s="365" t="s">
        <v>279</v>
      </c>
      <c r="B346" s="661">
        <v>5</v>
      </c>
      <c r="C346" s="7"/>
      <c r="D346" s="10" t="s">
        <v>188</v>
      </c>
      <c r="E346" s="1" t="s">
        <v>506</v>
      </c>
      <c r="F346" s="268" t="s">
        <v>111</v>
      </c>
      <c r="G346" s="4" t="s">
        <v>90</v>
      </c>
      <c r="H346" s="9" t="s">
        <v>124</v>
      </c>
      <c r="I346" s="9" t="s">
        <v>449</v>
      </c>
      <c r="J346" s="274">
        <v>101</v>
      </c>
    </row>
    <row r="347" spans="1:10" ht="16.8" x14ac:dyDescent="0.3">
      <c r="A347" s="365" t="s">
        <v>959</v>
      </c>
      <c r="B347" s="661">
        <v>5</v>
      </c>
      <c r="C347" s="7"/>
      <c r="D347" s="10" t="s">
        <v>188</v>
      </c>
      <c r="E347" s="1" t="s">
        <v>113</v>
      </c>
      <c r="F347" s="268" t="s">
        <v>133</v>
      </c>
      <c r="G347" s="4" t="s">
        <v>66</v>
      </c>
      <c r="H347" s="9" t="s">
        <v>74</v>
      </c>
      <c r="I347" s="9" t="s">
        <v>444</v>
      </c>
      <c r="J347" s="274">
        <v>124</v>
      </c>
    </row>
    <row r="348" spans="1:10" ht="16.8" x14ac:dyDescent="0.3">
      <c r="A348" s="365" t="s">
        <v>960</v>
      </c>
      <c r="B348" s="661">
        <v>5</v>
      </c>
      <c r="C348" s="7"/>
      <c r="D348" s="10" t="s">
        <v>188</v>
      </c>
      <c r="E348" s="1" t="s">
        <v>116</v>
      </c>
      <c r="F348" s="268" t="s">
        <v>111</v>
      </c>
      <c r="G348" s="4" t="s">
        <v>90</v>
      </c>
      <c r="H348" s="9" t="s">
        <v>72</v>
      </c>
      <c r="I348" s="9" t="s">
        <v>486</v>
      </c>
      <c r="J348" s="274">
        <v>99</v>
      </c>
    </row>
    <row r="349" spans="1:10" ht="16.8" x14ac:dyDescent="0.3">
      <c r="A349" s="365" t="s">
        <v>960</v>
      </c>
      <c r="B349" s="661">
        <v>5</v>
      </c>
      <c r="C349" s="7"/>
      <c r="D349" s="10" t="s">
        <v>188</v>
      </c>
      <c r="E349" s="1" t="s">
        <v>116</v>
      </c>
      <c r="F349" s="268" t="s">
        <v>111</v>
      </c>
      <c r="G349" s="4" t="s">
        <v>66</v>
      </c>
      <c r="H349" s="9" t="s">
        <v>72</v>
      </c>
      <c r="I349" s="9" t="s">
        <v>625</v>
      </c>
      <c r="J349" s="274">
        <v>212</v>
      </c>
    </row>
    <row r="350" spans="1:10" ht="16.8" x14ac:dyDescent="0.3">
      <c r="A350" s="365" t="s">
        <v>961</v>
      </c>
      <c r="B350" s="661">
        <v>5</v>
      </c>
      <c r="C350" s="7"/>
      <c r="D350" s="10" t="s">
        <v>188</v>
      </c>
      <c r="E350" s="1" t="s">
        <v>113</v>
      </c>
      <c r="F350" s="268" t="s">
        <v>111</v>
      </c>
      <c r="G350" s="4" t="s">
        <v>164</v>
      </c>
      <c r="H350" s="9" t="s">
        <v>74</v>
      </c>
      <c r="I350" s="9" t="s">
        <v>369</v>
      </c>
      <c r="J350" s="274">
        <v>177</v>
      </c>
    </row>
    <row r="351" spans="1:10" ht="16.8" x14ac:dyDescent="0.3">
      <c r="A351" s="365" t="s">
        <v>962</v>
      </c>
      <c r="B351" s="661">
        <v>5</v>
      </c>
      <c r="C351" s="7"/>
      <c r="D351" s="10" t="s">
        <v>75</v>
      </c>
      <c r="E351" s="1" t="s">
        <v>114</v>
      </c>
      <c r="F351" s="268" t="s">
        <v>111</v>
      </c>
      <c r="G351" s="4" t="s">
        <v>99</v>
      </c>
      <c r="H351" s="9" t="s">
        <v>74</v>
      </c>
      <c r="I351" s="9" t="s">
        <v>445</v>
      </c>
      <c r="J351" s="274">
        <v>99</v>
      </c>
    </row>
    <row r="352" spans="1:10" ht="16.8" x14ac:dyDescent="0.3">
      <c r="A352" s="365" t="s">
        <v>963</v>
      </c>
      <c r="B352" s="661">
        <v>5</v>
      </c>
      <c r="C352" s="7"/>
      <c r="D352" s="10" t="s">
        <v>75</v>
      </c>
      <c r="E352" s="1" t="s">
        <v>113</v>
      </c>
      <c r="F352" s="268" t="s">
        <v>111</v>
      </c>
      <c r="G352" s="4" t="s">
        <v>99</v>
      </c>
      <c r="H352" s="9" t="s">
        <v>124</v>
      </c>
      <c r="I352" s="9" t="s">
        <v>450</v>
      </c>
      <c r="J352" s="274">
        <v>89</v>
      </c>
    </row>
    <row r="353" spans="1:10" ht="16.8" x14ac:dyDescent="0.3">
      <c r="A353" s="365" t="s">
        <v>964</v>
      </c>
      <c r="B353" s="661">
        <v>5</v>
      </c>
      <c r="C353" s="7"/>
      <c r="D353" s="10" t="s">
        <v>75</v>
      </c>
      <c r="E353" s="1" t="s">
        <v>1069</v>
      </c>
      <c r="F353" s="268" t="s">
        <v>111</v>
      </c>
      <c r="G353" s="4" t="s">
        <v>118</v>
      </c>
      <c r="H353" s="9" t="s">
        <v>74</v>
      </c>
      <c r="I353" s="9" t="s">
        <v>449</v>
      </c>
      <c r="J353" s="274">
        <v>96</v>
      </c>
    </row>
    <row r="354" spans="1:10" ht="16.8" x14ac:dyDescent="0.3">
      <c r="A354" s="365" t="s">
        <v>965</v>
      </c>
      <c r="B354" s="661">
        <v>5</v>
      </c>
      <c r="C354" s="7"/>
      <c r="D354" s="10" t="s">
        <v>75</v>
      </c>
      <c r="E354" s="1" t="s">
        <v>116</v>
      </c>
      <c r="F354" s="268" t="s">
        <v>111</v>
      </c>
      <c r="G354" s="4" t="s">
        <v>71</v>
      </c>
      <c r="H354" s="9" t="s">
        <v>74</v>
      </c>
      <c r="I354" s="9" t="s">
        <v>522</v>
      </c>
      <c r="J354" s="274">
        <v>164</v>
      </c>
    </row>
    <row r="355" spans="1:10" ht="16.8" x14ac:dyDescent="0.3">
      <c r="A355" s="365" t="s">
        <v>966</v>
      </c>
      <c r="B355" s="661">
        <v>5</v>
      </c>
      <c r="C355" s="7"/>
      <c r="D355" s="10" t="s">
        <v>75</v>
      </c>
      <c r="E355" s="1" t="s">
        <v>113</v>
      </c>
      <c r="F355" s="268" t="s">
        <v>111</v>
      </c>
      <c r="G355" s="4" t="s">
        <v>118</v>
      </c>
      <c r="H355" s="9" t="s">
        <v>70</v>
      </c>
      <c r="I355" s="9" t="s">
        <v>442</v>
      </c>
      <c r="J355" s="274">
        <v>231</v>
      </c>
    </row>
    <row r="356" spans="1:10" ht="16.8" x14ac:dyDescent="0.3">
      <c r="A356" s="365" t="s">
        <v>967</v>
      </c>
      <c r="B356" s="661">
        <v>5</v>
      </c>
      <c r="C356" s="7"/>
      <c r="D356" s="10" t="s">
        <v>75</v>
      </c>
      <c r="E356" s="1" t="s">
        <v>1070</v>
      </c>
      <c r="F356" s="268" t="s">
        <v>95</v>
      </c>
      <c r="G356" s="4" t="s">
        <v>66</v>
      </c>
      <c r="H356" s="9" t="s">
        <v>70</v>
      </c>
      <c r="I356" s="9" t="s">
        <v>442</v>
      </c>
      <c r="J356" s="274">
        <v>238</v>
      </c>
    </row>
    <row r="357" spans="1:10" ht="16.8" x14ac:dyDescent="0.3">
      <c r="A357" s="365" t="s">
        <v>968</v>
      </c>
      <c r="B357" s="661">
        <v>5</v>
      </c>
      <c r="C357" s="7"/>
      <c r="D357" s="10" t="s">
        <v>75</v>
      </c>
      <c r="E357" s="1" t="s">
        <v>113</v>
      </c>
      <c r="F357" s="268" t="s">
        <v>111</v>
      </c>
      <c r="G357" s="4" t="s">
        <v>80</v>
      </c>
      <c r="H357" s="9" t="s">
        <v>74</v>
      </c>
      <c r="I357" s="9" t="s">
        <v>493</v>
      </c>
      <c r="J357" s="274">
        <v>122</v>
      </c>
    </row>
    <row r="358" spans="1:10" ht="16.8" x14ac:dyDescent="0.3">
      <c r="A358" s="365" t="s">
        <v>969</v>
      </c>
      <c r="B358" s="661">
        <v>5</v>
      </c>
      <c r="C358" s="7"/>
      <c r="D358" s="10" t="s">
        <v>75</v>
      </c>
      <c r="E358" s="1" t="s">
        <v>1063</v>
      </c>
      <c r="F358" s="268" t="s">
        <v>111</v>
      </c>
      <c r="G358" s="4" t="s">
        <v>66</v>
      </c>
      <c r="H358" s="9" t="s">
        <v>124</v>
      </c>
      <c r="I358" s="9" t="s">
        <v>522</v>
      </c>
      <c r="J358" s="274">
        <v>181</v>
      </c>
    </row>
    <row r="359" spans="1:10" ht="16.8" x14ac:dyDescent="0.3">
      <c r="A359" s="365" t="s">
        <v>970</v>
      </c>
      <c r="B359" s="661">
        <v>5</v>
      </c>
      <c r="C359" s="7"/>
      <c r="D359" s="10" t="s">
        <v>75</v>
      </c>
      <c r="E359" s="1" t="s">
        <v>114</v>
      </c>
      <c r="F359" s="268" t="s">
        <v>95</v>
      </c>
      <c r="G359" s="4" t="s">
        <v>66</v>
      </c>
      <c r="H359" s="9" t="s">
        <v>70</v>
      </c>
      <c r="I359" s="9" t="s">
        <v>442</v>
      </c>
      <c r="J359" s="274">
        <v>297</v>
      </c>
    </row>
    <row r="360" spans="1:10" ht="16.8" x14ac:dyDescent="0.3">
      <c r="A360" s="365" t="s">
        <v>971</v>
      </c>
      <c r="B360" s="661">
        <v>5</v>
      </c>
      <c r="C360" s="7"/>
      <c r="D360" s="10" t="s">
        <v>195</v>
      </c>
      <c r="E360" s="1" t="s">
        <v>116</v>
      </c>
      <c r="F360" s="268" t="s">
        <v>136</v>
      </c>
      <c r="G360" s="4" t="s">
        <v>1068</v>
      </c>
      <c r="H360" s="9" t="s">
        <v>137</v>
      </c>
      <c r="I360" s="9" t="s">
        <v>486</v>
      </c>
      <c r="J360" s="274">
        <v>96</v>
      </c>
    </row>
    <row r="361" spans="1:10" ht="16.8" x14ac:dyDescent="0.3">
      <c r="A361" s="365" t="s">
        <v>972</v>
      </c>
      <c r="B361" s="661">
        <v>5</v>
      </c>
      <c r="C361" s="7"/>
      <c r="D361" s="10" t="s">
        <v>174</v>
      </c>
      <c r="E361" s="1" t="s">
        <v>110</v>
      </c>
      <c r="F361" s="268" t="s">
        <v>111</v>
      </c>
      <c r="G361" s="4" t="s">
        <v>66</v>
      </c>
      <c r="H361" s="9" t="s">
        <v>74</v>
      </c>
      <c r="I361" s="9" t="s">
        <v>444</v>
      </c>
      <c r="J361" s="274">
        <v>117</v>
      </c>
    </row>
    <row r="362" spans="1:10" ht="16.8" x14ac:dyDescent="0.3">
      <c r="A362" s="365" t="s">
        <v>973</v>
      </c>
      <c r="B362" s="661">
        <v>5</v>
      </c>
      <c r="C362" s="7"/>
      <c r="D362" s="10" t="s">
        <v>174</v>
      </c>
      <c r="E362" s="1" t="s">
        <v>110</v>
      </c>
      <c r="F362" s="268" t="s">
        <v>67</v>
      </c>
      <c r="G362" s="4" t="s">
        <v>66</v>
      </c>
      <c r="H362" s="9" t="s">
        <v>70</v>
      </c>
      <c r="I362" s="9" t="s">
        <v>486</v>
      </c>
      <c r="J362" s="274">
        <v>87</v>
      </c>
    </row>
    <row r="363" spans="1:10" ht="16.8" x14ac:dyDescent="0.3">
      <c r="A363" s="365" t="s">
        <v>974</v>
      </c>
      <c r="B363" s="661">
        <v>5</v>
      </c>
      <c r="C363" s="7"/>
      <c r="D363" s="10" t="s">
        <v>174</v>
      </c>
      <c r="E363" s="1" t="s">
        <v>110</v>
      </c>
      <c r="F363" s="268" t="s">
        <v>111</v>
      </c>
      <c r="G363" s="4" t="s">
        <v>71</v>
      </c>
      <c r="H363" s="9" t="s">
        <v>112</v>
      </c>
      <c r="I363" s="9" t="s">
        <v>446</v>
      </c>
      <c r="J363" s="274">
        <v>97</v>
      </c>
    </row>
    <row r="364" spans="1:10" ht="16.8" x14ac:dyDescent="0.3">
      <c r="A364" s="365" t="s">
        <v>975</v>
      </c>
      <c r="B364" s="661">
        <v>5</v>
      </c>
      <c r="C364" s="7"/>
      <c r="D364" s="10" t="s">
        <v>174</v>
      </c>
      <c r="E364" s="1" t="s">
        <v>114</v>
      </c>
      <c r="F364" s="268" t="s">
        <v>111</v>
      </c>
      <c r="G364" s="4" t="s">
        <v>118</v>
      </c>
      <c r="H364" s="9" t="s">
        <v>70</v>
      </c>
      <c r="I364" s="9" t="s">
        <v>459</v>
      </c>
      <c r="J364" s="274">
        <v>66</v>
      </c>
    </row>
    <row r="365" spans="1:10" ht="16.8" x14ac:dyDescent="0.3">
      <c r="A365" s="365" t="s">
        <v>976</v>
      </c>
      <c r="B365" s="661">
        <v>5</v>
      </c>
      <c r="C365" s="7"/>
      <c r="D365" s="10" t="s">
        <v>174</v>
      </c>
      <c r="E365" s="1" t="s">
        <v>113</v>
      </c>
      <c r="F365" s="268" t="s">
        <v>111</v>
      </c>
      <c r="G365" s="4" t="s">
        <v>66</v>
      </c>
      <c r="H365" s="9" t="s">
        <v>1071</v>
      </c>
      <c r="I365" s="9" t="s">
        <v>450</v>
      </c>
      <c r="J365" s="274">
        <v>97</v>
      </c>
    </row>
    <row r="366" spans="1:10" ht="16.8" x14ac:dyDescent="0.3">
      <c r="A366" s="365" t="s">
        <v>977</v>
      </c>
      <c r="B366" s="661">
        <v>5</v>
      </c>
      <c r="C366" s="7"/>
      <c r="D366" s="10" t="s">
        <v>174</v>
      </c>
      <c r="E366" s="1" t="s">
        <v>110</v>
      </c>
      <c r="F366" s="268" t="s">
        <v>111</v>
      </c>
      <c r="G366" s="4" t="s">
        <v>118</v>
      </c>
      <c r="H366" s="9" t="s">
        <v>70</v>
      </c>
      <c r="I366" s="9" t="s">
        <v>459</v>
      </c>
      <c r="J366" s="274">
        <v>67</v>
      </c>
    </row>
    <row r="367" spans="1:10" ht="16.8" x14ac:dyDescent="0.3">
      <c r="A367" s="365" t="s">
        <v>978</v>
      </c>
      <c r="B367" s="661">
        <v>5</v>
      </c>
      <c r="C367" s="7"/>
      <c r="D367" s="10" t="s">
        <v>174</v>
      </c>
      <c r="E367" s="1" t="s">
        <v>110</v>
      </c>
      <c r="F367" s="268" t="s">
        <v>111</v>
      </c>
      <c r="G367" s="4" t="s">
        <v>90</v>
      </c>
      <c r="H367" s="9" t="s">
        <v>70</v>
      </c>
      <c r="I367" s="9" t="s">
        <v>442</v>
      </c>
      <c r="J367" s="274">
        <v>244</v>
      </c>
    </row>
    <row r="368" spans="1:10" ht="16.8" x14ac:dyDescent="0.3">
      <c r="A368" s="365" t="s">
        <v>979</v>
      </c>
      <c r="B368" s="661">
        <v>5</v>
      </c>
      <c r="C368" s="7"/>
      <c r="D368" s="10" t="s">
        <v>174</v>
      </c>
      <c r="E368" s="1" t="s">
        <v>114</v>
      </c>
      <c r="F368" s="268" t="s">
        <v>111</v>
      </c>
      <c r="G368" s="4" t="s">
        <v>90</v>
      </c>
      <c r="H368" s="9" t="s">
        <v>70</v>
      </c>
      <c r="I368" s="9" t="s">
        <v>628</v>
      </c>
      <c r="J368" s="274">
        <v>32</v>
      </c>
    </row>
    <row r="369" spans="1:10" ht="16.8" x14ac:dyDescent="0.3">
      <c r="A369" s="365" t="s">
        <v>980</v>
      </c>
      <c r="B369" s="661">
        <v>5</v>
      </c>
      <c r="C369" s="7"/>
      <c r="D369" s="10" t="s">
        <v>174</v>
      </c>
      <c r="E369" s="1" t="s">
        <v>1070</v>
      </c>
      <c r="F369" s="268" t="s">
        <v>67</v>
      </c>
      <c r="G369" s="4" t="s">
        <v>90</v>
      </c>
      <c r="H369" s="9" t="s">
        <v>124</v>
      </c>
      <c r="I369" s="9" t="s">
        <v>1072</v>
      </c>
      <c r="J369" s="274">
        <v>131</v>
      </c>
    </row>
    <row r="370" spans="1:10" ht="16.8" x14ac:dyDescent="0.3">
      <c r="A370" s="365" t="s">
        <v>981</v>
      </c>
      <c r="B370" s="661">
        <v>5</v>
      </c>
      <c r="C370" s="7"/>
      <c r="D370" s="10" t="s">
        <v>174</v>
      </c>
      <c r="E370" s="1" t="s">
        <v>113</v>
      </c>
      <c r="F370" s="268" t="s">
        <v>111</v>
      </c>
      <c r="G370" s="4" t="s">
        <v>80</v>
      </c>
      <c r="H370" s="9" t="s">
        <v>70</v>
      </c>
      <c r="I370" s="9" t="s">
        <v>446</v>
      </c>
      <c r="J370" s="274">
        <v>101</v>
      </c>
    </row>
    <row r="371" spans="1:10" ht="16.8" x14ac:dyDescent="0.3">
      <c r="A371" s="365" t="s">
        <v>982</v>
      </c>
      <c r="B371" s="661">
        <v>5</v>
      </c>
      <c r="C371" s="7"/>
      <c r="D371" s="10" t="s">
        <v>174</v>
      </c>
      <c r="E371" s="1" t="s">
        <v>1069</v>
      </c>
      <c r="F371" s="268" t="s">
        <v>111</v>
      </c>
      <c r="G371" s="4" t="s">
        <v>71</v>
      </c>
      <c r="H371" s="9" t="s">
        <v>69</v>
      </c>
      <c r="I371" s="9" t="s">
        <v>449</v>
      </c>
      <c r="J371" s="274">
        <v>107</v>
      </c>
    </row>
    <row r="372" spans="1:10" ht="16.8" x14ac:dyDescent="0.3">
      <c r="A372" s="365" t="s">
        <v>983</v>
      </c>
      <c r="B372" s="661">
        <v>5</v>
      </c>
      <c r="C372" s="7"/>
      <c r="D372" s="10" t="s">
        <v>174</v>
      </c>
      <c r="E372" s="1" t="s">
        <v>110</v>
      </c>
      <c r="F372" s="268" t="s">
        <v>111</v>
      </c>
      <c r="G372" s="4" t="s">
        <v>66</v>
      </c>
      <c r="H372" s="9" t="s">
        <v>70</v>
      </c>
      <c r="I372" s="9" t="s">
        <v>442</v>
      </c>
      <c r="J372" s="274">
        <v>280</v>
      </c>
    </row>
    <row r="373" spans="1:10" ht="16.8" x14ac:dyDescent="0.3">
      <c r="A373" s="365" t="s">
        <v>984</v>
      </c>
      <c r="B373" s="661">
        <v>5</v>
      </c>
      <c r="C373" s="7"/>
      <c r="D373" s="10" t="s">
        <v>174</v>
      </c>
      <c r="E373" s="1" t="s">
        <v>114</v>
      </c>
      <c r="F373" s="268" t="s">
        <v>111</v>
      </c>
      <c r="G373" s="4" t="s">
        <v>66</v>
      </c>
      <c r="H373" s="9" t="s">
        <v>70</v>
      </c>
      <c r="I373" s="9" t="s">
        <v>454</v>
      </c>
      <c r="J373" s="274">
        <v>52</v>
      </c>
    </row>
    <row r="374" spans="1:10" ht="16.8" x14ac:dyDescent="0.3">
      <c r="A374" s="365" t="s">
        <v>985</v>
      </c>
      <c r="B374" s="661">
        <v>5</v>
      </c>
      <c r="C374" s="7"/>
      <c r="D374" s="10" t="s">
        <v>174</v>
      </c>
      <c r="E374" s="1" t="s">
        <v>114</v>
      </c>
      <c r="F374" s="268" t="s">
        <v>136</v>
      </c>
      <c r="G374" s="4" t="s">
        <v>178</v>
      </c>
      <c r="H374" s="9" t="s">
        <v>124</v>
      </c>
      <c r="I374" s="9" t="s">
        <v>442</v>
      </c>
      <c r="J374" s="274">
        <v>290</v>
      </c>
    </row>
    <row r="375" spans="1:10" ht="16.8" x14ac:dyDescent="0.3">
      <c r="A375" s="365" t="s">
        <v>986</v>
      </c>
      <c r="B375" s="661">
        <v>5</v>
      </c>
      <c r="C375" s="7"/>
      <c r="D375" s="10" t="s">
        <v>174</v>
      </c>
      <c r="E375" s="1" t="s">
        <v>114</v>
      </c>
      <c r="F375" s="268" t="s">
        <v>136</v>
      </c>
      <c r="G375" s="4" t="s">
        <v>178</v>
      </c>
      <c r="H375" s="9" t="s">
        <v>124</v>
      </c>
      <c r="I375" s="9" t="s">
        <v>442</v>
      </c>
      <c r="J375" s="274">
        <v>291</v>
      </c>
    </row>
    <row r="376" spans="1:10" ht="16.8" x14ac:dyDescent="0.3">
      <c r="A376" s="365" t="s">
        <v>987</v>
      </c>
      <c r="B376" s="661">
        <v>5</v>
      </c>
      <c r="C376" s="7"/>
      <c r="D376" s="10" t="s">
        <v>175</v>
      </c>
      <c r="E376" s="1" t="s">
        <v>110</v>
      </c>
      <c r="F376" s="268" t="s">
        <v>111</v>
      </c>
      <c r="G376" s="4" t="s">
        <v>322</v>
      </c>
      <c r="H376" s="9" t="s">
        <v>74</v>
      </c>
      <c r="I376" s="9" t="s">
        <v>447</v>
      </c>
      <c r="J376" s="274">
        <v>81</v>
      </c>
    </row>
    <row r="377" spans="1:10" ht="16.8" x14ac:dyDescent="0.3">
      <c r="A377" s="365" t="s">
        <v>988</v>
      </c>
      <c r="B377" s="661">
        <v>5</v>
      </c>
      <c r="C377" s="7"/>
      <c r="D377" s="10" t="s">
        <v>175</v>
      </c>
      <c r="E377" s="1" t="s">
        <v>113</v>
      </c>
      <c r="F377" s="268" t="s">
        <v>111</v>
      </c>
      <c r="G377" s="4" t="s">
        <v>90</v>
      </c>
      <c r="H377" s="9" t="s">
        <v>74</v>
      </c>
      <c r="I377" s="9" t="s">
        <v>1073</v>
      </c>
      <c r="J377" s="274">
        <v>61</v>
      </c>
    </row>
    <row r="378" spans="1:10" ht="16.8" x14ac:dyDescent="0.3">
      <c r="A378" s="365" t="s">
        <v>989</v>
      </c>
      <c r="B378" s="661">
        <v>5</v>
      </c>
      <c r="C378" s="7"/>
      <c r="D378" s="10" t="s">
        <v>175</v>
      </c>
      <c r="E378" s="1" t="s">
        <v>110</v>
      </c>
      <c r="F378" s="268" t="s">
        <v>111</v>
      </c>
      <c r="G378" s="4" t="s">
        <v>66</v>
      </c>
      <c r="H378" s="9" t="s">
        <v>69</v>
      </c>
      <c r="I378" s="9" t="s">
        <v>456</v>
      </c>
      <c r="J378" s="274">
        <v>53</v>
      </c>
    </row>
    <row r="379" spans="1:10" ht="16.8" x14ac:dyDescent="0.3">
      <c r="A379" s="365" t="s">
        <v>990</v>
      </c>
      <c r="B379" s="661">
        <v>5</v>
      </c>
      <c r="C379" s="7"/>
      <c r="D379" s="10" t="s">
        <v>175</v>
      </c>
      <c r="E379" s="1" t="s">
        <v>110</v>
      </c>
      <c r="F379" s="268" t="s">
        <v>111</v>
      </c>
      <c r="G379" s="4" t="s">
        <v>66</v>
      </c>
      <c r="H379" s="9" t="s">
        <v>74</v>
      </c>
      <c r="I379" s="9" t="s">
        <v>442</v>
      </c>
      <c r="J379" s="274">
        <v>223</v>
      </c>
    </row>
    <row r="380" spans="1:10" ht="16.8" x14ac:dyDescent="0.3">
      <c r="A380" s="365" t="s">
        <v>991</v>
      </c>
      <c r="B380" s="661">
        <v>5</v>
      </c>
      <c r="C380" s="7"/>
      <c r="D380" s="10" t="s">
        <v>175</v>
      </c>
      <c r="E380" s="1" t="s">
        <v>110</v>
      </c>
      <c r="F380" s="268" t="s">
        <v>111</v>
      </c>
      <c r="G380" s="4" t="s">
        <v>66</v>
      </c>
      <c r="H380" s="9" t="s">
        <v>74</v>
      </c>
      <c r="I380" s="9" t="s">
        <v>447</v>
      </c>
      <c r="J380" s="274">
        <v>85</v>
      </c>
    </row>
    <row r="381" spans="1:10" ht="16.8" x14ac:dyDescent="0.3">
      <c r="A381" s="365" t="s">
        <v>992</v>
      </c>
      <c r="B381" s="661">
        <v>5</v>
      </c>
      <c r="C381" s="7"/>
      <c r="D381" s="10" t="s">
        <v>175</v>
      </c>
      <c r="E381" s="1" t="s">
        <v>110</v>
      </c>
      <c r="F381" s="268" t="s">
        <v>440</v>
      </c>
      <c r="G381" s="4" t="s">
        <v>90</v>
      </c>
      <c r="H381" s="9" t="s">
        <v>137</v>
      </c>
      <c r="I381" s="9" t="s">
        <v>493</v>
      </c>
      <c r="J381" s="274">
        <v>113</v>
      </c>
    </row>
    <row r="382" spans="1:10" ht="16.8" x14ac:dyDescent="0.3">
      <c r="A382" s="365" t="s">
        <v>993</v>
      </c>
      <c r="B382" s="661">
        <v>5</v>
      </c>
      <c r="C382" s="7"/>
      <c r="D382" s="10" t="s">
        <v>175</v>
      </c>
      <c r="E382" s="1" t="s">
        <v>114</v>
      </c>
      <c r="F382" s="268" t="s">
        <v>111</v>
      </c>
      <c r="G382" s="4" t="s">
        <v>71</v>
      </c>
      <c r="H382" s="9" t="s">
        <v>69</v>
      </c>
      <c r="I382" s="9" t="s">
        <v>1072</v>
      </c>
      <c r="J382" s="274">
        <v>129</v>
      </c>
    </row>
    <row r="383" spans="1:10" ht="16.8" x14ac:dyDescent="0.3">
      <c r="A383" s="365" t="s">
        <v>994</v>
      </c>
      <c r="B383" s="661">
        <v>5</v>
      </c>
      <c r="C383" s="7"/>
      <c r="D383" s="10" t="s">
        <v>175</v>
      </c>
      <c r="E383" s="1" t="s">
        <v>116</v>
      </c>
      <c r="F383" s="268" t="s">
        <v>111</v>
      </c>
      <c r="G383" s="4" t="s">
        <v>66</v>
      </c>
      <c r="H383" s="9" t="s">
        <v>70</v>
      </c>
      <c r="I383" s="9" t="s">
        <v>369</v>
      </c>
      <c r="J383" s="274">
        <v>208</v>
      </c>
    </row>
    <row r="384" spans="1:10" ht="16.8" x14ac:dyDescent="0.3">
      <c r="A384" s="365" t="s">
        <v>995</v>
      </c>
      <c r="B384" s="661">
        <v>5</v>
      </c>
      <c r="C384" s="7"/>
      <c r="D384" s="10" t="s">
        <v>175</v>
      </c>
      <c r="E384" s="1" t="s">
        <v>637</v>
      </c>
      <c r="F384" s="268" t="s">
        <v>111</v>
      </c>
      <c r="G384" s="4" t="s">
        <v>90</v>
      </c>
      <c r="H384" s="9" t="s">
        <v>70</v>
      </c>
      <c r="I384" s="9" t="s">
        <v>486</v>
      </c>
      <c r="J384" s="274">
        <v>97</v>
      </c>
    </row>
    <row r="385" spans="1:10" ht="16.8" x14ac:dyDescent="0.3">
      <c r="A385" s="365" t="s">
        <v>996</v>
      </c>
      <c r="B385" s="661">
        <v>5</v>
      </c>
      <c r="C385" s="7"/>
      <c r="D385" s="10" t="s">
        <v>175</v>
      </c>
      <c r="E385" s="1" t="s">
        <v>1074</v>
      </c>
      <c r="F385" s="268" t="s">
        <v>133</v>
      </c>
      <c r="G385" s="4" t="s">
        <v>71</v>
      </c>
      <c r="H385" s="9" t="s">
        <v>70</v>
      </c>
      <c r="I385" s="9" t="s">
        <v>450</v>
      </c>
      <c r="J385" s="274">
        <v>97</v>
      </c>
    </row>
    <row r="386" spans="1:10" ht="16.8" x14ac:dyDescent="0.3">
      <c r="A386" s="365" t="s">
        <v>997</v>
      </c>
      <c r="B386" s="661">
        <v>5</v>
      </c>
      <c r="C386" s="7"/>
      <c r="D386" s="10" t="s">
        <v>175</v>
      </c>
      <c r="E386" s="1" t="s">
        <v>110</v>
      </c>
      <c r="F386" s="268" t="s">
        <v>440</v>
      </c>
      <c r="G386" s="4" t="s">
        <v>178</v>
      </c>
      <c r="H386" s="9" t="s">
        <v>124</v>
      </c>
      <c r="I386" s="9" t="s">
        <v>493</v>
      </c>
      <c r="J386" s="274">
        <v>120</v>
      </c>
    </row>
    <row r="387" spans="1:10" ht="16.8" x14ac:dyDescent="0.3">
      <c r="A387" s="365" t="s">
        <v>998</v>
      </c>
      <c r="B387" s="661">
        <v>5</v>
      </c>
      <c r="C387" s="7"/>
      <c r="D387" s="10" t="s">
        <v>175</v>
      </c>
      <c r="E387" s="1" t="s">
        <v>113</v>
      </c>
      <c r="F387" s="268" t="s">
        <v>111</v>
      </c>
      <c r="G387" s="4" t="s">
        <v>66</v>
      </c>
      <c r="H387" s="9" t="s">
        <v>74</v>
      </c>
      <c r="I387" s="9" t="s">
        <v>450</v>
      </c>
      <c r="J387" s="274">
        <v>103</v>
      </c>
    </row>
    <row r="388" spans="1:10" ht="16.8" x14ac:dyDescent="0.3">
      <c r="A388" s="365" t="s">
        <v>999</v>
      </c>
      <c r="B388" s="661">
        <v>5</v>
      </c>
      <c r="C388" s="7"/>
      <c r="D388" s="10" t="s">
        <v>175</v>
      </c>
      <c r="E388" s="1" t="s">
        <v>1075</v>
      </c>
      <c r="F388" s="268" t="s">
        <v>111</v>
      </c>
      <c r="G388" s="4" t="s">
        <v>71</v>
      </c>
      <c r="H388" s="9" t="s">
        <v>69</v>
      </c>
      <c r="I388" s="9" t="s">
        <v>486</v>
      </c>
      <c r="J388" s="274">
        <v>102</v>
      </c>
    </row>
    <row r="389" spans="1:10" ht="16.8" x14ac:dyDescent="0.3">
      <c r="A389" s="365" t="s">
        <v>1000</v>
      </c>
      <c r="B389" s="661">
        <v>5</v>
      </c>
      <c r="C389" s="7"/>
      <c r="D389" s="10" t="s">
        <v>175</v>
      </c>
      <c r="E389" s="1" t="s">
        <v>113</v>
      </c>
      <c r="F389" s="268" t="s">
        <v>111</v>
      </c>
      <c r="G389" s="4" t="s">
        <v>71</v>
      </c>
      <c r="H389" s="9" t="s">
        <v>74</v>
      </c>
      <c r="I389" s="9" t="s">
        <v>442</v>
      </c>
      <c r="J389" s="274">
        <v>273</v>
      </c>
    </row>
    <row r="390" spans="1:10" ht="16.8" x14ac:dyDescent="0.3">
      <c r="A390" s="365" t="s">
        <v>1001</v>
      </c>
      <c r="B390" s="661">
        <v>5</v>
      </c>
      <c r="C390" s="7"/>
      <c r="D390" s="10" t="s">
        <v>175</v>
      </c>
      <c r="E390" s="1" t="s">
        <v>116</v>
      </c>
      <c r="F390" s="268" t="s">
        <v>111</v>
      </c>
      <c r="G390" s="4" t="s">
        <v>118</v>
      </c>
      <c r="H390" s="9" t="s">
        <v>74</v>
      </c>
      <c r="I390" s="9" t="s">
        <v>522</v>
      </c>
      <c r="J390" s="274">
        <v>183</v>
      </c>
    </row>
    <row r="391" spans="1:10" ht="16.8" x14ac:dyDescent="0.3">
      <c r="A391" s="365" t="s">
        <v>1002</v>
      </c>
      <c r="B391" s="661">
        <v>5</v>
      </c>
      <c r="C391" s="7"/>
      <c r="D391" s="10" t="s">
        <v>175</v>
      </c>
      <c r="E391" s="1" t="s">
        <v>113</v>
      </c>
      <c r="F391" s="268" t="s">
        <v>111</v>
      </c>
      <c r="G391" s="4" t="s">
        <v>71</v>
      </c>
      <c r="H391" s="9" t="s">
        <v>74</v>
      </c>
      <c r="I391" s="9" t="s">
        <v>444</v>
      </c>
      <c r="J391" s="274">
        <v>128</v>
      </c>
    </row>
    <row r="392" spans="1:10" ht="16.8" x14ac:dyDescent="0.3">
      <c r="A392" s="365" t="s">
        <v>1003</v>
      </c>
      <c r="B392" s="661">
        <v>5</v>
      </c>
      <c r="C392" s="7"/>
      <c r="D392" s="10" t="s">
        <v>175</v>
      </c>
      <c r="E392" s="1" t="s">
        <v>110</v>
      </c>
      <c r="F392" s="268" t="s">
        <v>111</v>
      </c>
      <c r="G392" s="4" t="s">
        <v>90</v>
      </c>
      <c r="H392" s="9" t="s">
        <v>137</v>
      </c>
      <c r="I392" s="9" t="s">
        <v>493</v>
      </c>
      <c r="J392" s="274">
        <v>113</v>
      </c>
    </row>
    <row r="393" spans="1:10" ht="16.8" x14ac:dyDescent="0.3">
      <c r="A393" s="365" t="s">
        <v>1004</v>
      </c>
      <c r="B393" s="661">
        <v>5</v>
      </c>
      <c r="C393" s="7"/>
      <c r="D393" s="10" t="s">
        <v>175</v>
      </c>
      <c r="E393" s="1" t="s">
        <v>134</v>
      </c>
      <c r="F393" s="268" t="s">
        <v>111</v>
      </c>
      <c r="G393" s="4" t="s">
        <v>90</v>
      </c>
      <c r="H393" s="9" t="s">
        <v>67</v>
      </c>
      <c r="I393" s="9" t="s">
        <v>1076</v>
      </c>
      <c r="J393" s="274">
        <v>68</v>
      </c>
    </row>
    <row r="394" spans="1:10" ht="16.8" x14ac:dyDescent="0.3">
      <c r="A394" s="366" t="s">
        <v>1005</v>
      </c>
      <c r="B394" s="664">
        <v>5</v>
      </c>
      <c r="C394" s="77"/>
      <c r="D394" s="78" t="s">
        <v>73</v>
      </c>
      <c r="E394" s="6" t="s">
        <v>110</v>
      </c>
      <c r="F394" s="270" t="s">
        <v>111</v>
      </c>
      <c r="G394" s="11" t="s">
        <v>90</v>
      </c>
      <c r="H394" s="276" t="s">
        <v>70</v>
      </c>
      <c r="I394" s="276" t="s">
        <v>442</v>
      </c>
      <c r="J394" s="665">
        <v>216</v>
      </c>
    </row>
    <row r="395" spans="1:10" ht="16.8" x14ac:dyDescent="0.3">
      <c r="A395" s="365" t="s">
        <v>1006</v>
      </c>
      <c r="B395" s="661">
        <v>6</v>
      </c>
      <c r="C395" s="7"/>
      <c r="D395" s="10" t="s">
        <v>65</v>
      </c>
      <c r="E395" s="1" t="s">
        <v>113</v>
      </c>
      <c r="F395" s="268" t="s">
        <v>133</v>
      </c>
      <c r="G395" s="4" t="s">
        <v>81</v>
      </c>
      <c r="H395" s="9" t="s">
        <v>72</v>
      </c>
      <c r="I395" s="9" t="s">
        <v>442</v>
      </c>
      <c r="J395" s="274">
        <v>199</v>
      </c>
    </row>
    <row r="396" spans="1:10" ht="16.8" x14ac:dyDescent="0.3">
      <c r="A396" s="365" t="s">
        <v>1007</v>
      </c>
      <c r="B396" s="661">
        <v>6</v>
      </c>
      <c r="C396" s="7"/>
      <c r="D396" s="10" t="s">
        <v>65</v>
      </c>
      <c r="E396" s="1" t="s">
        <v>134</v>
      </c>
      <c r="F396" s="268" t="s">
        <v>111</v>
      </c>
      <c r="G396" s="4" t="s">
        <v>90</v>
      </c>
      <c r="H396" s="9" t="s">
        <v>70</v>
      </c>
      <c r="I396" s="9" t="s">
        <v>442</v>
      </c>
      <c r="J396" s="274">
        <v>203</v>
      </c>
    </row>
    <row r="397" spans="1:10" ht="16.8" x14ac:dyDescent="0.3">
      <c r="A397" s="365" t="s">
        <v>1008</v>
      </c>
      <c r="B397" s="661">
        <v>6</v>
      </c>
      <c r="C397" s="7"/>
      <c r="D397" s="10" t="s">
        <v>65</v>
      </c>
      <c r="E397" s="1" t="s">
        <v>110</v>
      </c>
      <c r="F397" s="268" t="s">
        <v>111</v>
      </c>
      <c r="G397" s="4" t="s">
        <v>118</v>
      </c>
      <c r="H397" s="9" t="s">
        <v>70</v>
      </c>
      <c r="I397" s="9" t="s">
        <v>442</v>
      </c>
      <c r="J397" s="274">
        <v>223</v>
      </c>
    </row>
    <row r="398" spans="1:10" ht="16.8" x14ac:dyDescent="0.3">
      <c r="A398" s="365" t="s">
        <v>1009</v>
      </c>
      <c r="B398" s="661">
        <v>6</v>
      </c>
      <c r="C398" s="7"/>
      <c r="D398" s="10" t="s">
        <v>65</v>
      </c>
      <c r="E398" s="1" t="s">
        <v>110</v>
      </c>
      <c r="F398" s="268" t="s">
        <v>111</v>
      </c>
      <c r="G398" s="4" t="s">
        <v>66</v>
      </c>
      <c r="H398" s="9" t="s">
        <v>95</v>
      </c>
      <c r="I398" s="9" t="s">
        <v>445</v>
      </c>
      <c r="J398" s="274">
        <v>105</v>
      </c>
    </row>
    <row r="399" spans="1:10" ht="16.8" x14ac:dyDescent="0.3">
      <c r="A399" s="365" t="s">
        <v>1010</v>
      </c>
      <c r="B399" s="661">
        <v>6</v>
      </c>
      <c r="C399" s="7"/>
      <c r="D399" s="10" t="s">
        <v>65</v>
      </c>
      <c r="E399" s="1" t="s">
        <v>1077</v>
      </c>
      <c r="F399" s="268" t="s">
        <v>111</v>
      </c>
      <c r="G399" s="4" t="s">
        <v>66</v>
      </c>
      <c r="H399" s="9" t="s">
        <v>69</v>
      </c>
      <c r="I399" s="9" t="s">
        <v>449</v>
      </c>
      <c r="J399" s="274">
        <v>99</v>
      </c>
    </row>
    <row r="400" spans="1:10" ht="16.8" x14ac:dyDescent="0.3">
      <c r="A400" s="365" t="s">
        <v>1011</v>
      </c>
      <c r="B400" s="661">
        <v>6</v>
      </c>
      <c r="C400" s="7"/>
      <c r="D400" s="10" t="s">
        <v>65</v>
      </c>
      <c r="E400" s="1" t="s">
        <v>116</v>
      </c>
      <c r="F400" s="268" t="s">
        <v>1078</v>
      </c>
      <c r="G400" s="4" t="s">
        <v>118</v>
      </c>
      <c r="H400" s="9" t="s">
        <v>148</v>
      </c>
      <c r="I400" s="9" t="s">
        <v>442</v>
      </c>
      <c r="J400" s="274">
        <v>232</v>
      </c>
    </row>
    <row r="401" spans="1:10" ht="16.8" x14ac:dyDescent="0.3">
      <c r="A401" s="365" t="s">
        <v>1012</v>
      </c>
      <c r="B401" s="661">
        <v>6</v>
      </c>
      <c r="C401" s="7"/>
      <c r="D401" s="10" t="s">
        <v>65</v>
      </c>
      <c r="E401" s="1" t="s">
        <v>110</v>
      </c>
      <c r="F401" s="268" t="s">
        <v>111</v>
      </c>
      <c r="G401" s="4" t="s">
        <v>71</v>
      </c>
      <c r="H401" s="9" t="s">
        <v>69</v>
      </c>
      <c r="I401" s="9" t="s">
        <v>459</v>
      </c>
      <c r="J401" s="274">
        <v>65</v>
      </c>
    </row>
    <row r="402" spans="1:10" ht="16.8" x14ac:dyDescent="0.3">
      <c r="A402" s="365" t="s">
        <v>1013</v>
      </c>
      <c r="B402" s="661">
        <v>6</v>
      </c>
      <c r="C402" s="7"/>
      <c r="D402" s="10" t="s">
        <v>65</v>
      </c>
      <c r="E402" s="1" t="s">
        <v>114</v>
      </c>
      <c r="F402" s="268" t="s">
        <v>136</v>
      </c>
      <c r="G402" s="4" t="s">
        <v>66</v>
      </c>
      <c r="H402" s="9" t="s">
        <v>148</v>
      </c>
      <c r="I402" s="9" t="s">
        <v>442</v>
      </c>
      <c r="J402" s="274">
        <v>237</v>
      </c>
    </row>
    <row r="403" spans="1:10" ht="16.8" x14ac:dyDescent="0.3">
      <c r="A403" s="365" t="s">
        <v>1014</v>
      </c>
      <c r="B403" s="661">
        <v>6</v>
      </c>
      <c r="C403" s="7"/>
      <c r="D403" s="10" t="s">
        <v>65</v>
      </c>
      <c r="E403" s="1" t="s">
        <v>113</v>
      </c>
      <c r="F403" s="268" t="s">
        <v>440</v>
      </c>
      <c r="G403" s="4" t="s">
        <v>66</v>
      </c>
      <c r="H403" s="9" t="s">
        <v>74</v>
      </c>
      <c r="I403" s="9" t="s">
        <v>444</v>
      </c>
      <c r="J403" s="274">
        <v>123</v>
      </c>
    </row>
    <row r="404" spans="1:10" ht="16.8" x14ac:dyDescent="0.3">
      <c r="A404" s="365" t="s">
        <v>1015</v>
      </c>
      <c r="B404" s="661">
        <v>6</v>
      </c>
      <c r="C404" s="7"/>
      <c r="D404" s="10" t="s">
        <v>65</v>
      </c>
      <c r="E404" s="1" t="s">
        <v>110</v>
      </c>
      <c r="F404" s="268" t="s">
        <v>111</v>
      </c>
      <c r="G404" s="4" t="s">
        <v>118</v>
      </c>
      <c r="H404" s="9" t="s">
        <v>74</v>
      </c>
      <c r="I404" s="9" t="s">
        <v>486</v>
      </c>
      <c r="J404" s="274">
        <v>104</v>
      </c>
    </row>
    <row r="405" spans="1:10" ht="16.8" x14ac:dyDescent="0.3">
      <c r="A405" s="365" t="s">
        <v>1016</v>
      </c>
      <c r="B405" s="661">
        <v>6</v>
      </c>
      <c r="C405" s="7"/>
      <c r="D405" s="10" t="s">
        <v>73</v>
      </c>
      <c r="E405" s="1" t="s">
        <v>637</v>
      </c>
      <c r="F405" s="268" t="s">
        <v>111</v>
      </c>
      <c r="G405" s="4" t="s">
        <v>71</v>
      </c>
      <c r="H405" s="9" t="s">
        <v>72</v>
      </c>
      <c r="I405" s="9" t="s">
        <v>486</v>
      </c>
      <c r="J405" s="274">
        <v>88</v>
      </c>
    </row>
    <row r="406" spans="1:10" ht="16.8" x14ac:dyDescent="0.3">
      <c r="A406" s="365" t="s">
        <v>1017</v>
      </c>
      <c r="B406" s="661">
        <v>6</v>
      </c>
      <c r="C406" s="7"/>
      <c r="D406" s="10" t="s">
        <v>73</v>
      </c>
      <c r="E406" s="1" t="s">
        <v>113</v>
      </c>
      <c r="F406" s="268" t="s">
        <v>111</v>
      </c>
      <c r="G406" s="4" t="s">
        <v>118</v>
      </c>
      <c r="H406" s="9" t="s">
        <v>70</v>
      </c>
      <c r="I406" s="9" t="s">
        <v>522</v>
      </c>
      <c r="J406" s="274">
        <v>159</v>
      </c>
    </row>
    <row r="407" spans="1:10" ht="16.8" x14ac:dyDescent="0.3">
      <c r="A407" s="365" t="s">
        <v>1018</v>
      </c>
      <c r="B407" s="661">
        <v>6</v>
      </c>
      <c r="C407" s="7"/>
      <c r="D407" s="10" t="s">
        <v>73</v>
      </c>
      <c r="E407" s="1" t="s">
        <v>113</v>
      </c>
      <c r="F407" s="268" t="s">
        <v>133</v>
      </c>
      <c r="G407" s="4" t="s">
        <v>90</v>
      </c>
      <c r="H407" s="9" t="s">
        <v>74</v>
      </c>
      <c r="I407" s="9" t="s">
        <v>450</v>
      </c>
      <c r="J407" s="274">
        <v>91</v>
      </c>
    </row>
    <row r="408" spans="1:10" ht="16.8" x14ac:dyDescent="0.3">
      <c r="A408" s="365" t="s">
        <v>1019</v>
      </c>
      <c r="B408" s="661">
        <v>6</v>
      </c>
      <c r="C408" s="7"/>
      <c r="D408" s="10" t="s">
        <v>73</v>
      </c>
      <c r="E408" s="1" t="s">
        <v>114</v>
      </c>
      <c r="F408" s="268" t="s">
        <v>138</v>
      </c>
      <c r="G408" s="4" t="s">
        <v>90</v>
      </c>
      <c r="H408" s="9" t="s">
        <v>70</v>
      </c>
      <c r="I408" s="9" t="s">
        <v>442</v>
      </c>
      <c r="J408" s="274">
        <v>215</v>
      </c>
    </row>
    <row r="409" spans="1:10" ht="16.8" x14ac:dyDescent="0.3">
      <c r="A409" s="365" t="s">
        <v>43</v>
      </c>
      <c r="B409" s="661">
        <v>6</v>
      </c>
      <c r="C409" s="7"/>
      <c r="D409" s="10" t="s">
        <v>73</v>
      </c>
      <c r="E409" s="1" t="s">
        <v>110</v>
      </c>
      <c r="F409" s="268" t="s">
        <v>111</v>
      </c>
      <c r="G409" s="4" t="s">
        <v>66</v>
      </c>
      <c r="H409" s="9" t="s">
        <v>70</v>
      </c>
      <c r="I409" s="9" t="s">
        <v>442</v>
      </c>
      <c r="J409" s="274">
        <v>239</v>
      </c>
    </row>
    <row r="410" spans="1:10" ht="16.8" x14ac:dyDescent="0.3">
      <c r="A410" s="365" t="s">
        <v>1020</v>
      </c>
      <c r="B410" s="661">
        <v>6</v>
      </c>
      <c r="C410" s="7"/>
      <c r="D410" s="10" t="s">
        <v>73</v>
      </c>
      <c r="E410" s="1" t="s">
        <v>113</v>
      </c>
      <c r="F410" s="268" t="s">
        <v>136</v>
      </c>
      <c r="G410" s="4" t="s">
        <v>90</v>
      </c>
      <c r="H410" s="9" t="s">
        <v>124</v>
      </c>
      <c r="I410" s="9" t="s">
        <v>442</v>
      </c>
      <c r="J410" s="274">
        <v>240</v>
      </c>
    </row>
    <row r="411" spans="1:10" ht="16.8" x14ac:dyDescent="0.3">
      <c r="A411" s="365" t="s">
        <v>1021</v>
      </c>
      <c r="B411" s="661">
        <v>6</v>
      </c>
      <c r="C411" s="7"/>
      <c r="D411" s="10" t="s">
        <v>73</v>
      </c>
      <c r="E411" s="1" t="s">
        <v>113</v>
      </c>
      <c r="F411" s="268" t="s">
        <v>111</v>
      </c>
      <c r="G411" s="4" t="s">
        <v>90</v>
      </c>
      <c r="H411" s="9" t="s">
        <v>70</v>
      </c>
      <c r="I411" s="9" t="s">
        <v>442</v>
      </c>
      <c r="J411" s="274">
        <v>261</v>
      </c>
    </row>
    <row r="412" spans="1:10" ht="16.8" x14ac:dyDescent="0.3">
      <c r="A412" s="365" t="s">
        <v>1022</v>
      </c>
      <c r="B412" s="661">
        <v>6</v>
      </c>
      <c r="C412" s="7"/>
      <c r="D412" s="10" t="s">
        <v>73</v>
      </c>
      <c r="E412" s="1" t="s">
        <v>113</v>
      </c>
      <c r="F412" s="268" t="s">
        <v>111</v>
      </c>
      <c r="G412" s="4" t="s">
        <v>178</v>
      </c>
      <c r="H412" s="9" t="s">
        <v>74</v>
      </c>
      <c r="I412" s="9" t="s">
        <v>446</v>
      </c>
      <c r="J412" s="274">
        <v>102</v>
      </c>
    </row>
    <row r="413" spans="1:10" ht="16.8" x14ac:dyDescent="0.3">
      <c r="A413" s="365" t="s">
        <v>1023</v>
      </c>
      <c r="B413" s="661">
        <v>6</v>
      </c>
      <c r="C413" s="7"/>
      <c r="D413" s="10" t="s">
        <v>73</v>
      </c>
      <c r="E413" s="1" t="s">
        <v>113</v>
      </c>
      <c r="F413" s="268" t="s">
        <v>133</v>
      </c>
      <c r="G413" s="4" t="s">
        <v>90</v>
      </c>
      <c r="H413" s="9" t="s">
        <v>124</v>
      </c>
      <c r="I413" s="9" t="s">
        <v>446</v>
      </c>
      <c r="J413" s="274">
        <v>104</v>
      </c>
    </row>
    <row r="414" spans="1:10" ht="16.8" x14ac:dyDescent="0.3">
      <c r="A414" s="365" t="s">
        <v>1024</v>
      </c>
      <c r="B414" s="661">
        <v>6</v>
      </c>
      <c r="C414" s="7"/>
      <c r="D414" s="10" t="s">
        <v>73</v>
      </c>
      <c r="E414" s="1" t="s">
        <v>116</v>
      </c>
      <c r="F414" s="268" t="s">
        <v>133</v>
      </c>
      <c r="G414" s="4" t="s">
        <v>90</v>
      </c>
      <c r="H414" s="9" t="s">
        <v>74</v>
      </c>
      <c r="I414" s="9" t="s">
        <v>442</v>
      </c>
      <c r="J414" s="274">
        <v>287</v>
      </c>
    </row>
    <row r="415" spans="1:10" ht="16.8" x14ac:dyDescent="0.3">
      <c r="A415" s="365" t="s">
        <v>1025</v>
      </c>
      <c r="B415" s="661">
        <v>6</v>
      </c>
      <c r="C415" s="7"/>
      <c r="D415" s="10" t="s">
        <v>73</v>
      </c>
      <c r="E415" s="1" t="s">
        <v>190</v>
      </c>
      <c r="F415" s="268" t="s">
        <v>111</v>
      </c>
      <c r="G415" s="4" t="s">
        <v>90</v>
      </c>
      <c r="H415" s="9" t="s">
        <v>74</v>
      </c>
      <c r="I415" s="9" t="s">
        <v>459</v>
      </c>
      <c r="J415" s="274">
        <v>72</v>
      </c>
    </row>
    <row r="416" spans="1:10" ht="16.8" x14ac:dyDescent="0.3">
      <c r="A416" s="365" t="s">
        <v>1026</v>
      </c>
      <c r="B416" s="661">
        <v>6</v>
      </c>
      <c r="C416" s="7"/>
      <c r="D416" s="10" t="s">
        <v>73</v>
      </c>
      <c r="E416" s="1" t="s">
        <v>114</v>
      </c>
      <c r="F416" s="268" t="s">
        <v>111</v>
      </c>
      <c r="G416" s="4" t="s">
        <v>118</v>
      </c>
      <c r="H416" s="9" t="s">
        <v>69</v>
      </c>
      <c r="I416" s="9" t="s">
        <v>486</v>
      </c>
      <c r="J416" s="274">
        <v>106</v>
      </c>
    </row>
    <row r="417" spans="1:10" ht="16.8" x14ac:dyDescent="0.3">
      <c r="A417" s="365" t="s">
        <v>1027</v>
      </c>
      <c r="B417" s="661">
        <v>6</v>
      </c>
      <c r="C417" s="7"/>
      <c r="D417" s="10" t="s">
        <v>73</v>
      </c>
      <c r="E417" s="1" t="s">
        <v>113</v>
      </c>
      <c r="F417" s="268" t="s">
        <v>111</v>
      </c>
      <c r="G417" s="4" t="s">
        <v>90</v>
      </c>
      <c r="H417" s="9" t="s">
        <v>138</v>
      </c>
      <c r="I417" s="9" t="s">
        <v>449</v>
      </c>
      <c r="J417" s="274">
        <v>110</v>
      </c>
    </row>
    <row r="418" spans="1:10" ht="16.8" x14ac:dyDescent="0.3">
      <c r="A418" s="365" t="s">
        <v>1028</v>
      </c>
      <c r="B418" s="661">
        <v>6</v>
      </c>
      <c r="C418" s="7"/>
      <c r="D418" s="10" t="s">
        <v>73</v>
      </c>
      <c r="E418" s="1" t="s">
        <v>110</v>
      </c>
      <c r="F418" s="268" t="s">
        <v>111</v>
      </c>
      <c r="G418" s="4" t="s">
        <v>322</v>
      </c>
      <c r="H418" s="9" t="s">
        <v>1079</v>
      </c>
      <c r="I418" s="9" t="s">
        <v>522</v>
      </c>
      <c r="J418" s="274">
        <v>187</v>
      </c>
    </row>
    <row r="419" spans="1:10" ht="16.8" x14ac:dyDescent="0.3">
      <c r="A419" s="365" t="s">
        <v>1029</v>
      </c>
      <c r="B419" s="661">
        <v>6</v>
      </c>
      <c r="C419" s="7"/>
      <c r="D419" s="10" t="s">
        <v>73</v>
      </c>
      <c r="E419" s="1" t="s">
        <v>135</v>
      </c>
      <c r="F419" s="268" t="s">
        <v>111</v>
      </c>
      <c r="G419" s="4" t="s">
        <v>618</v>
      </c>
      <c r="H419" s="9" t="s">
        <v>70</v>
      </c>
      <c r="I419" s="9" t="s">
        <v>442</v>
      </c>
      <c r="J419" s="274">
        <v>303</v>
      </c>
    </row>
    <row r="420" spans="1:10" ht="16.8" x14ac:dyDescent="0.3">
      <c r="A420" s="365" t="s">
        <v>1030</v>
      </c>
      <c r="B420" s="661">
        <v>6</v>
      </c>
      <c r="C420" s="7"/>
      <c r="D420" s="10" t="s">
        <v>92</v>
      </c>
      <c r="E420" s="1" t="s">
        <v>114</v>
      </c>
      <c r="F420" s="268" t="s">
        <v>111</v>
      </c>
      <c r="G420" s="4" t="s">
        <v>71</v>
      </c>
      <c r="H420" s="9" t="s">
        <v>74</v>
      </c>
      <c r="I420" s="9" t="s">
        <v>1080</v>
      </c>
      <c r="J420" s="274">
        <v>66</v>
      </c>
    </row>
    <row r="421" spans="1:10" ht="16.8" x14ac:dyDescent="0.3">
      <c r="A421" s="365" t="s">
        <v>1031</v>
      </c>
      <c r="B421" s="661">
        <v>6</v>
      </c>
      <c r="C421" s="7"/>
      <c r="D421" s="10" t="s">
        <v>92</v>
      </c>
      <c r="E421" s="1" t="s">
        <v>134</v>
      </c>
      <c r="F421" s="268" t="s">
        <v>1081</v>
      </c>
      <c r="G421" s="4" t="s">
        <v>66</v>
      </c>
      <c r="H421" s="9" t="s">
        <v>72</v>
      </c>
      <c r="I421" s="9" t="s">
        <v>442</v>
      </c>
      <c r="J421" s="274">
        <v>230</v>
      </c>
    </row>
    <row r="422" spans="1:10" ht="16.8" x14ac:dyDescent="0.3">
      <c r="A422" s="365" t="s">
        <v>1032</v>
      </c>
      <c r="B422" s="661">
        <v>6</v>
      </c>
      <c r="C422" s="7"/>
      <c r="D422" s="10" t="s">
        <v>188</v>
      </c>
      <c r="E422" s="1" t="s">
        <v>1070</v>
      </c>
      <c r="F422" s="268" t="s">
        <v>111</v>
      </c>
      <c r="G422" s="4" t="s">
        <v>90</v>
      </c>
      <c r="H422" s="9" t="s">
        <v>97</v>
      </c>
      <c r="I422" s="9" t="s">
        <v>1072</v>
      </c>
      <c r="J422" s="274">
        <v>128</v>
      </c>
    </row>
    <row r="423" spans="1:10" ht="16.8" x14ac:dyDescent="0.3">
      <c r="A423" s="365" t="s">
        <v>1033</v>
      </c>
      <c r="B423" s="661">
        <v>6</v>
      </c>
      <c r="C423" s="7"/>
      <c r="D423" s="10" t="s">
        <v>188</v>
      </c>
      <c r="E423" s="1" t="s">
        <v>135</v>
      </c>
      <c r="F423" s="268" t="s">
        <v>136</v>
      </c>
      <c r="G423" s="4" t="s">
        <v>90</v>
      </c>
      <c r="H423" s="9" t="s">
        <v>97</v>
      </c>
      <c r="I423" s="9" t="s">
        <v>442</v>
      </c>
      <c r="J423" s="274">
        <v>234</v>
      </c>
    </row>
    <row r="424" spans="1:10" ht="16.8" x14ac:dyDescent="0.3">
      <c r="A424" s="365" t="s">
        <v>1034</v>
      </c>
      <c r="B424" s="661">
        <v>6</v>
      </c>
      <c r="C424" s="7"/>
      <c r="D424" s="10" t="s">
        <v>75</v>
      </c>
      <c r="E424" s="1" t="s">
        <v>110</v>
      </c>
      <c r="F424" s="268" t="s">
        <v>111</v>
      </c>
      <c r="G424" s="4" t="s">
        <v>118</v>
      </c>
      <c r="H424" s="9" t="s">
        <v>69</v>
      </c>
      <c r="I424" s="9" t="s">
        <v>442</v>
      </c>
      <c r="J424" s="274">
        <v>205</v>
      </c>
    </row>
    <row r="425" spans="1:10" ht="16.8" x14ac:dyDescent="0.3">
      <c r="A425" s="365" t="s">
        <v>1035</v>
      </c>
      <c r="B425" s="661">
        <v>6</v>
      </c>
      <c r="C425" s="7"/>
      <c r="D425" s="10" t="s">
        <v>75</v>
      </c>
      <c r="E425" s="1" t="s">
        <v>1070</v>
      </c>
      <c r="F425" s="268" t="s">
        <v>111</v>
      </c>
      <c r="G425" s="4" t="s">
        <v>99</v>
      </c>
      <c r="H425" s="9" t="s">
        <v>137</v>
      </c>
      <c r="I425" s="9" t="s">
        <v>450</v>
      </c>
      <c r="J425" s="274">
        <v>99</v>
      </c>
    </row>
    <row r="426" spans="1:10" ht="16.8" x14ac:dyDescent="0.3">
      <c r="A426" s="365" t="s">
        <v>1036</v>
      </c>
      <c r="B426" s="661">
        <v>6</v>
      </c>
      <c r="C426" s="7"/>
      <c r="D426" s="10" t="s">
        <v>75</v>
      </c>
      <c r="E426" s="1" t="s">
        <v>113</v>
      </c>
      <c r="F426" s="268" t="s">
        <v>111</v>
      </c>
      <c r="G426" s="4" t="s">
        <v>1082</v>
      </c>
      <c r="H426" s="9" t="s">
        <v>124</v>
      </c>
      <c r="I426" s="9" t="s">
        <v>444</v>
      </c>
      <c r="J426" s="274">
        <v>127</v>
      </c>
    </row>
    <row r="427" spans="1:10" ht="16.8" x14ac:dyDescent="0.3">
      <c r="A427" s="365" t="s">
        <v>1037</v>
      </c>
      <c r="B427" s="661">
        <v>6</v>
      </c>
      <c r="C427" s="7"/>
      <c r="D427" s="10" t="s">
        <v>75</v>
      </c>
      <c r="E427" s="1" t="s">
        <v>1069</v>
      </c>
      <c r="F427" s="268" t="s">
        <v>111</v>
      </c>
      <c r="G427" s="4" t="s">
        <v>178</v>
      </c>
      <c r="H427" s="9" t="s">
        <v>70</v>
      </c>
      <c r="I427" s="9" t="s">
        <v>449</v>
      </c>
      <c r="J427" s="274">
        <v>108</v>
      </c>
    </row>
    <row r="428" spans="1:10" ht="16.8" x14ac:dyDescent="0.3">
      <c r="A428" s="365" t="s">
        <v>1038</v>
      </c>
      <c r="B428" s="661">
        <v>6</v>
      </c>
      <c r="C428" s="7"/>
      <c r="D428" s="10" t="s">
        <v>75</v>
      </c>
      <c r="E428" s="1" t="s">
        <v>110</v>
      </c>
      <c r="F428" s="268" t="s">
        <v>111</v>
      </c>
      <c r="G428" s="4" t="s">
        <v>118</v>
      </c>
      <c r="H428" s="9" t="s">
        <v>124</v>
      </c>
      <c r="I428" s="9" t="s">
        <v>444</v>
      </c>
      <c r="J428" s="274">
        <v>129</v>
      </c>
    </row>
    <row r="429" spans="1:10" ht="16.8" x14ac:dyDescent="0.3">
      <c r="A429" s="365" t="s">
        <v>1039</v>
      </c>
      <c r="B429" s="661">
        <v>6</v>
      </c>
      <c r="C429" s="7"/>
      <c r="D429" s="10" t="s">
        <v>75</v>
      </c>
      <c r="E429" s="1" t="s">
        <v>1063</v>
      </c>
      <c r="F429" s="268" t="s">
        <v>136</v>
      </c>
      <c r="G429" s="4" t="s">
        <v>66</v>
      </c>
      <c r="H429" s="9" t="s">
        <v>124</v>
      </c>
      <c r="I429" s="9" t="s">
        <v>522</v>
      </c>
      <c r="J429" s="274">
        <v>187</v>
      </c>
    </row>
    <row r="430" spans="1:10" ht="16.8" x14ac:dyDescent="0.3">
      <c r="A430" s="365" t="s">
        <v>1040</v>
      </c>
      <c r="B430" s="661">
        <v>6</v>
      </c>
      <c r="C430" s="7"/>
      <c r="D430" s="10" t="s">
        <v>174</v>
      </c>
      <c r="E430" s="1" t="s">
        <v>114</v>
      </c>
      <c r="F430" s="268" t="s">
        <v>111</v>
      </c>
      <c r="G430" s="4" t="s">
        <v>66</v>
      </c>
      <c r="H430" s="9" t="s">
        <v>70</v>
      </c>
      <c r="I430" s="9" t="s">
        <v>446</v>
      </c>
      <c r="J430" s="274">
        <v>95</v>
      </c>
    </row>
    <row r="431" spans="1:10" ht="16.8" x14ac:dyDescent="0.3">
      <c r="A431" s="365" t="s">
        <v>1041</v>
      </c>
      <c r="B431" s="661">
        <v>6</v>
      </c>
      <c r="C431" s="7"/>
      <c r="D431" s="10" t="s">
        <v>174</v>
      </c>
      <c r="E431" s="1" t="s">
        <v>113</v>
      </c>
      <c r="F431" s="268" t="s">
        <v>111</v>
      </c>
      <c r="G431" s="4" t="s">
        <v>90</v>
      </c>
      <c r="H431" s="9" t="s">
        <v>70</v>
      </c>
      <c r="I431" s="9" t="s">
        <v>450</v>
      </c>
      <c r="J431" s="274">
        <v>95</v>
      </c>
    </row>
    <row r="432" spans="1:10" ht="16.8" x14ac:dyDescent="0.3">
      <c r="A432" s="365" t="s">
        <v>1042</v>
      </c>
      <c r="B432" s="661">
        <v>6</v>
      </c>
      <c r="C432" s="7"/>
      <c r="D432" s="10" t="s">
        <v>174</v>
      </c>
      <c r="E432" s="1" t="s">
        <v>110</v>
      </c>
      <c r="F432" s="268" t="s">
        <v>111</v>
      </c>
      <c r="G432" s="4" t="s">
        <v>66</v>
      </c>
      <c r="H432" s="9" t="s">
        <v>70</v>
      </c>
      <c r="I432" s="9" t="s">
        <v>442</v>
      </c>
      <c r="J432" s="274">
        <v>239</v>
      </c>
    </row>
    <row r="433" spans="1:10" ht="16.8" x14ac:dyDescent="0.3">
      <c r="A433" s="365" t="s">
        <v>1043</v>
      </c>
      <c r="B433" s="661">
        <v>6</v>
      </c>
      <c r="C433" s="7"/>
      <c r="D433" s="10" t="s">
        <v>174</v>
      </c>
      <c r="E433" s="1" t="s">
        <v>110</v>
      </c>
      <c r="F433" s="268" t="s">
        <v>111</v>
      </c>
      <c r="G433" s="4" t="s">
        <v>66</v>
      </c>
      <c r="H433" s="9" t="s">
        <v>485</v>
      </c>
      <c r="I433" s="9" t="s">
        <v>442</v>
      </c>
      <c r="J433" s="274">
        <v>244</v>
      </c>
    </row>
    <row r="434" spans="1:10" ht="16.8" x14ac:dyDescent="0.3">
      <c r="A434" s="365" t="s">
        <v>1044</v>
      </c>
      <c r="B434" s="661">
        <v>6</v>
      </c>
      <c r="C434" s="7"/>
      <c r="D434" s="10" t="s">
        <v>174</v>
      </c>
      <c r="E434" s="1" t="s">
        <v>114</v>
      </c>
      <c r="F434" s="268" t="s">
        <v>136</v>
      </c>
      <c r="G434" s="4" t="s">
        <v>178</v>
      </c>
      <c r="H434" s="9" t="s">
        <v>124</v>
      </c>
      <c r="I434" s="9" t="s">
        <v>442</v>
      </c>
      <c r="J434" s="274">
        <v>290</v>
      </c>
    </row>
    <row r="435" spans="1:10" ht="16.8" x14ac:dyDescent="0.3">
      <c r="A435" s="365" t="s">
        <v>1045</v>
      </c>
      <c r="B435" s="661">
        <v>6</v>
      </c>
      <c r="C435" s="7"/>
      <c r="D435" s="10" t="s">
        <v>174</v>
      </c>
      <c r="E435" s="1" t="s">
        <v>114</v>
      </c>
      <c r="F435" s="268" t="s">
        <v>136</v>
      </c>
      <c r="G435" s="4" t="s">
        <v>178</v>
      </c>
      <c r="H435" s="9" t="s">
        <v>124</v>
      </c>
      <c r="I435" s="9" t="s">
        <v>442</v>
      </c>
      <c r="J435" s="274">
        <v>290</v>
      </c>
    </row>
    <row r="436" spans="1:10" ht="16.8" x14ac:dyDescent="0.3">
      <c r="A436" s="365" t="s">
        <v>1046</v>
      </c>
      <c r="B436" s="661">
        <v>6</v>
      </c>
      <c r="C436" s="7"/>
      <c r="D436" s="10" t="s">
        <v>174</v>
      </c>
      <c r="E436" s="1" t="s">
        <v>116</v>
      </c>
      <c r="F436" s="268" t="s">
        <v>111</v>
      </c>
      <c r="G436" s="4" t="s">
        <v>118</v>
      </c>
      <c r="H436" s="9" t="s">
        <v>70</v>
      </c>
      <c r="I436" s="9" t="s">
        <v>442</v>
      </c>
      <c r="J436" s="274">
        <v>297</v>
      </c>
    </row>
    <row r="437" spans="1:10" ht="16.8" x14ac:dyDescent="0.3">
      <c r="A437" s="365" t="s">
        <v>1047</v>
      </c>
      <c r="B437" s="661">
        <v>6</v>
      </c>
      <c r="C437" s="7"/>
      <c r="D437" s="10" t="s">
        <v>175</v>
      </c>
      <c r="E437" s="1" t="s">
        <v>1083</v>
      </c>
      <c r="F437" s="268" t="s">
        <v>111</v>
      </c>
      <c r="G437" s="4" t="s">
        <v>90</v>
      </c>
      <c r="H437" s="9" t="s">
        <v>95</v>
      </c>
      <c r="I437" s="9" t="s">
        <v>450</v>
      </c>
      <c r="J437" s="274">
        <v>88</v>
      </c>
    </row>
    <row r="438" spans="1:10" ht="16.8" x14ac:dyDescent="0.3">
      <c r="A438" s="365" t="s">
        <v>1048</v>
      </c>
      <c r="B438" s="661">
        <v>6</v>
      </c>
      <c r="C438" s="7"/>
      <c r="D438" s="10" t="s">
        <v>175</v>
      </c>
      <c r="E438" s="1" t="s">
        <v>110</v>
      </c>
      <c r="F438" s="268" t="s">
        <v>111</v>
      </c>
      <c r="G438" s="4" t="s">
        <v>118</v>
      </c>
      <c r="H438" s="9" t="s">
        <v>74</v>
      </c>
      <c r="I438" s="9" t="s">
        <v>442</v>
      </c>
      <c r="J438" s="274">
        <v>199</v>
      </c>
    </row>
    <row r="439" spans="1:10" ht="16.8" x14ac:dyDescent="0.3">
      <c r="A439" s="365" t="s">
        <v>1049</v>
      </c>
      <c r="B439" s="661">
        <v>6</v>
      </c>
      <c r="C439" s="7"/>
      <c r="D439" s="10" t="s">
        <v>175</v>
      </c>
      <c r="E439" s="1" t="s">
        <v>113</v>
      </c>
      <c r="F439" s="268" t="s">
        <v>111</v>
      </c>
      <c r="G439" s="4" t="s">
        <v>90</v>
      </c>
      <c r="H439" s="9" t="s">
        <v>69</v>
      </c>
      <c r="I439" s="9" t="s">
        <v>442</v>
      </c>
      <c r="J439" s="274">
        <v>203</v>
      </c>
    </row>
    <row r="440" spans="1:10" ht="16.8" x14ac:dyDescent="0.3">
      <c r="A440" s="365" t="s">
        <v>1050</v>
      </c>
      <c r="B440" s="661">
        <v>6</v>
      </c>
      <c r="C440" s="7"/>
      <c r="D440" s="10" t="s">
        <v>175</v>
      </c>
      <c r="E440" s="1" t="s">
        <v>116</v>
      </c>
      <c r="F440" s="268" t="s">
        <v>111</v>
      </c>
      <c r="G440" s="4" t="s">
        <v>90</v>
      </c>
      <c r="H440" s="9" t="s">
        <v>69</v>
      </c>
      <c r="I440" s="9" t="s">
        <v>442</v>
      </c>
      <c r="J440" s="274">
        <v>207</v>
      </c>
    </row>
    <row r="441" spans="1:10" ht="16.8" x14ac:dyDescent="0.3">
      <c r="A441" s="365" t="s">
        <v>1051</v>
      </c>
      <c r="B441" s="661">
        <v>6</v>
      </c>
      <c r="C441" s="7"/>
      <c r="D441" s="10" t="s">
        <v>175</v>
      </c>
      <c r="E441" s="1" t="s">
        <v>114</v>
      </c>
      <c r="F441" s="268" t="s">
        <v>111</v>
      </c>
      <c r="G441" s="4" t="s">
        <v>90</v>
      </c>
      <c r="H441" s="9" t="s">
        <v>69</v>
      </c>
      <c r="I441" s="9" t="s">
        <v>442</v>
      </c>
      <c r="J441" s="274">
        <v>208</v>
      </c>
    </row>
    <row r="442" spans="1:10" ht="16.8" x14ac:dyDescent="0.3">
      <c r="A442" s="365" t="s">
        <v>1052</v>
      </c>
      <c r="B442" s="661">
        <v>6</v>
      </c>
      <c r="C442" s="7"/>
      <c r="D442" s="10" t="s">
        <v>175</v>
      </c>
      <c r="E442" s="1" t="s">
        <v>114</v>
      </c>
      <c r="F442" s="268" t="s">
        <v>111</v>
      </c>
      <c r="G442" s="4" t="s">
        <v>66</v>
      </c>
      <c r="H442" s="9" t="s">
        <v>69</v>
      </c>
      <c r="I442" s="9" t="s">
        <v>493</v>
      </c>
      <c r="J442" s="274">
        <v>106</v>
      </c>
    </row>
    <row r="443" spans="1:10" ht="16.8" x14ac:dyDescent="0.3">
      <c r="A443" s="365" t="s">
        <v>1053</v>
      </c>
      <c r="B443" s="661">
        <v>6</v>
      </c>
      <c r="C443" s="7"/>
      <c r="D443" s="10" t="s">
        <v>175</v>
      </c>
      <c r="E443" s="1" t="s">
        <v>116</v>
      </c>
      <c r="F443" s="268" t="s">
        <v>111</v>
      </c>
      <c r="G443" s="4" t="s">
        <v>90</v>
      </c>
      <c r="H443" s="9" t="s">
        <v>69</v>
      </c>
      <c r="I443" s="9" t="s">
        <v>442</v>
      </c>
      <c r="J443" s="274">
        <v>225</v>
      </c>
    </row>
    <row r="444" spans="1:10" ht="16.8" x14ac:dyDescent="0.3">
      <c r="A444" s="365" t="s">
        <v>1054</v>
      </c>
      <c r="B444" s="661">
        <v>6</v>
      </c>
      <c r="C444" s="7"/>
      <c r="D444" s="10" t="s">
        <v>175</v>
      </c>
      <c r="E444" s="1" t="s">
        <v>1084</v>
      </c>
      <c r="F444" s="268" t="s">
        <v>133</v>
      </c>
      <c r="G444" s="4" t="s">
        <v>71</v>
      </c>
      <c r="H444" s="9" t="s">
        <v>74</v>
      </c>
      <c r="I444" s="9" t="s">
        <v>486</v>
      </c>
      <c r="J444" s="274">
        <v>95</v>
      </c>
    </row>
    <row r="445" spans="1:10" ht="16.8" x14ac:dyDescent="0.3">
      <c r="A445" s="365" t="s">
        <v>1055</v>
      </c>
      <c r="B445" s="661">
        <v>6</v>
      </c>
      <c r="C445" s="7"/>
      <c r="D445" s="10" t="s">
        <v>175</v>
      </c>
      <c r="E445" s="1" t="s">
        <v>1070</v>
      </c>
      <c r="F445" s="268" t="s">
        <v>111</v>
      </c>
      <c r="G445" s="4" t="s">
        <v>66</v>
      </c>
      <c r="H445" s="9" t="s">
        <v>70</v>
      </c>
      <c r="I445" s="9" t="s">
        <v>450</v>
      </c>
      <c r="J445" s="274">
        <v>101</v>
      </c>
    </row>
    <row r="446" spans="1:10" ht="16.8" x14ac:dyDescent="0.3">
      <c r="A446" s="365" t="s">
        <v>1056</v>
      </c>
      <c r="B446" s="661">
        <v>6</v>
      </c>
      <c r="C446" s="7"/>
      <c r="D446" s="10" t="s">
        <v>175</v>
      </c>
      <c r="E446" s="1" t="s">
        <v>116</v>
      </c>
      <c r="F446" s="268" t="s">
        <v>111</v>
      </c>
      <c r="G446" s="4" t="s">
        <v>90</v>
      </c>
      <c r="H446" s="9" t="s">
        <v>69</v>
      </c>
      <c r="I446" s="9" t="s">
        <v>442</v>
      </c>
      <c r="J446" s="274">
        <v>259</v>
      </c>
    </row>
    <row r="447" spans="1:10" ht="16.8" x14ac:dyDescent="0.3">
      <c r="A447" s="365" t="s">
        <v>1057</v>
      </c>
      <c r="B447" s="661">
        <v>6</v>
      </c>
      <c r="C447" s="7"/>
      <c r="D447" s="10" t="s">
        <v>175</v>
      </c>
      <c r="E447" s="1" t="s">
        <v>110</v>
      </c>
      <c r="F447" s="268" t="s">
        <v>111</v>
      </c>
      <c r="G447" s="4" t="s">
        <v>66</v>
      </c>
      <c r="H447" s="9" t="s">
        <v>69</v>
      </c>
      <c r="I447" s="9" t="s">
        <v>449</v>
      </c>
      <c r="J447" s="274">
        <v>110</v>
      </c>
    </row>
    <row r="448" spans="1:10" ht="16.8" x14ac:dyDescent="0.3">
      <c r="A448" s="365" t="s">
        <v>1058</v>
      </c>
      <c r="B448" s="661">
        <v>6</v>
      </c>
      <c r="C448" s="7"/>
      <c r="D448" s="10" t="s">
        <v>175</v>
      </c>
      <c r="E448" s="1" t="s">
        <v>113</v>
      </c>
      <c r="F448" s="268" t="s">
        <v>111</v>
      </c>
      <c r="G448" s="4" t="s">
        <v>71</v>
      </c>
      <c r="H448" s="9" t="s">
        <v>74</v>
      </c>
      <c r="I448" s="9" t="s">
        <v>522</v>
      </c>
      <c r="J448" s="274">
        <v>187</v>
      </c>
    </row>
    <row r="449" spans="1:10" ht="16.8" x14ac:dyDescent="0.3">
      <c r="A449" s="365" t="s">
        <v>1059</v>
      </c>
      <c r="B449" s="661">
        <v>6</v>
      </c>
      <c r="C449" s="7"/>
      <c r="D449" s="10" t="s">
        <v>175</v>
      </c>
      <c r="E449" s="1" t="s">
        <v>113</v>
      </c>
      <c r="F449" s="268" t="s">
        <v>111</v>
      </c>
      <c r="G449" s="4" t="s">
        <v>66</v>
      </c>
      <c r="H449" s="9" t="s">
        <v>112</v>
      </c>
      <c r="I449" s="9" t="s">
        <v>442</v>
      </c>
      <c r="J449" s="274">
        <v>302</v>
      </c>
    </row>
    <row r="450" spans="1:10" ht="17.399999999999999" thickBot="1" x14ac:dyDescent="0.35">
      <c r="A450" s="367" t="s">
        <v>1060</v>
      </c>
      <c r="B450" s="669">
        <v>6</v>
      </c>
      <c r="C450" s="280"/>
      <c r="D450" s="198" t="s">
        <v>73</v>
      </c>
      <c r="E450" s="199" t="s">
        <v>110</v>
      </c>
      <c r="F450" s="281" t="s">
        <v>111</v>
      </c>
      <c r="G450" s="200" t="s">
        <v>90</v>
      </c>
      <c r="H450" s="497" t="s">
        <v>70</v>
      </c>
      <c r="I450" s="497" t="s">
        <v>442</v>
      </c>
      <c r="J450" s="670">
        <v>216</v>
      </c>
    </row>
    <row r="451" spans="1:10" ht="16.2" thickTop="1" x14ac:dyDescent="0.3"/>
  </sheetData>
  <sortState xmlns:xlrd2="http://schemas.microsoft.com/office/spreadsheetml/2017/richdata2" ref="A3:J311">
    <sortCondition ref="B3:B311"/>
    <sortCondition ref="A3:A311"/>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5"/>
  <sheetViews>
    <sheetView showGridLines="0" workbookViewId="0">
      <selection activeCell="F9" sqref="F9"/>
    </sheetView>
  </sheetViews>
  <sheetFormatPr defaultColWidth="13" defaultRowHeight="16.8" x14ac:dyDescent="0.3"/>
  <cols>
    <col min="1" max="1" width="27.3984375" style="28" bestFit="1" customWidth="1"/>
    <col min="2" max="2" width="6.19921875" style="28" bestFit="1" customWidth="1"/>
    <col min="3" max="3" width="6.796875" style="28" bestFit="1" customWidth="1"/>
    <col min="4" max="4" width="4.09765625" style="28" bestFit="1" customWidth="1"/>
    <col min="5" max="5" width="6.296875" style="35" bestFit="1" customWidth="1"/>
    <col min="6" max="6" width="2.296875" style="35" customWidth="1"/>
    <col min="7" max="7" width="14.5" style="62" customWidth="1"/>
    <col min="8" max="8" width="3.69921875" style="62" customWidth="1"/>
    <col min="9" max="9" width="3.3984375" style="62" bestFit="1" customWidth="1"/>
    <col min="10" max="10" width="4.09765625" style="62" customWidth="1"/>
    <col min="11" max="11" width="3.69921875" style="62" bestFit="1" customWidth="1"/>
    <col min="12" max="15" width="3.59765625" style="62" bestFit="1" customWidth="1"/>
    <col min="16" max="16" width="2.296875" style="62" customWidth="1"/>
    <col min="17" max="17" width="27.3984375" style="62" bestFit="1" customWidth="1"/>
    <col min="18" max="18" width="6.19921875" style="62" bestFit="1" customWidth="1"/>
    <col min="19" max="19" width="6.796875" style="62" bestFit="1" customWidth="1"/>
    <col min="20" max="20" width="4.09765625" style="62" bestFit="1" customWidth="1"/>
    <col min="21" max="21" width="6.296875" style="62" bestFit="1" customWidth="1"/>
    <col min="22" max="16384" width="13" style="62"/>
  </cols>
  <sheetData>
    <row r="1" spans="1:21" ht="24" thickTop="1" thickBot="1" x14ac:dyDescent="0.35">
      <c r="A1" s="678" t="s">
        <v>469</v>
      </c>
      <c r="B1" s="679"/>
      <c r="C1" s="679"/>
      <c r="D1" s="679"/>
      <c r="E1" s="680"/>
      <c r="F1" s="62"/>
      <c r="G1" s="237"/>
      <c r="H1" s="681" t="s">
        <v>155</v>
      </c>
      <c r="I1" s="69"/>
      <c r="J1" s="69"/>
      <c r="K1" s="682"/>
      <c r="L1" s="69"/>
      <c r="M1" s="69"/>
      <c r="N1" s="69"/>
      <c r="O1" s="682"/>
      <c r="Q1" s="678" t="s">
        <v>1085</v>
      </c>
      <c r="R1" s="679"/>
      <c r="S1" s="679"/>
      <c r="T1" s="679"/>
      <c r="U1" s="680"/>
    </row>
    <row r="2" spans="1:21" ht="17.399999999999999" thickTop="1" x14ac:dyDescent="0.3">
      <c r="A2" s="683" t="s">
        <v>76</v>
      </c>
      <c r="B2" s="684" t="s">
        <v>0</v>
      </c>
      <c r="C2" s="684" t="s">
        <v>1092</v>
      </c>
      <c r="D2" s="684" t="s">
        <v>104</v>
      </c>
      <c r="E2" s="685" t="s">
        <v>77</v>
      </c>
      <c r="G2" s="237"/>
      <c r="H2" s="79" t="s">
        <v>156</v>
      </c>
      <c r="I2" s="686"/>
      <c r="J2" s="686"/>
      <c r="K2" s="686"/>
      <c r="L2" s="686"/>
      <c r="M2" s="686"/>
      <c r="N2" s="686"/>
      <c r="O2" s="687"/>
      <c r="Q2" s="683" t="s">
        <v>76</v>
      </c>
      <c r="R2" s="684" t="s">
        <v>0</v>
      </c>
      <c r="S2" s="684" t="s">
        <v>1092</v>
      </c>
      <c r="T2" s="684" t="s">
        <v>104</v>
      </c>
      <c r="U2" s="685" t="s">
        <v>77</v>
      </c>
    </row>
    <row r="3" spans="1:21" ht="17.399999999999999" thickBot="1" x14ac:dyDescent="0.35">
      <c r="A3" s="80" t="s">
        <v>143</v>
      </c>
      <c r="B3" s="81">
        <v>0</v>
      </c>
      <c r="C3" s="81">
        <v>0</v>
      </c>
      <c r="D3" s="82">
        <f>10+B3+C3+'Personal File'!$C$15</f>
        <v>13</v>
      </c>
      <c r="E3" s="83" t="s">
        <v>787</v>
      </c>
      <c r="G3" s="237"/>
      <c r="H3" s="688" t="s">
        <v>157</v>
      </c>
      <c r="I3" s="689" t="s">
        <v>149</v>
      </c>
      <c r="J3" s="689" t="s">
        <v>150</v>
      </c>
      <c r="K3" s="689" t="s">
        <v>151</v>
      </c>
      <c r="L3" s="689" t="s">
        <v>152</v>
      </c>
      <c r="M3" s="689" t="s">
        <v>153</v>
      </c>
      <c r="N3" s="689" t="s">
        <v>154</v>
      </c>
      <c r="O3" s="690" t="s">
        <v>158</v>
      </c>
      <c r="Q3" s="80"/>
      <c r="R3" s="81">
        <v>0</v>
      </c>
      <c r="S3" s="81">
        <v>0</v>
      </c>
      <c r="T3" s="82">
        <f>10+R3+S3+'Personal File'!$C$15</f>
        <v>13</v>
      </c>
      <c r="U3" s="83" t="s">
        <v>787</v>
      </c>
    </row>
    <row r="4" spans="1:21" ht="17.399999999999999" thickTop="1" x14ac:dyDescent="0.3">
      <c r="A4" s="84" t="s">
        <v>140</v>
      </c>
      <c r="B4" s="81">
        <v>0</v>
      </c>
      <c r="C4" s="81">
        <v>0</v>
      </c>
      <c r="D4" s="82">
        <f>10+B4+C4+'Personal File'!$C$15</f>
        <v>13</v>
      </c>
      <c r="E4" s="83" t="s">
        <v>787</v>
      </c>
      <c r="G4" s="691" t="s">
        <v>167</v>
      </c>
      <c r="H4" s="692">
        <v>6</v>
      </c>
      <c r="I4" s="693">
        <v>5</v>
      </c>
      <c r="J4" s="693">
        <v>5</v>
      </c>
      <c r="K4" s="693">
        <v>4</v>
      </c>
      <c r="L4" s="693">
        <v>4</v>
      </c>
      <c r="M4" s="693">
        <v>3</v>
      </c>
      <c r="N4" s="693">
        <v>3</v>
      </c>
      <c r="O4" s="694">
        <v>2</v>
      </c>
      <c r="Q4" s="84"/>
      <c r="R4" s="81">
        <v>0</v>
      </c>
      <c r="S4" s="81">
        <v>0</v>
      </c>
      <c r="T4" s="82">
        <f>10+R4+S4+'Personal File'!$C$15</f>
        <v>13</v>
      </c>
      <c r="U4" s="83" t="s">
        <v>787</v>
      </c>
    </row>
    <row r="5" spans="1:21" x14ac:dyDescent="0.3">
      <c r="A5" s="84" t="s">
        <v>145</v>
      </c>
      <c r="B5" s="81">
        <v>0</v>
      </c>
      <c r="C5" s="81">
        <v>0</v>
      </c>
      <c r="D5" s="82">
        <f>10+B5+C5+'Personal File'!$C$15</f>
        <v>13</v>
      </c>
      <c r="E5" s="83" t="s">
        <v>787</v>
      </c>
      <c r="G5" s="695" t="s">
        <v>159</v>
      </c>
      <c r="H5" s="696">
        <v>0</v>
      </c>
      <c r="I5" s="188">
        <v>1</v>
      </c>
      <c r="J5" s="188">
        <v>1</v>
      </c>
      <c r="K5" s="188">
        <v>1</v>
      </c>
      <c r="L5" s="188">
        <v>0</v>
      </c>
      <c r="M5" s="188">
        <v>0</v>
      </c>
      <c r="N5" s="188">
        <v>0</v>
      </c>
      <c r="O5" s="697">
        <v>0</v>
      </c>
      <c r="Q5" s="84"/>
      <c r="R5" s="81">
        <v>0</v>
      </c>
      <c r="S5" s="81">
        <v>0</v>
      </c>
      <c r="T5" s="82">
        <f>10+R5+S5+'Personal File'!$C$15</f>
        <v>13</v>
      </c>
      <c r="U5" s="83" t="s">
        <v>787</v>
      </c>
    </row>
    <row r="6" spans="1:21" x14ac:dyDescent="0.3">
      <c r="A6" s="80" t="s">
        <v>176</v>
      </c>
      <c r="B6" s="81">
        <v>0</v>
      </c>
      <c r="C6" s="81">
        <v>0</v>
      </c>
      <c r="D6" s="82">
        <f>10+B6+C6+'Personal File'!$C$15</f>
        <v>13</v>
      </c>
      <c r="E6" s="83" t="s">
        <v>787</v>
      </c>
      <c r="G6" s="695" t="s">
        <v>261</v>
      </c>
      <c r="H6" s="696">
        <v>0</v>
      </c>
      <c r="I6" s="188">
        <v>1</v>
      </c>
      <c r="J6" s="188">
        <v>1</v>
      </c>
      <c r="K6" s="188">
        <v>1</v>
      </c>
      <c r="L6" s="188">
        <v>1</v>
      </c>
      <c r="M6" s="188">
        <v>1</v>
      </c>
      <c r="N6" s="188">
        <v>1</v>
      </c>
      <c r="O6" s="697">
        <v>1</v>
      </c>
      <c r="Q6" s="80"/>
      <c r="R6" s="81">
        <v>0</v>
      </c>
      <c r="S6" s="81">
        <v>0</v>
      </c>
      <c r="T6" s="82">
        <f>10+R6+S6+'Personal File'!$C$15</f>
        <v>13</v>
      </c>
      <c r="U6" s="83" t="s">
        <v>787</v>
      </c>
    </row>
    <row r="7" spans="1:21" ht="17.399999999999999" thickBot="1" x14ac:dyDescent="0.35">
      <c r="A7" s="84" t="s">
        <v>360</v>
      </c>
      <c r="B7" s="81">
        <v>0</v>
      </c>
      <c r="C7" s="81">
        <v>0</v>
      </c>
      <c r="D7" s="82">
        <f>10+B7+C7+'Personal File'!$C$15</f>
        <v>13</v>
      </c>
      <c r="E7" s="83" t="s">
        <v>787</v>
      </c>
      <c r="G7" s="698" t="s">
        <v>160</v>
      </c>
      <c r="H7" s="699">
        <f t="shared" ref="H7" si="0">SUM(H4:H6)</f>
        <v>6</v>
      </c>
      <c r="I7" s="700">
        <f>SUM(I4:I6)</f>
        <v>7</v>
      </c>
      <c r="J7" s="700">
        <f t="shared" ref="J7:K7" si="1">SUM(J4:J6)</f>
        <v>7</v>
      </c>
      <c r="K7" s="700">
        <f t="shared" si="1"/>
        <v>6</v>
      </c>
      <c r="L7" s="700">
        <f t="shared" ref="L7:M7" si="2">SUM(L4:L6)</f>
        <v>5</v>
      </c>
      <c r="M7" s="700">
        <f t="shared" si="2"/>
        <v>4</v>
      </c>
      <c r="N7" s="700">
        <f t="shared" ref="N7:O7" si="3">SUM(N4:N6)</f>
        <v>4</v>
      </c>
      <c r="O7" s="701">
        <f t="shared" si="3"/>
        <v>3</v>
      </c>
      <c r="Q7" s="84"/>
      <c r="R7" s="81">
        <v>0</v>
      </c>
      <c r="S7" s="81">
        <v>0</v>
      </c>
      <c r="T7" s="82">
        <f>10+R7+S7+'Personal File'!$C$15</f>
        <v>13</v>
      </c>
      <c r="U7" s="83" t="s">
        <v>787</v>
      </c>
    </row>
    <row r="8" spans="1:21" ht="18" thickTop="1" thickBot="1" x14ac:dyDescent="0.35">
      <c r="A8" s="170" t="s">
        <v>146</v>
      </c>
      <c r="B8" s="85">
        <v>0</v>
      </c>
      <c r="C8" s="85">
        <v>0</v>
      </c>
      <c r="D8" s="86">
        <f>10+B8+C8+'Personal File'!$C$15</f>
        <v>13</v>
      </c>
      <c r="E8" s="87" t="s">
        <v>787</v>
      </c>
      <c r="Q8" s="170"/>
      <c r="R8" s="85">
        <v>0</v>
      </c>
      <c r="S8" s="85">
        <v>0</v>
      </c>
      <c r="T8" s="86">
        <f>10+R8+S8+'Personal File'!$C$15</f>
        <v>13</v>
      </c>
      <c r="U8" s="87" t="s">
        <v>787</v>
      </c>
    </row>
    <row r="9" spans="1:21" ht="23.4" thickTop="1" x14ac:dyDescent="0.3">
      <c r="A9" s="80" t="s">
        <v>184</v>
      </c>
      <c r="B9" s="81">
        <v>1</v>
      </c>
      <c r="C9" s="81">
        <v>0</v>
      </c>
      <c r="D9" s="82">
        <f>10+B9+C9+'Personal File'!$C$15</f>
        <v>14</v>
      </c>
      <c r="E9" s="83" t="s">
        <v>787</v>
      </c>
      <c r="G9" s="88" t="s">
        <v>263</v>
      </c>
      <c r="H9" s="89"/>
      <c r="I9" s="90"/>
      <c r="K9" s="169"/>
      <c r="Q9" s="80"/>
      <c r="R9" s="81">
        <v>1</v>
      </c>
      <c r="S9" s="81">
        <v>0</v>
      </c>
      <c r="T9" s="82">
        <f>10+R9+S9+'Personal File'!$C$15</f>
        <v>14</v>
      </c>
      <c r="U9" s="83" t="s">
        <v>787</v>
      </c>
    </row>
    <row r="10" spans="1:21" ht="17.399999999999999" thickBot="1" x14ac:dyDescent="0.35">
      <c r="A10" s="80" t="s">
        <v>189</v>
      </c>
      <c r="B10" s="81">
        <v>1</v>
      </c>
      <c r="C10" s="81">
        <v>0</v>
      </c>
      <c r="D10" s="82">
        <f>10+B10+C10+'Personal File'!$C$15</f>
        <v>14</v>
      </c>
      <c r="E10" s="83" t="s">
        <v>787</v>
      </c>
      <c r="G10" s="91"/>
      <c r="H10" s="92" t="s">
        <v>260</v>
      </c>
      <c r="I10" s="93">
        <f>'Personal File'!E4</f>
        <v>4</v>
      </c>
      <c r="Q10" s="80"/>
      <c r="R10" s="81">
        <v>1</v>
      </c>
      <c r="S10" s="81">
        <v>0</v>
      </c>
      <c r="T10" s="82">
        <f>10+R10+S10+'Personal File'!$C$15</f>
        <v>14</v>
      </c>
      <c r="U10" s="83" t="s">
        <v>787</v>
      </c>
    </row>
    <row r="11" spans="1:21" ht="17.399999999999999" thickTop="1" x14ac:dyDescent="0.3">
      <c r="A11" s="239" t="s">
        <v>250</v>
      </c>
      <c r="B11" s="81">
        <v>1</v>
      </c>
      <c r="C11" s="81">
        <v>0</v>
      </c>
      <c r="D11" s="82">
        <f>10+B11+C11+'Personal File'!$C$15</f>
        <v>14</v>
      </c>
      <c r="E11" s="83" t="s">
        <v>787</v>
      </c>
      <c r="G11" s="94"/>
      <c r="H11" s="14" t="s">
        <v>254</v>
      </c>
      <c r="I11" s="95">
        <f t="shared" ref="I11" ca="1" si="4">RANDBETWEEN(1,20)</f>
        <v>5</v>
      </c>
      <c r="Q11" s="239"/>
      <c r="R11" s="81">
        <v>1</v>
      </c>
      <c r="S11" s="81">
        <v>0</v>
      </c>
      <c r="T11" s="82">
        <f>10+R11+S11+'Personal File'!$C$15</f>
        <v>14</v>
      </c>
      <c r="U11" s="83" t="s">
        <v>787</v>
      </c>
    </row>
    <row r="12" spans="1:21" x14ac:dyDescent="0.3">
      <c r="A12" s="80" t="s">
        <v>191</v>
      </c>
      <c r="B12" s="81">
        <v>1</v>
      </c>
      <c r="C12" s="81">
        <v>0</v>
      </c>
      <c r="D12" s="82">
        <f>10+B12+C12+'Personal File'!$C$15</f>
        <v>14</v>
      </c>
      <c r="E12" s="83" t="s">
        <v>787</v>
      </c>
      <c r="G12" s="96"/>
      <c r="H12" s="12" t="s">
        <v>257</v>
      </c>
      <c r="I12" s="234">
        <f ca="1">I11+'Personal File'!C16+'Personal File'!E4+2</f>
        <v>15</v>
      </c>
      <c r="Q12" s="80"/>
      <c r="R12" s="81">
        <v>1</v>
      </c>
      <c r="S12" s="81">
        <v>0</v>
      </c>
      <c r="T12" s="82">
        <f>10+R12+S12+'Personal File'!$C$15</f>
        <v>14</v>
      </c>
      <c r="U12" s="83" t="s">
        <v>787</v>
      </c>
    </row>
    <row r="13" spans="1:21" x14ac:dyDescent="0.3">
      <c r="A13" s="80" t="s">
        <v>172</v>
      </c>
      <c r="B13" s="81">
        <v>1</v>
      </c>
      <c r="C13" s="81">
        <v>0</v>
      </c>
      <c r="D13" s="82">
        <f>10+B13+C13+'Personal File'!$C$15</f>
        <v>14</v>
      </c>
      <c r="E13" s="83" t="s">
        <v>787</v>
      </c>
      <c r="G13" s="97"/>
      <c r="H13" s="15" t="s">
        <v>255</v>
      </c>
      <c r="I13" s="98">
        <f ca="1">RANDBETWEEN(1,6)+RANDBETWEEN(1,6)</f>
        <v>10</v>
      </c>
      <c r="Q13" s="80"/>
      <c r="R13" s="81">
        <v>1</v>
      </c>
      <c r="S13" s="81">
        <v>0</v>
      </c>
      <c r="T13" s="82">
        <f>10+R13+S13+'Personal File'!$C$15</f>
        <v>14</v>
      </c>
      <c r="U13" s="83" t="s">
        <v>787</v>
      </c>
    </row>
    <row r="14" spans="1:21" ht="17.399999999999999" thickBot="1" x14ac:dyDescent="0.35">
      <c r="A14" s="80" t="s">
        <v>192</v>
      </c>
      <c r="B14" s="81">
        <v>1</v>
      </c>
      <c r="C14" s="81">
        <v>0</v>
      </c>
      <c r="D14" s="82">
        <f>10+B14+C14+'Personal File'!$C$15</f>
        <v>14</v>
      </c>
      <c r="E14" s="83" t="s">
        <v>787</v>
      </c>
      <c r="G14" s="99"/>
      <c r="H14" s="17" t="s">
        <v>258</v>
      </c>
      <c r="I14" s="235">
        <f ca="1">I10+'Personal File'!C16+I13+1</f>
        <v>19</v>
      </c>
      <c r="Q14" s="80"/>
      <c r="R14" s="81">
        <v>1</v>
      </c>
      <c r="S14" s="81">
        <v>0</v>
      </c>
      <c r="T14" s="82">
        <f>10+R14+S14+'Personal File'!$C$15</f>
        <v>14</v>
      </c>
      <c r="U14" s="83" t="s">
        <v>787</v>
      </c>
    </row>
    <row r="15" spans="1:21" x14ac:dyDescent="0.3">
      <c r="A15" s="170" t="s">
        <v>525</v>
      </c>
      <c r="B15" s="85">
        <v>1</v>
      </c>
      <c r="C15" s="85">
        <v>0</v>
      </c>
      <c r="D15" s="86">
        <f>10+B15+C15+'Personal File'!$C$15</f>
        <v>14</v>
      </c>
      <c r="E15" s="87" t="s">
        <v>787</v>
      </c>
      <c r="G15" s="100"/>
      <c r="H15" s="16" t="s">
        <v>256</v>
      </c>
      <c r="I15" s="101">
        <f>3+'Personal File'!C16</f>
        <v>7</v>
      </c>
      <c r="Q15" s="170"/>
      <c r="R15" s="85">
        <v>1</v>
      </c>
      <c r="S15" s="85">
        <v>0</v>
      </c>
      <c r="T15" s="86">
        <f>10+R15+S15+'Personal File'!$C$15</f>
        <v>14</v>
      </c>
      <c r="U15" s="87" t="s">
        <v>787</v>
      </c>
    </row>
    <row r="16" spans="1:21" ht="17.399999999999999" thickBot="1" x14ac:dyDescent="0.35">
      <c r="A16" s="240" t="s">
        <v>171</v>
      </c>
      <c r="B16" s="81">
        <v>2</v>
      </c>
      <c r="C16" s="81">
        <v>0</v>
      </c>
      <c r="D16" s="82">
        <f>10+B16+C16+'Personal File'!$C$15</f>
        <v>15</v>
      </c>
      <c r="E16" s="83" t="s">
        <v>787</v>
      </c>
      <c r="G16" s="102"/>
      <c r="H16" s="13" t="s">
        <v>259</v>
      </c>
      <c r="I16" s="103">
        <v>3</v>
      </c>
      <c r="Q16" s="240"/>
      <c r="R16" s="81">
        <v>2</v>
      </c>
      <c r="S16" s="81">
        <v>0</v>
      </c>
      <c r="T16" s="82">
        <f>10+R16+S16+'Personal File'!$C$15</f>
        <v>15</v>
      </c>
      <c r="U16" s="83" t="s">
        <v>787</v>
      </c>
    </row>
    <row r="17" spans="1:21" ht="17.399999999999999" thickTop="1" x14ac:dyDescent="0.3">
      <c r="A17" s="84" t="s">
        <v>115</v>
      </c>
      <c r="B17" s="81">
        <v>2</v>
      </c>
      <c r="C17" s="81">
        <v>0</v>
      </c>
      <c r="D17" s="82">
        <f>10+B17+C17+'Personal File'!$C$15</f>
        <v>15</v>
      </c>
      <c r="E17" s="83" t="s">
        <v>787</v>
      </c>
      <c r="Q17" s="84"/>
      <c r="R17" s="81">
        <v>2</v>
      </c>
      <c r="S17" s="81">
        <v>0</v>
      </c>
      <c r="T17" s="82">
        <f>10+R17+S17+'Personal File'!$C$15</f>
        <v>15</v>
      </c>
      <c r="U17" s="83" t="s">
        <v>787</v>
      </c>
    </row>
    <row r="18" spans="1:21" x14ac:dyDescent="0.3">
      <c r="A18" s="84" t="s">
        <v>585</v>
      </c>
      <c r="B18" s="81">
        <v>2</v>
      </c>
      <c r="C18" s="81">
        <v>0</v>
      </c>
      <c r="D18" s="82">
        <f>10+B18+C18+'Personal File'!$C$15</f>
        <v>15</v>
      </c>
      <c r="E18" s="83" t="s">
        <v>787</v>
      </c>
      <c r="G18" s="35"/>
      <c r="J18" s="28" t="s">
        <v>364</v>
      </c>
      <c r="K18" s="29">
        <f>'Personal File'!E4+'Personal File'!E5</f>
        <v>14</v>
      </c>
      <c r="Q18" s="84"/>
      <c r="R18" s="81">
        <v>2</v>
      </c>
      <c r="S18" s="81">
        <v>0</v>
      </c>
      <c r="T18" s="82">
        <f>10+R18+S18+'Personal File'!$C$15</f>
        <v>15</v>
      </c>
      <c r="U18" s="83" t="s">
        <v>787</v>
      </c>
    </row>
    <row r="19" spans="1:21" x14ac:dyDescent="0.3">
      <c r="A19" s="84" t="s">
        <v>203</v>
      </c>
      <c r="B19" s="81">
        <v>2</v>
      </c>
      <c r="C19" s="81">
        <v>0</v>
      </c>
      <c r="D19" s="82">
        <f>10+B19+C19+'Personal File'!$C$15</f>
        <v>15</v>
      </c>
      <c r="E19" s="83" t="s">
        <v>1276</v>
      </c>
      <c r="G19" s="35"/>
      <c r="J19" s="28" t="s">
        <v>365</v>
      </c>
      <c r="K19" s="29">
        <f>'Personal File'!E4+1</f>
        <v>5</v>
      </c>
      <c r="Q19" s="84"/>
      <c r="R19" s="81">
        <v>2</v>
      </c>
      <c r="S19" s="81">
        <v>0</v>
      </c>
      <c r="T19" s="82">
        <f>10+R19+S19+'Personal File'!$C$15</f>
        <v>15</v>
      </c>
      <c r="U19" s="83" t="s">
        <v>787</v>
      </c>
    </row>
    <row r="20" spans="1:21" x14ac:dyDescent="0.3">
      <c r="A20" s="84" t="s">
        <v>210</v>
      </c>
      <c r="B20" s="81">
        <v>2</v>
      </c>
      <c r="C20" s="81">
        <v>0</v>
      </c>
      <c r="D20" s="82">
        <f>10+B20+C20+'Personal File'!$C$15</f>
        <v>15</v>
      </c>
      <c r="E20" s="83" t="s">
        <v>787</v>
      </c>
      <c r="Q20" s="84"/>
      <c r="R20" s="81">
        <v>2</v>
      </c>
      <c r="S20" s="81">
        <v>0</v>
      </c>
      <c r="T20" s="82">
        <f>10+R20+S20+'Personal File'!$C$15</f>
        <v>15</v>
      </c>
      <c r="U20" s="83" t="s">
        <v>787</v>
      </c>
    </row>
    <row r="21" spans="1:21" x14ac:dyDescent="0.3">
      <c r="A21" s="84" t="s">
        <v>467</v>
      </c>
      <c r="B21" s="81">
        <v>2</v>
      </c>
      <c r="C21" s="81">
        <v>0</v>
      </c>
      <c r="D21" s="82">
        <f>10+B21+C21+'Personal File'!$C$15</f>
        <v>15</v>
      </c>
      <c r="E21" s="83" t="s">
        <v>787</v>
      </c>
      <c r="Q21" s="84"/>
      <c r="R21" s="81">
        <v>2</v>
      </c>
      <c r="S21" s="81">
        <v>0</v>
      </c>
      <c r="T21" s="82">
        <f>10+R21+S21+'Personal File'!$C$15</f>
        <v>15</v>
      </c>
      <c r="U21" s="83" t="s">
        <v>787</v>
      </c>
    </row>
    <row r="22" spans="1:21" x14ac:dyDescent="0.3">
      <c r="A22" s="170" t="s">
        <v>207</v>
      </c>
      <c r="B22" s="85">
        <v>2</v>
      </c>
      <c r="C22" s="85">
        <v>0</v>
      </c>
      <c r="D22" s="86">
        <f>10+B22+C22+'Personal File'!$C$15</f>
        <v>15</v>
      </c>
      <c r="E22" s="87" t="s">
        <v>787</v>
      </c>
      <c r="Q22" s="170"/>
      <c r="R22" s="85">
        <v>2</v>
      </c>
      <c r="S22" s="85">
        <v>0</v>
      </c>
      <c r="T22" s="86">
        <f>10+R22+S22+'Personal File'!$C$15</f>
        <v>15</v>
      </c>
      <c r="U22" s="87" t="s">
        <v>787</v>
      </c>
    </row>
    <row r="23" spans="1:21" x14ac:dyDescent="0.3">
      <c r="A23" s="240" t="s">
        <v>468</v>
      </c>
      <c r="B23" s="81">
        <v>3</v>
      </c>
      <c r="C23" s="81">
        <v>0</v>
      </c>
      <c r="D23" s="82">
        <f>10+B23+C23+'Personal File'!$C$15</f>
        <v>16</v>
      </c>
      <c r="E23" s="83" t="s">
        <v>787</v>
      </c>
      <c r="Q23" s="240"/>
      <c r="R23" s="81">
        <v>3</v>
      </c>
      <c r="S23" s="81">
        <v>0</v>
      </c>
      <c r="T23" s="82">
        <f>10+R23+S23+'Personal File'!$C$15</f>
        <v>16</v>
      </c>
      <c r="U23" s="83" t="s">
        <v>787</v>
      </c>
    </row>
    <row r="24" spans="1:21" x14ac:dyDescent="0.3">
      <c r="A24" s="84" t="s">
        <v>130</v>
      </c>
      <c r="B24" s="81">
        <v>3</v>
      </c>
      <c r="C24" s="81">
        <v>0</v>
      </c>
      <c r="D24" s="82">
        <f>10+B24+C24+'Personal File'!$C$15</f>
        <v>16</v>
      </c>
      <c r="E24" s="83" t="s">
        <v>787</v>
      </c>
      <c r="Q24" s="84"/>
      <c r="R24" s="81">
        <v>3</v>
      </c>
      <c r="S24" s="81">
        <v>0</v>
      </c>
      <c r="T24" s="82">
        <f>10+R24+S24+'Personal File'!$C$15</f>
        <v>16</v>
      </c>
      <c r="U24" s="83" t="s">
        <v>787</v>
      </c>
    </row>
    <row r="25" spans="1:21" x14ac:dyDescent="0.3">
      <c r="A25" s="84" t="s">
        <v>472</v>
      </c>
      <c r="B25" s="81">
        <v>3</v>
      </c>
      <c r="C25" s="81">
        <v>0</v>
      </c>
      <c r="D25" s="82">
        <f>10+B25+C25+'Personal File'!$C$15</f>
        <v>16</v>
      </c>
      <c r="E25" s="83" t="s">
        <v>787</v>
      </c>
      <c r="Q25" s="84"/>
      <c r="R25" s="81">
        <v>3</v>
      </c>
      <c r="S25" s="81">
        <v>0</v>
      </c>
      <c r="T25" s="82">
        <f>10+R25+S25+'Personal File'!$C$15</f>
        <v>16</v>
      </c>
      <c r="U25" s="83" t="s">
        <v>787</v>
      </c>
    </row>
    <row r="26" spans="1:21" x14ac:dyDescent="0.3">
      <c r="A26" s="84" t="s">
        <v>246</v>
      </c>
      <c r="B26" s="81">
        <v>3</v>
      </c>
      <c r="C26" s="81">
        <v>0</v>
      </c>
      <c r="D26" s="82">
        <f>10+B26+C26+'Personal File'!$C$15</f>
        <v>16</v>
      </c>
      <c r="E26" s="83" t="s">
        <v>1276</v>
      </c>
      <c r="Q26" s="84"/>
      <c r="R26" s="81">
        <v>3</v>
      </c>
      <c r="S26" s="81">
        <v>0</v>
      </c>
      <c r="T26" s="82">
        <f>10+R26+S26+'Personal File'!$C$15</f>
        <v>16</v>
      </c>
      <c r="U26" s="83" t="s">
        <v>787</v>
      </c>
    </row>
    <row r="27" spans="1:21" x14ac:dyDescent="0.3">
      <c r="A27" s="84" t="s">
        <v>226</v>
      </c>
      <c r="B27" s="81">
        <v>3</v>
      </c>
      <c r="C27" s="81">
        <v>0</v>
      </c>
      <c r="D27" s="82">
        <f>10+B27+C27+'Personal File'!$C$15</f>
        <v>16</v>
      </c>
      <c r="E27" s="83" t="s">
        <v>787</v>
      </c>
      <c r="Q27" s="84"/>
      <c r="R27" s="81">
        <v>3</v>
      </c>
      <c r="S27" s="81">
        <v>0</v>
      </c>
      <c r="T27" s="82">
        <f>10+R27+S27+'Personal File'!$C$15</f>
        <v>16</v>
      </c>
      <c r="U27" s="83" t="s">
        <v>787</v>
      </c>
    </row>
    <row r="28" spans="1:21" x14ac:dyDescent="0.3">
      <c r="A28" s="170" t="s">
        <v>123</v>
      </c>
      <c r="B28" s="85">
        <v>3</v>
      </c>
      <c r="C28" s="85">
        <v>0</v>
      </c>
      <c r="D28" s="86">
        <f>10+B28+C28+'Personal File'!$C$15</f>
        <v>16</v>
      </c>
      <c r="E28" s="87" t="s">
        <v>787</v>
      </c>
      <c r="Q28" s="170"/>
      <c r="R28" s="85">
        <v>3</v>
      </c>
      <c r="S28" s="85">
        <v>0</v>
      </c>
      <c r="T28" s="86">
        <f>10+R28+S28+'Personal File'!$C$15</f>
        <v>16</v>
      </c>
      <c r="U28" s="87" t="s">
        <v>787</v>
      </c>
    </row>
    <row r="29" spans="1:21" x14ac:dyDescent="0.3">
      <c r="A29" s="240" t="s">
        <v>398</v>
      </c>
      <c r="B29" s="81">
        <v>4</v>
      </c>
      <c r="C29" s="81">
        <v>0</v>
      </c>
      <c r="D29" s="82">
        <f>10+B29+C29+'Personal File'!$C$15</f>
        <v>17</v>
      </c>
      <c r="E29" s="83" t="s">
        <v>787</v>
      </c>
      <c r="Q29" s="240"/>
      <c r="R29" s="81">
        <v>4</v>
      </c>
      <c r="S29" s="81">
        <v>0</v>
      </c>
      <c r="T29" s="82">
        <f>10+R29+S29+'Personal File'!$C$15</f>
        <v>17</v>
      </c>
      <c r="U29" s="83" t="s">
        <v>787</v>
      </c>
    </row>
    <row r="30" spans="1:21" x14ac:dyDescent="0.3">
      <c r="A30" s="84" t="s">
        <v>427</v>
      </c>
      <c r="B30" s="81">
        <v>4</v>
      </c>
      <c r="C30" s="81">
        <v>0</v>
      </c>
      <c r="D30" s="82">
        <f>10+B30+C30+'Personal File'!$C$15</f>
        <v>17</v>
      </c>
      <c r="E30" s="83" t="s">
        <v>787</v>
      </c>
      <c r="Q30" s="84"/>
      <c r="R30" s="81">
        <v>4</v>
      </c>
      <c r="S30" s="81">
        <v>0</v>
      </c>
      <c r="T30" s="82">
        <f>10+R30+S30+'Personal File'!$C$15</f>
        <v>17</v>
      </c>
      <c r="U30" s="83" t="s">
        <v>787</v>
      </c>
    </row>
    <row r="31" spans="1:21" x14ac:dyDescent="0.3">
      <c r="A31" s="84" t="s">
        <v>654</v>
      </c>
      <c r="B31" s="81">
        <v>4</v>
      </c>
      <c r="C31" s="81">
        <v>0</v>
      </c>
      <c r="D31" s="82">
        <f>10+B31+C31+'Personal File'!$C$15</f>
        <v>17</v>
      </c>
      <c r="E31" s="83" t="s">
        <v>1276</v>
      </c>
      <c r="Q31" s="84"/>
      <c r="R31" s="81">
        <v>4</v>
      </c>
      <c r="S31" s="81">
        <v>0</v>
      </c>
      <c r="T31" s="82">
        <f>10+R31+S31+'Personal File'!$C$15</f>
        <v>17</v>
      </c>
      <c r="U31" s="83" t="s">
        <v>787</v>
      </c>
    </row>
    <row r="32" spans="1:21" x14ac:dyDescent="0.3">
      <c r="A32" s="84" t="s">
        <v>659</v>
      </c>
      <c r="B32" s="81">
        <v>4</v>
      </c>
      <c r="C32" s="81">
        <v>0</v>
      </c>
      <c r="D32" s="82">
        <f>10+B32+C32+'Personal File'!$C$15</f>
        <v>17</v>
      </c>
      <c r="E32" s="83" t="s">
        <v>787</v>
      </c>
      <c r="Q32" s="84"/>
      <c r="R32" s="81">
        <v>4</v>
      </c>
      <c r="S32" s="81">
        <v>0</v>
      </c>
      <c r="T32" s="82">
        <f>10+R32+S32+'Personal File'!$C$15</f>
        <v>17</v>
      </c>
      <c r="U32" s="83" t="s">
        <v>787</v>
      </c>
    </row>
    <row r="33" spans="1:21" x14ac:dyDescent="0.3">
      <c r="A33" s="170" t="s">
        <v>655</v>
      </c>
      <c r="B33" s="85">
        <v>4</v>
      </c>
      <c r="C33" s="85">
        <v>0</v>
      </c>
      <c r="D33" s="86">
        <f>10+B33+C33+'Personal File'!$C$15</f>
        <v>17</v>
      </c>
      <c r="E33" s="87" t="s">
        <v>1276</v>
      </c>
      <c r="Q33" s="170"/>
      <c r="R33" s="85">
        <v>4</v>
      </c>
      <c r="S33" s="85">
        <v>0</v>
      </c>
      <c r="T33" s="86">
        <f>10+R33+S33+'Personal File'!$C$15</f>
        <v>17</v>
      </c>
      <c r="U33" s="87" t="s">
        <v>787</v>
      </c>
    </row>
    <row r="34" spans="1:21" x14ac:dyDescent="0.3">
      <c r="A34" s="84" t="s">
        <v>955</v>
      </c>
      <c r="B34" s="81">
        <v>5</v>
      </c>
      <c r="C34" s="81">
        <v>0</v>
      </c>
      <c r="D34" s="82">
        <f>10+B34+C34+'Personal File'!$C$15</f>
        <v>18</v>
      </c>
      <c r="E34" s="83" t="s">
        <v>1276</v>
      </c>
      <c r="Q34" s="84"/>
      <c r="R34" s="81">
        <v>5</v>
      </c>
      <c r="S34" s="81">
        <v>0</v>
      </c>
      <c r="T34" s="82">
        <f>10+R34+S34+'Personal File'!$C$15</f>
        <v>18</v>
      </c>
      <c r="U34" s="83" t="s">
        <v>787</v>
      </c>
    </row>
    <row r="35" spans="1:21" x14ac:dyDescent="0.3">
      <c r="A35" s="84" t="s">
        <v>930</v>
      </c>
      <c r="B35" s="81">
        <v>5</v>
      </c>
      <c r="C35" s="81">
        <v>0</v>
      </c>
      <c r="D35" s="82">
        <f>10+B35+C35+'Personal File'!$C$15</f>
        <v>18</v>
      </c>
      <c r="E35" s="83" t="s">
        <v>787</v>
      </c>
      <c r="Q35" s="84"/>
      <c r="R35" s="81">
        <v>5</v>
      </c>
      <c r="S35" s="81">
        <v>0</v>
      </c>
      <c r="T35" s="82">
        <f>10+R35+S35+'Personal File'!$C$15</f>
        <v>18</v>
      </c>
      <c r="U35" s="83" t="s">
        <v>787</v>
      </c>
    </row>
    <row r="36" spans="1:21" x14ac:dyDescent="0.3">
      <c r="A36" s="84" t="s">
        <v>958</v>
      </c>
      <c r="B36" s="81">
        <v>5</v>
      </c>
      <c r="C36" s="81">
        <v>0</v>
      </c>
      <c r="D36" s="82">
        <f>10+B36+C36+'Personal File'!$C$15</f>
        <v>18</v>
      </c>
      <c r="E36" s="83" t="s">
        <v>787</v>
      </c>
      <c r="Q36" s="84"/>
      <c r="R36" s="81">
        <v>5</v>
      </c>
      <c r="S36" s="81">
        <v>0</v>
      </c>
      <c r="T36" s="82">
        <f>10+R36+S36+'Personal File'!$C$15</f>
        <v>18</v>
      </c>
      <c r="U36" s="83" t="s">
        <v>787</v>
      </c>
    </row>
    <row r="37" spans="1:21" x14ac:dyDescent="0.3">
      <c r="A37" s="170" t="s">
        <v>966</v>
      </c>
      <c r="B37" s="85">
        <v>5</v>
      </c>
      <c r="C37" s="85">
        <v>0</v>
      </c>
      <c r="D37" s="86">
        <f>10+B37+C37+'Personal File'!$C$15</f>
        <v>18</v>
      </c>
      <c r="E37" s="87" t="s">
        <v>787</v>
      </c>
      <c r="Q37" s="170"/>
      <c r="R37" s="85">
        <v>5</v>
      </c>
      <c r="S37" s="85">
        <v>0</v>
      </c>
      <c r="T37" s="86">
        <f>10+R37+S37+'Personal File'!$C$15</f>
        <v>18</v>
      </c>
      <c r="U37" s="87" t="s">
        <v>787</v>
      </c>
    </row>
    <row r="38" spans="1:21" s="703" customFormat="1" x14ac:dyDescent="0.3">
      <c r="A38" s="84" t="s">
        <v>1008</v>
      </c>
      <c r="B38" s="81">
        <v>6</v>
      </c>
      <c r="C38" s="81">
        <v>0</v>
      </c>
      <c r="D38" s="82">
        <f>10+B38+C38+'Personal File'!$C$15</f>
        <v>19</v>
      </c>
      <c r="E38" s="83" t="s">
        <v>787</v>
      </c>
      <c r="F38" s="702"/>
      <c r="Q38" s="84"/>
      <c r="R38" s="81">
        <v>6</v>
      </c>
      <c r="S38" s="81">
        <v>0</v>
      </c>
      <c r="T38" s="82">
        <f>10+R38+S38+'Personal File'!$C$15</f>
        <v>19</v>
      </c>
      <c r="U38" s="83" t="s">
        <v>787</v>
      </c>
    </row>
    <row r="39" spans="1:21" x14ac:dyDescent="0.3">
      <c r="A39" s="84" t="s">
        <v>1036</v>
      </c>
      <c r="B39" s="81">
        <v>6</v>
      </c>
      <c r="C39" s="81">
        <v>0</v>
      </c>
      <c r="D39" s="82">
        <f>10+B39+C39+'Personal File'!$C$15</f>
        <v>19</v>
      </c>
      <c r="E39" s="83" t="s">
        <v>1276</v>
      </c>
      <c r="Q39" s="84"/>
      <c r="R39" s="81">
        <v>6</v>
      </c>
      <c r="S39" s="81">
        <v>0</v>
      </c>
      <c r="T39" s="82">
        <f>10+R39+S39+'Personal File'!$C$15</f>
        <v>19</v>
      </c>
      <c r="U39" s="83" t="s">
        <v>787</v>
      </c>
    </row>
    <row r="40" spans="1:21" x14ac:dyDescent="0.3">
      <c r="A40" s="84" t="s">
        <v>1046</v>
      </c>
      <c r="B40" s="81">
        <v>6</v>
      </c>
      <c r="C40" s="81">
        <v>0</v>
      </c>
      <c r="D40" s="82">
        <f>10+B40+C40+'Personal File'!$C$15</f>
        <v>19</v>
      </c>
      <c r="E40" s="83" t="s">
        <v>787</v>
      </c>
      <c r="Q40" s="84"/>
      <c r="R40" s="81">
        <v>6</v>
      </c>
      <c r="S40" s="81">
        <v>0</v>
      </c>
      <c r="T40" s="82">
        <f>10+R40+S40+'Personal File'!$C$15</f>
        <v>19</v>
      </c>
      <c r="U40" s="83" t="s">
        <v>787</v>
      </c>
    </row>
    <row r="41" spans="1:21" x14ac:dyDescent="0.3">
      <c r="A41" s="170" t="s">
        <v>1009</v>
      </c>
      <c r="B41" s="85">
        <v>6</v>
      </c>
      <c r="C41" s="85">
        <v>0</v>
      </c>
      <c r="D41" s="86">
        <f>10+B41+C41+'Personal File'!$C$15</f>
        <v>19</v>
      </c>
      <c r="E41" s="87" t="s">
        <v>787</v>
      </c>
      <c r="Q41" s="170"/>
      <c r="R41" s="85">
        <v>6</v>
      </c>
      <c r="S41" s="85">
        <v>0</v>
      </c>
      <c r="T41" s="86">
        <f>10+R41+S41+'Personal File'!$C$15</f>
        <v>19</v>
      </c>
      <c r="U41" s="87" t="s">
        <v>787</v>
      </c>
    </row>
    <row r="42" spans="1:21" x14ac:dyDescent="0.3">
      <c r="A42" s="84" t="s">
        <v>1272</v>
      </c>
      <c r="B42" s="81">
        <v>7</v>
      </c>
      <c r="C42" s="81">
        <v>0</v>
      </c>
      <c r="D42" s="82">
        <f>10+B42+C42+'Personal File'!$C$15</f>
        <v>20</v>
      </c>
      <c r="E42" s="83" t="s">
        <v>787</v>
      </c>
      <c r="F42" s="35" t="s">
        <v>1273</v>
      </c>
      <c r="Q42" s="84"/>
      <c r="R42" s="81">
        <v>7</v>
      </c>
      <c r="S42" s="81">
        <v>0</v>
      </c>
      <c r="T42" s="82">
        <f>10+R42+S42+'Personal File'!$C$15</f>
        <v>20</v>
      </c>
      <c r="U42" s="83" t="s">
        <v>787</v>
      </c>
    </row>
    <row r="43" spans="1:21" x14ac:dyDescent="0.3">
      <c r="A43" s="84" t="s">
        <v>1274</v>
      </c>
      <c r="B43" s="81">
        <v>7</v>
      </c>
      <c r="C43" s="81">
        <v>0</v>
      </c>
      <c r="D43" s="82">
        <f>10+B43+C43+'Personal File'!$C$15</f>
        <v>20</v>
      </c>
      <c r="E43" s="83" t="s">
        <v>1276</v>
      </c>
      <c r="F43" s="35" t="s">
        <v>1275</v>
      </c>
      <c r="Q43" s="84"/>
      <c r="R43" s="81">
        <v>7</v>
      </c>
      <c r="S43" s="81">
        <v>0</v>
      </c>
      <c r="T43" s="82">
        <f>10+R43+S43+'Personal File'!$C$15</f>
        <v>20</v>
      </c>
      <c r="U43" s="83" t="s">
        <v>787</v>
      </c>
    </row>
    <row r="44" spans="1:21" ht="17.399999999999999" thickBot="1" x14ac:dyDescent="0.35">
      <c r="A44" s="671" t="s">
        <v>1271</v>
      </c>
      <c r="B44" s="672">
        <v>7</v>
      </c>
      <c r="C44" s="672">
        <v>0</v>
      </c>
      <c r="D44" s="673">
        <f>10+B44+C44+'Personal File'!$C$15</f>
        <v>20</v>
      </c>
      <c r="E44" s="674" t="s">
        <v>787</v>
      </c>
      <c r="Q44" s="671"/>
      <c r="R44" s="672">
        <v>7</v>
      </c>
      <c r="S44" s="672">
        <v>0</v>
      </c>
      <c r="T44" s="673">
        <f>10+R44+S44+'Personal File'!$C$15</f>
        <v>20</v>
      </c>
      <c r="U44" s="674" t="s">
        <v>787</v>
      </c>
    </row>
    <row r="45" spans="1:21" ht="17.399999999999999" thickTop="1" x14ac:dyDescent="0.3"/>
  </sheetData>
  <sortState xmlns:xlrd2="http://schemas.microsoft.com/office/spreadsheetml/2017/richdata2" ref="A3:C26">
    <sortCondition ref="B3:B26"/>
    <sortCondition ref="A3:A26"/>
  </sortState>
  <conditionalFormatting sqref="E3:E17 E32:E40 E19:E30">
    <cfRule type="cellIs" dxfId="22" priority="14" operator="equal">
      <formula>"þ"</formula>
    </cfRule>
  </conditionalFormatting>
  <conditionalFormatting sqref="E42:E44">
    <cfRule type="cellIs" dxfId="21" priority="9" operator="equal">
      <formula>"þ"</formula>
    </cfRule>
  </conditionalFormatting>
  <conditionalFormatting sqref="E41">
    <cfRule type="cellIs" dxfId="20" priority="8" operator="equal">
      <formula>"þ"</formula>
    </cfRule>
  </conditionalFormatting>
  <conditionalFormatting sqref="E31">
    <cfRule type="cellIs" dxfId="19" priority="7" operator="equal">
      <formula>"þ"</formula>
    </cfRule>
  </conditionalFormatting>
  <conditionalFormatting sqref="U3:U17 U32:U40 U19:U30">
    <cfRule type="cellIs" dxfId="18" priority="6" operator="equal">
      <formula>"þ"</formula>
    </cfRule>
  </conditionalFormatting>
  <conditionalFormatting sqref="U42:U44">
    <cfRule type="cellIs" dxfId="17" priority="5" operator="equal">
      <formula>"þ"</formula>
    </cfRule>
  </conditionalFormatting>
  <conditionalFormatting sqref="U41">
    <cfRule type="cellIs" dxfId="16" priority="4" operator="equal">
      <formula>"þ"</formula>
    </cfRule>
  </conditionalFormatting>
  <conditionalFormatting sqref="U31">
    <cfRule type="cellIs" dxfId="15" priority="3" operator="equal">
      <formula>"þ"</formula>
    </cfRule>
  </conditionalFormatting>
  <conditionalFormatting sqref="E18">
    <cfRule type="cellIs" dxfId="14" priority="2" operator="equal">
      <formula>"þ"</formula>
    </cfRule>
  </conditionalFormatting>
  <conditionalFormatting sqref="U18">
    <cfRule type="cellIs" dxfId="13"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showGridLines="0" workbookViewId="0"/>
  </sheetViews>
  <sheetFormatPr defaultColWidth="13" defaultRowHeight="16.8" x14ac:dyDescent="0.3"/>
  <cols>
    <col min="1" max="1" width="30.3984375" style="35" bestFit="1" customWidth="1"/>
    <col min="2" max="2" width="1.8984375" style="28" customWidth="1"/>
    <col min="3" max="3" width="42.59765625" style="62" bestFit="1" customWidth="1"/>
    <col min="4" max="16384" width="13" style="62"/>
  </cols>
  <sheetData>
    <row r="1" spans="1:3" ht="24" thickTop="1" thickBot="1" x14ac:dyDescent="0.35">
      <c r="A1" s="105" t="s">
        <v>161</v>
      </c>
      <c r="B1" s="62"/>
      <c r="C1" s="105" t="s">
        <v>103</v>
      </c>
    </row>
    <row r="2" spans="1:3" x14ac:dyDescent="0.3">
      <c r="A2" s="106" t="s">
        <v>333</v>
      </c>
      <c r="B2" s="62"/>
      <c r="C2" s="107" t="s">
        <v>291</v>
      </c>
    </row>
    <row r="3" spans="1:3" x14ac:dyDescent="0.3">
      <c r="A3" s="397" t="s">
        <v>342</v>
      </c>
      <c r="B3" s="62"/>
      <c r="C3" s="107" t="s">
        <v>290</v>
      </c>
    </row>
    <row r="4" spans="1:3" x14ac:dyDescent="0.3">
      <c r="A4" s="107" t="s">
        <v>343</v>
      </c>
      <c r="B4" s="62"/>
      <c r="C4" s="107" t="s">
        <v>471</v>
      </c>
    </row>
    <row r="5" spans="1:3" x14ac:dyDescent="0.3">
      <c r="A5" s="106" t="s">
        <v>330</v>
      </c>
      <c r="B5" s="62"/>
      <c r="C5" s="107" t="s">
        <v>668</v>
      </c>
    </row>
    <row r="6" spans="1:3" x14ac:dyDescent="0.3">
      <c r="A6" s="106" t="s">
        <v>923</v>
      </c>
      <c r="B6" s="62"/>
      <c r="C6" s="107" t="s">
        <v>1267</v>
      </c>
    </row>
    <row r="7" spans="1:3" x14ac:dyDescent="0.3">
      <c r="A7" s="106" t="s">
        <v>815</v>
      </c>
      <c r="B7" s="62"/>
      <c r="C7" s="107" t="s">
        <v>375</v>
      </c>
    </row>
    <row r="8" spans="1:3" x14ac:dyDescent="0.3">
      <c r="A8" s="675" t="s">
        <v>922</v>
      </c>
      <c r="B8" s="62"/>
      <c r="C8" s="107" t="s">
        <v>374</v>
      </c>
    </row>
    <row r="9" spans="1:3" ht="17.399999999999999" thickBot="1" x14ac:dyDescent="0.35">
      <c r="A9" s="676" t="s">
        <v>1268</v>
      </c>
      <c r="B9" s="62"/>
      <c r="C9" s="107" t="s">
        <v>274</v>
      </c>
    </row>
    <row r="10" spans="1:3" ht="18" thickTop="1" thickBot="1" x14ac:dyDescent="0.35">
      <c r="B10" s="62"/>
      <c r="C10" s="107" t="s">
        <v>249</v>
      </c>
    </row>
    <row r="11" spans="1:3" ht="24" thickTop="1" thickBot="1" x14ac:dyDescent="0.35">
      <c r="A11" s="353" t="s">
        <v>105</v>
      </c>
      <c r="B11" s="62"/>
      <c r="C11" s="107" t="s">
        <v>396</v>
      </c>
    </row>
    <row r="12" spans="1:3" x14ac:dyDescent="0.3">
      <c r="A12" s="112" t="s">
        <v>106</v>
      </c>
      <c r="C12" s="107" t="s">
        <v>924</v>
      </c>
    </row>
    <row r="13" spans="1:3" ht="17.399999999999999" thickBot="1" x14ac:dyDescent="0.35">
      <c r="A13" s="18" t="s">
        <v>266</v>
      </c>
      <c r="C13" s="352" t="s">
        <v>690</v>
      </c>
    </row>
    <row r="14" spans="1:3" ht="18" thickTop="1" thickBot="1" x14ac:dyDescent="0.35">
      <c r="A14" s="113" t="s">
        <v>265</v>
      </c>
    </row>
    <row r="15" spans="1:3" ht="21.6" thickTop="1" thickBot="1" x14ac:dyDescent="0.35">
      <c r="C15" s="108" t="s">
        <v>251</v>
      </c>
    </row>
    <row r="16" spans="1:3" ht="24" thickTop="1" thickBot="1" x14ac:dyDescent="0.35">
      <c r="A16" s="354" t="s">
        <v>78</v>
      </c>
      <c r="C16" s="109" t="s">
        <v>275</v>
      </c>
    </row>
    <row r="17" spans="1:3" ht="17.399999999999999" thickBot="1" x14ac:dyDescent="0.35">
      <c r="A17" s="114" t="s">
        <v>367</v>
      </c>
      <c r="C17" s="110" t="s">
        <v>276</v>
      </c>
    </row>
    <row r="18" spans="1:3" ht="17.399999999999999" thickTop="1" x14ac:dyDescent="0.3">
      <c r="C18" s="109" t="s">
        <v>277</v>
      </c>
    </row>
    <row r="19" spans="1:3" x14ac:dyDescent="0.3">
      <c r="C19" s="110" t="s">
        <v>278</v>
      </c>
    </row>
    <row r="20" spans="1:3" x14ac:dyDescent="0.3">
      <c r="C20" s="109" t="s">
        <v>279</v>
      </c>
    </row>
    <row r="21" spans="1:3" ht="17.399999999999999" thickBot="1" x14ac:dyDescent="0.35">
      <c r="C21" s="111" t="s">
        <v>280</v>
      </c>
    </row>
    <row r="22" spans="1:3" ht="17.399999999999999" thickTop="1" x14ac:dyDescent="0.3"/>
  </sheetData>
  <sortState xmlns:xlrd2="http://schemas.microsoft.com/office/spreadsheetml/2017/richdata2"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6"/>
  <sheetViews>
    <sheetView showGridLines="0" workbookViewId="0"/>
  </sheetViews>
  <sheetFormatPr defaultColWidth="13" defaultRowHeight="15.6" x14ac:dyDescent="0.3"/>
  <cols>
    <col min="1" max="1" width="46.59765625" style="116" bestFit="1" customWidth="1"/>
    <col min="2" max="2" width="8.5" style="116" bestFit="1" customWidth="1"/>
    <col min="3" max="3" width="20.296875" style="116" bestFit="1" customWidth="1"/>
    <col min="4" max="4" width="6.296875" style="116" bestFit="1" customWidth="1"/>
    <col min="5" max="5" width="8.5" style="116" bestFit="1" customWidth="1"/>
    <col min="6" max="6" width="8.3984375" style="116" bestFit="1" customWidth="1"/>
    <col min="7" max="7" width="6.09765625" style="116" bestFit="1" customWidth="1"/>
    <col min="8" max="8" width="8.796875" style="116" bestFit="1" customWidth="1"/>
    <col min="9" max="9" width="6" style="116" customWidth="1"/>
    <col min="10" max="10" width="6.296875" style="116" bestFit="1" customWidth="1"/>
    <col min="11" max="11" width="20.5" style="116" bestFit="1" customWidth="1"/>
    <col min="12" max="12" width="1.3984375" style="25" customWidth="1"/>
    <col min="13" max="13" width="7.09765625" style="25" bestFit="1" customWidth="1"/>
    <col min="14" max="16384" width="13" style="25"/>
  </cols>
  <sheetData>
    <row r="1" spans="1:13" ht="23.4" thickBot="1" x14ac:dyDescent="0.35">
      <c r="A1" s="104" t="s">
        <v>15</v>
      </c>
      <c r="B1" s="104"/>
      <c r="C1" s="104"/>
      <c r="D1" s="104"/>
      <c r="E1" s="104"/>
      <c r="F1" s="104"/>
      <c r="G1" s="104"/>
      <c r="H1" s="104"/>
      <c r="I1" s="104"/>
      <c r="J1" s="104"/>
      <c r="K1" s="104"/>
    </row>
    <row r="2" spans="1:13" ht="16.8" thickTop="1" thickBot="1" x14ac:dyDescent="0.35">
      <c r="A2" s="150" t="s">
        <v>1</v>
      </c>
      <c r="B2" s="151" t="s">
        <v>2</v>
      </c>
      <c r="C2" s="151" t="s">
        <v>19</v>
      </c>
      <c r="D2" s="151" t="s">
        <v>20</v>
      </c>
      <c r="E2" s="152" t="s">
        <v>58</v>
      </c>
      <c r="F2" s="151" t="s">
        <v>16</v>
      </c>
      <c r="G2" s="151" t="s">
        <v>21</v>
      </c>
      <c r="H2" s="153" t="s">
        <v>107</v>
      </c>
      <c r="I2" s="154" t="s">
        <v>162</v>
      </c>
      <c r="J2" s="153" t="s">
        <v>87</v>
      </c>
      <c r="K2" s="155" t="s">
        <v>85</v>
      </c>
      <c r="L2" s="237"/>
      <c r="M2" s="185" t="s">
        <v>297</v>
      </c>
    </row>
    <row r="3" spans="1:13" x14ac:dyDescent="0.3">
      <c r="A3" s="356" t="s">
        <v>1239</v>
      </c>
      <c r="B3" s="245" t="s">
        <v>1240</v>
      </c>
      <c r="C3" s="245" t="str">
        <f>CONCATENATE('Personal File'!$C$11,"+2 +1 electric +1 fire")</f>
        <v>+2+2 +1 electric +1 fire</v>
      </c>
      <c r="D3" s="245">
        <v>2</v>
      </c>
      <c r="E3" s="357" t="s">
        <v>321</v>
      </c>
      <c r="F3" s="245" t="s">
        <v>299</v>
      </c>
      <c r="G3" s="324">
        <v>4</v>
      </c>
      <c r="H3" s="245" t="str">
        <f>CONCATENATE("+",'Personal File'!$B$9+'Personal File'!$C$11+D3)</f>
        <v>+15</v>
      </c>
      <c r="I3" s="325">
        <f t="shared" ref="I3:I16" ca="1" si="0">RANDBETWEEN(1,20)</f>
        <v>7</v>
      </c>
      <c r="J3" s="326">
        <f t="shared" ref="J3:J16" ca="1" si="1">I3+H3</f>
        <v>22</v>
      </c>
      <c r="K3" s="327"/>
      <c r="M3" s="330">
        <v>26115</v>
      </c>
    </row>
    <row r="4" spans="1:13" x14ac:dyDescent="0.3">
      <c r="A4" s="358" t="s">
        <v>692</v>
      </c>
      <c r="B4" s="346" t="s">
        <v>1240</v>
      </c>
      <c r="C4" s="346" t="str">
        <f>CONCATENATE('Personal File'!$C$11,"+2 +1 electric +1 fire")</f>
        <v>+2+2 +1 electric +1 fire</v>
      </c>
      <c r="D4" s="346">
        <v>2</v>
      </c>
      <c r="E4" s="359" t="s">
        <v>321</v>
      </c>
      <c r="F4" s="346" t="s">
        <v>299</v>
      </c>
      <c r="G4" s="347" t="s">
        <v>324</v>
      </c>
      <c r="H4" s="346" t="str">
        <f>CONCATENATE("+",'Personal File'!$B$9+'Personal File'!$C$11+D4-5)</f>
        <v>+10</v>
      </c>
      <c r="I4" s="348">
        <f t="shared" ca="1" si="0"/>
        <v>13</v>
      </c>
      <c r="J4" s="349">
        <f t="shared" ca="1" si="1"/>
        <v>23</v>
      </c>
      <c r="K4" s="350"/>
      <c r="M4" s="345" t="s">
        <v>324</v>
      </c>
    </row>
    <row r="5" spans="1:13" x14ac:dyDescent="0.3">
      <c r="A5" s="358" t="s">
        <v>1277</v>
      </c>
      <c r="B5" s="346" t="s">
        <v>1240</v>
      </c>
      <c r="C5" s="346" t="str">
        <f>CONCATENATE('Personal File'!$C$11,"+2 +1 electric +1 fire")</f>
        <v>+2+2 +1 electric +1 fire</v>
      </c>
      <c r="D5" s="346">
        <v>2</v>
      </c>
      <c r="E5" s="359" t="s">
        <v>321</v>
      </c>
      <c r="F5" s="346" t="s">
        <v>299</v>
      </c>
      <c r="G5" s="347" t="s">
        <v>324</v>
      </c>
      <c r="H5" s="346" t="str">
        <f>CONCATENATE("+",'Personal File'!$B$9+'Personal File'!$C$11+D5-10)</f>
        <v>+5</v>
      </c>
      <c r="I5" s="348">
        <f t="shared" ca="1" si="0"/>
        <v>17</v>
      </c>
      <c r="J5" s="349">
        <f t="shared" ref="J5" ca="1" si="2">I5+H5</f>
        <v>22</v>
      </c>
      <c r="K5" s="350"/>
      <c r="M5" s="345"/>
    </row>
    <row r="6" spans="1:13" x14ac:dyDescent="0.3">
      <c r="A6" s="358" t="s">
        <v>791</v>
      </c>
      <c r="B6" s="346" t="s">
        <v>1240</v>
      </c>
      <c r="C6" s="346" t="str">
        <f>CONCATENATE('Personal File'!$C$11,"+2 +1 electric +1 fire")</f>
        <v>+2+2 +1 electric +1 fire</v>
      </c>
      <c r="D6" s="346">
        <v>2</v>
      </c>
      <c r="E6" s="359" t="s">
        <v>321</v>
      </c>
      <c r="F6" s="346" t="s">
        <v>299</v>
      </c>
      <c r="G6" s="347" t="s">
        <v>324</v>
      </c>
      <c r="H6" s="346" t="str">
        <f>CONCATENATE("+",'Personal File'!$B$9+'Personal File'!$C$11+D6)</f>
        <v>+15</v>
      </c>
      <c r="I6" s="348">
        <f t="shared" ca="1" si="0"/>
        <v>10</v>
      </c>
      <c r="J6" s="349">
        <f t="shared" ref="J6" ca="1" si="3">I6+H6</f>
        <v>25</v>
      </c>
      <c r="K6" s="350"/>
      <c r="M6" s="345" t="s">
        <v>324</v>
      </c>
    </row>
    <row r="7" spans="1:13" x14ac:dyDescent="0.3">
      <c r="A7" s="242" t="s">
        <v>307</v>
      </c>
      <c r="B7" s="243" t="s">
        <v>324</v>
      </c>
      <c r="C7" s="243" t="s">
        <v>324</v>
      </c>
      <c r="D7" s="243" t="s">
        <v>324</v>
      </c>
      <c r="E7" s="244" t="s">
        <v>324</v>
      </c>
      <c r="F7" s="243" t="s">
        <v>324</v>
      </c>
      <c r="G7" s="246" t="s">
        <v>324</v>
      </c>
      <c r="H7" s="243" t="s">
        <v>324</v>
      </c>
      <c r="I7" s="328" t="s">
        <v>324</v>
      </c>
      <c r="J7" s="329" t="s">
        <v>324</v>
      </c>
      <c r="K7" s="255"/>
      <c r="M7" s="351">
        <v>1000</v>
      </c>
    </row>
    <row r="8" spans="1:13" x14ac:dyDescent="0.3">
      <c r="A8" s="125" t="s">
        <v>300</v>
      </c>
      <c r="B8" s="195" t="s">
        <v>328</v>
      </c>
      <c r="C8" s="195" t="str">
        <f>'Personal File'!$C$11</f>
        <v>+2</v>
      </c>
      <c r="D8" s="195">
        <v>1</v>
      </c>
      <c r="E8" s="196" t="s">
        <v>326</v>
      </c>
      <c r="F8" s="195" t="s">
        <v>327</v>
      </c>
      <c r="G8" s="191" t="s">
        <v>359</v>
      </c>
      <c r="H8" s="195" t="str">
        <f>CONCATENATE("+",'Personal File'!$B$9+'Personal File'!$C$11+D8-4)</f>
        <v>+10</v>
      </c>
      <c r="I8" s="236">
        <f t="shared" ca="1" si="0"/>
        <v>2</v>
      </c>
      <c r="J8" s="197">
        <f t="shared" ca="1" si="1"/>
        <v>12</v>
      </c>
      <c r="K8" s="256"/>
      <c r="M8" s="248" t="s">
        <v>339</v>
      </c>
    </row>
    <row r="9" spans="1:13" x14ac:dyDescent="0.3">
      <c r="A9" s="130" t="s">
        <v>1248</v>
      </c>
      <c r="B9" s="332" t="s">
        <v>1251</v>
      </c>
      <c r="C9" s="332" t="str">
        <f>'Personal File'!$C$11</f>
        <v>+2</v>
      </c>
      <c r="D9" s="332">
        <v>1</v>
      </c>
      <c r="E9" s="333" t="s">
        <v>321</v>
      </c>
      <c r="F9" s="332" t="s">
        <v>325</v>
      </c>
      <c r="G9" s="334">
        <v>1</v>
      </c>
      <c r="H9" s="332" t="str">
        <f>CONCATENATE("+",'Personal File'!$B$9+'Personal File'!$C$11+D9)</f>
        <v>+14</v>
      </c>
      <c r="I9" s="336">
        <f t="shared" ca="1" si="0"/>
        <v>16</v>
      </c>
      <c r="J9" s="337">
        <f t="shared" ca="1" si="1"/>
        <v>30</v>
      </c>
      <c r="K9" s="335"/>
      <c r="L9" s="237"/>
      <c r="M9" s="249">
        <v>4000</v>
      </c>
    </row>
    <row r="10" spans="1:13" x14ac:dyDescent="0.3">
      <c r="A10" s="385" t="s">
        <v>1249</v>
      </c>
      <c r="B10" s="346" t="s">
        <v>1251</v>
      </c>
      <c r="C10" s="386" t="str">
        <f>'Personal File'!$C$11</f>
        <v>+2</v>
      </c>
      <c r="D10" s="387">
        <v>1</v>
      </c>
      <c r="E10" s="387" t="s">
        <v>372</v>
      </c>
      <c r="F10" s="346" t="s">
        <v>325</v>
      </c>
      <c r="G10" s="347" t="s">
        <v>324</v>
      </c>
      <c r="H10" s="346" t="str">
        <f>CONCATENATE("+",'Personal File'!$B$9+'Personal File'!$C$11+D10-5)</f>
        <v>+9</v>
      </c>
      <c r="I10" s="348">
        <f t="shared" ca="1" si="0"/>
        <v>2</v>
      </c>
      <c r="J10" s="349">
        <f t="shared" ca="1" si="1"/>
        <v>11</v>
      </c>
      <c r="K10" s="350"/>
      <c r="L10" s="237"/>
      <c r="M10" s="331" t="s">
        <v>324</v>
      </c>
    </row>
    <row r="11" spans="1:13" x14ac:dyDescent="0.3">
      <c r="A11" s="385" t="s">
        <v>1250</v>
      </c>
      <c r="B11" s="346" t="s">
        <v>1251</v>
      </c>
      <c r="C11" s="386" t="str">
        <f>'Personal File'!$C$11</f>
        <v>+2</v>
      </c>
      <c r="D11" s="387">
        <v>1</v>
      </c>
      <c r="E11" s="387" t="s">
        <v>372</v>
      </c>
      <c r="F11" s="346" t="s">
        <v>325</v>
      </c>
      <c r="G11" s="347" t="s">
        <v>324</v>
      </c>
      <c r="H11" s="346" t="str">
        <f>CONCATENATE("+",'Personal File'!$B$9+'Personal File'!$C$11+D11)</f>
        <v>+14</v>
      </c>
      <c r="I11" s="348">
        <f t="shared" ca="1" si="0"/>
        <v>1</v>
      </c>
      <c r="J11" s="349">
        <f t="shared" ca="1" si="1"/>
        <v>15</v>
      </c>
      <c r="K11" s="350"/>
      <c r="L11" s="237"/>
      <c r="M11" s="331"/>
    </row>
    <row r="12" spans="1:13" x14ac:dyDescent="0.3">
      <c r="A12" s="507" t="s">
        <v>1252</v>
      </c>
      <c r="B12" s="508" t="s">
        <v>328</v>
      </c>
      <c r="C12" s="509" t="s">
        <v>1253</v>
      </c>
      <c r="D12" s="510" t="s">
        <v>1254</v>
      </c>
      <c r="E12" s="511" t="s">
        <v>324</v>
      </c>
      <c r="F12" s="511" t="s">
        <v>324</v>
      </c>
      <c r="G12" s="512"/>
      <c r="H12" s="512" t="s">
        <v>324</v>
      </c>
      <c r="I12" s="512"/>
      <c r="J12" s="512" t="s">
        <v>324</v>
      </c>
      <c r="K12" s="513" t="s">
        <v>1255</v>
      </c>
      <c r="L12" s="237"/>
      <c r="M12" s="514">
        <v>10000</v>
      </c>
    </row>
    <row r="13" spans="1:13" x14ac:dyDescent="0.3">
      <c r="A13" s="288" t="s">
        <v>668</v>
      </c>
      <c r="B13" s="289" t="s">
        <v>324</v>
      </c>
      <c r="C13" s="289" t="s">
        <v>324</v>
      </c>
      <c r="D13" s="289">
        <v>4</v>
      </c>
      <c r="E13" s="290" t="s">
        <v>324</v>
      </c>
      <c r="F13" s="289" t="s">
        <v>324</v>
      </c>
      <c r="G13" s="289" t="s">
        <v>324</v>
      </c>
      <c r="H13" s="289" t="str">
        <f>CONCATENATE("+",Spells!$K$18+D13)</f>
        <v>+18</v>
      </c>
      <c r="I13" s="328">
        <f t="shared" ca="1" si="0"/>
        <v>19</v>
      </c>
      <c r="J13" s="388">
        <f t="shared" ca="1" si="1"/>
        <v>37</v>
      </c>
      <c r="K13" s="291" t="s">
        <v>669</v>
      </c>
      <c r="M13" s="287" t="s">
        <v>324</v>
      </c>
    </row>
    <row r="14" spans="1:13" x14ac:dyDescent="0.3">
      <c r="A14" s="304" t="s">
        <v>336</v>
      </c>
      <c r="B14" s="306" t="s">
        <v>337</v>
      </c>
      <c r="C14" s="389" t="str">
        <f>'Personal File'!$C$11</f>
        <v>+2</v>
      </c>
      <c r="D14" s="308" t="s">
        <v>56</v>
      </c>
      <c r="E14" s="308" t="s">
        <v>326</v>
      </c>
      <c r="F14" s="190" t="s">
        <v>338</v>
      </c>
      <c r="G14" s="310">
        <v>0</v>
      </c>
      <c r="H14" s="312" t="str">
        <f>CONCATENATE("+",'Personal File'!$B$9+'Personal File'!$C$11+D14)</f>
        <v>+13</v>
      </c>
      <c r="I14" s="236">
        <f t="shared" ca="1" si="0"/>
        <v>14</v>
      </c>
      <c r="J14" s="313">
        <f t="shared" ca="1" si="1"/>
        <v>27</v>
      </c>
      <c r="K14" s="315"/>
      <c r="M14" s="248" t="s">
        <v>324</v>
      </c>
    </row>
    <row r="15" spans="1:13" x14ac:dyDescent="0.3">
      <c r="A15" s="304" t="s">
        <v>792</v>
      </c>
      <c r="B15" s="306" t="s">
        <v>337</v>
      </c>
      <c r="C15" s="386" t="str">
        <f>'Personal File'!$C$11</f>
        <v>+2</v>
      </c>
      <c r="D15" s="308" t="s">
        <v>56</v>
      </c>
      <c r="E15" s="308" t="s">
        <v>326</v>
      </c>
      <c r="F15" s="190" t="s">
        <v>338</v>
      </c>
      <c r="G15" s="246" t="s">
        <v>324</v>
      </c>
      <c r="H15" s="346" t="str">
        <f>CONCATENATE("+",'Personal File'!$B$9+'Personal File'!$C$11+D15-5)</f>
        <v>+8</v>
      </c>
      <c r="I15" s="348">
        <f t="shared" ca="1" si="0"/>
        <v>1</v>
      </c>
      <c r="J15" s="349">
        <f t="shared" ref="J15" ca="1" si="4">I15+H15</f>
        <v>9</v>
      </c>
      <c r="K15" s="315"/>
      <c r="M15" s="248" t="s">
        <v>324</v>
      </c>
    </row>
    <row r="16" spans="1:13" ht="16.2" thickBot="1" x14ac:dyDescent="0.35">
      <c r="A16" s="305" t="s">
        <v>370</v>
      </c>
      <c r="B16" s="307" t="s">
        <v>371</v>
      </c>
      <c r="C16" s="307">
        <f>ROUNDDOWN(SUM('Personal File'!$E$3:$E$5)/3,0)</f>
        <v>5</v>
      </c>
      <c r="D16" s="307">
        <v>0</v>
      </c>
      <c r="E16" s="309" t="s">
        <v>372</v>
      </c>
      <c r="F16" s="307" t="s">
        <v>299</v>
      </c>
      <c r="G16" s="311" t="s">
        <v>324</v>
      </c>
      <c r="H16" s="307" t="str">
        <f>CONCATENATE("+",'Personal File'!$B$9+'Personal File'!$C$15+D16)</f>
        <v>+14</v>
      </c>
      <c r="I16" s="172">
        <f t="shared" ca="1" si="0"/>
        <v>5</v>
      </c>
      <c r="J16" s="314">
        <f t="shared" ca="1" si="1"/>
        <v>19</v>
      </c>
      <c r="K16" s="316"/>
      <c r="M16" s="317" t="s">
        <v>324</v>
      </c>
    </row>
    <row r="17" spans="1:13" ht="6" customHeight="1" thickTop="1" thickBot="1" x14ac:dyDescent="0.35"/>
    <row r="18" spans="1:13" ht="16.8" thickTop="1" thickBot="1" x14ac:dyDescent="0.35">
      <c r="A18" s="150" t="s">
        <v>4</v>
      </c>
      <c r="B18" s="151" t="s">
        <v>5</v>
      </c>
      <c r="C18" s="151" t="s">
        <v>19</v>
      </c>
      <c r="D18" s="151" t="s">
        <v>20</v>
      </c>
      <c r="E18" s="152" t="s">
        <v>58</v>
      </c>
      <c r="F18" s="151" t="s">
        <v>6</v>
      </c>
      <c r="G18" s="151" t="s">
        <v>21</v>
      </c>
      <c r="H18" s="153" t="s">
        <v>107</v>
      </c>
      <c r="I18" s="154" t="s">
        <v>162</v>
      </c>
      <c r="J18" s="153" t="s">
        <v>87</v>
      </c>
      <c r="K18" s="155" t="s">
        <v>85</v>
      </c>
      <c r="L18" s="237"/>
      <c r="M18" s="185" t="s">
        <v>297</v>
      </c>
    </row>
    <row r="19" spans="1:13" x14ac:dyDescent="0.3">
      <c r="A19" s="283" t="s">
        <v>664</v>
      </c>
      <c r="B19" s="284" t="s">
        <v>324</v>
      </c>
      <c r="C19" s="284" t="s">
        <v>324</v>
      </c>
      <c r="D19" s="284">
        <v>0</v>
      </c>
      <c r="E19" s="285" t="s">
        <v>324</v>
      </c>
      <c r="F19" s="284" t="s">
        <v>324</v>
      </c>
      <c r="G19" s="284" t="s">
        <v>324</v>
      </c>
      <c r="H19" s="284" t="str">
        <f>CONCATENATE("+",Spells!$K$18+D19)</f>
        <v>+14</v>
      </c>
      <c r="I19" s="236">
        <f ca="1">RANDBETWEEN(1,20)</f>
        <v>19</v>
      </c>
      <c r="J19" s="293">
        <f ca="1">I19+H19</f>
        <v>33</v>
      </c>
      <c r="K19" s="286"/>
      <c r="M19" s="287" t="s">
        <v>324</v>
      </c>
    </row>
    <row r="20" spans="1:13" x14ac:dyDescent="0.3">
      <c r="A20" s="288" t="s">
        <v>130</v>
      </c>
      <c r="B20" s="289" t="s">
        <v>324</v>
      </c>
      <c r="C20" s="289" t="s">
        <v>324</v>
      </c>
      <c r="D20" s="289">
        <v>4</v>
      </c>
      <c r="E20" s="290" t="s">
        <v>324</v>
      </c>
      <c r="F20" s="289" t="s">
        <v>324</v>
      </c>
      <c r="G20" s="289" t="s">
        <v>324</v>
      </c>
      <c r="H20" s="292" t="str">
        <f>CONCATENATE("+",Spells!$K$18+D20)</f>
        <v>+18</v>
      </c>
      <c r="I20" s="236">
        <f ca="1">RANDBETWEEN(1,20)</f>
        <v>12</v>
      </c>
      <c r="J20" s="293">
        <f ca="1">I20+H20</f>
        <v>30</v>
      </c>
      <c r="K20" s="291"/>
      <c r="M20" s="287" t="s">
        <v>324</v>
      </c>
    </row>
    <row r="21" spans="1:13" x14ac:dyDescent="0.3">
      <c r="A21" s="294" t="s">
        <v>296</v>
      </c>
      <c r="B21" s="188" t="s">
        <v>298</v>
      </c>
      <c r="C21" s="297" t="s">
        <v>56</v>
      </c>
      <c r="D21" s="297" t="s">
        <v>56</v>
      </c>
      <c r="E21" s="188" t="s">
        <v>321</v>
      </c>
      <c r="F21" s="297" t="s">
        <v>344</v>
      </c>
      <c r="G21" s="299">
        <v>4</v>
      </c>
      <c r="H21" s="191" t="str">
        <f>CONCATENATE("+",'Personal File'!$B$9+'Personal File'!$C$12+D21)</f>
        <v>+11</v>
      </c>
      <c r="I21" s="236">
        <f ca="1">RANDBETWEEN(1,20)</f>
        <v>1</v>
      </c>
      <c r="J21" s="197">
        <f ca="1">I21+H21</f>
        <v>12</v>
      </c>
      <c r="K21" s="301"/>
      <c r="M21" s="247">
        <v>35</v>
      </c>
    </row>
    <row r="22" spans="1:13" ht="16.2" thickBot="1" x14ac:dyDescent="0.35">
      <c r="A22" s="295" t="s">
        <v>665</v>
      </c>
      <c r="B22" s="296" t="s">
        <v>324</v>
      </c>
      <c r="C22" s="296" t="s">
        <v>324</v>
      </c>
      <c r="D22" s="296">
        <v>0</v>
      </c>
      <c r="E22" s="298" t="s">
        <v>324</v>
      </c>
      <c r="F22" s="296" t="s">
        <v>324</v>
      </c>
      <c r="G22" s="296" t="s">
        <v>324</v>
      </c>
      <c r="H22" s="296" t="str">
        <f>CONCATENATE("+",'Personal File'!$B$9+'Personal File'!$C$12+D22)</f>
        <v>+11</v>
      </c>
      <c r="I22" s="282">
        <f ca="1">RANDBETWEEN(1,20)</f>
        <v>10</v>
      </c>
      <c r="J22" s="300">
        <f ca="1">I22+H22</f>
        <v>21</v>
      </c>
      <c r="K22" s="302"/>
      <c r="M22" s="303" t="s">
        <v>324</v>
      </c>
    </row>
    <row r="23" spans="1:13" ht="6" customHeight="1" thickTop="1" thickBot="1" x14ac:dyDescent="0.35">
      <c r="D23" s="156"/>
      <c r="E23" s="156"/>
      <c r="G23" s="148"/>
      <c r="H23" s="148"/>
      <c r="I23" s="148"/>
      <c r="J23" s="148"/>
    </row>
    <row r="24" spans="1:13" ht="16.8" thickTop="1" thickBot="1" x14ac:dyDescent="0.35">
      <c r="A24" s="150" t="s">
        <v>63</v>
      </c>
      <c r="B24" s="151" t="s">
        <v>9</v>
      </c>
      <c r="C24" s="151" t="s">
        <v>28</v>
      </c>
      <c r="D24" s="151" t="s">
        <v>87</v>
      </c>
      <c r="E24" s="151" t="s">
        <v>88</v>
      </c>
      <c r="F24" s="151" t="s">
        <v>89</v>
      </c>
      <c r="G24" s="151" t="s">
        <v>21</v>
      </c>
      <c r="H24" s="157" t="s">
        <v>85</v>
      </c>
      <c r="I24" s="158"/>
      <c r="J24" s="158"/>
      <c r="K24" s="159"/>
      <c r="L24" s="237"/>
      <c r="M24" s="185" t="s">
        <v>297</v>
      </c>
    </row>
    <row r="25" spans="1:13" x14ac:dyDescent="0.3">
      <c r="A25" s="121" t="s">
        <v>1241</v>
      </c>
      <c r="B25" s="175">
        <f>8+2</f>
        <v>10</v>
      </c>
      <c r="C25" s="174">
        <v>1</v>
      </c>
      <c r="D25" s="175">
        <v>6</v>
      </c>
      <c r="E25" s="176">
        <v>0.35</v>
      </c>
      <c r="F25" s="174" t="s">
        <v>322</v>
      </c>
      <c r="G25" s="177">
        <v>50</v>
      </c>
      <c r="H25" s="178" t="s">
        <v>323</v>
      </c>
      <c r="I25" s="160"/>
      <c r="J25" s="160"/>
      <c r="K25" s="161"/>
      <c r="M25" s="247">
        <v>7300</v>
      </c>
    </row>
    <row r="26" spans="1:13" x14ac:dyDescent="0.3">
      <c r="A26" s="194" t="s">
        <v>1242</v>
      </c>
      <c r="B26" s="318">
        <f>2+2</f>
        <v>4</v>
      </c>
      <c r="C26" s="318" t="s">
        <v>324</v>
      </c>
      <c r="D26" s="195">
        <v>2</v>
      </c>
      <c r="E26" s="320">
        <v>0.15</v>
      </c>
      <c r="F26" s="195" t="s">
        <v>324</v>
      </c>
      <c r="G26" s="191">
        <v>20</v>
      </c>
      <c r="H26" s="189" t="s">
        <v>329</v>
      </c>
      <c r="I26" s="187"/>
      <c r="J26" s="187"/>
      <c r="K26" s="322"/>
      <c r="M26" s="249">
        <v>4380</v>
      </c>
    </row>
    <row r="27" spans="1:13" x14ac:dyDescent="0.3">
      <c r="A27" s="263" t="s">
        <v>1247</v>
      </c>
      <c r="B27" s="504">
        <v>5</v>
      </c>
      <c r="C27" s="504" t="s">
        <v>324</v>
      </c>
      <c r="D27" s="332" t="s">
        <v>324</v>
      </c>
      <c r="E27" s="505" t="s">
        <v>324</v>
      </c>
      <c r="F27" s="332" t="s">
        <v>324</v>
      </c>
      <c r="G27" s="334">
        <v>0</v>
      </c>
      <c r="H27" s="506"/>
      <c r="I27" s="187"/>
      <c r="J27" s="187"/>
      <c r="K27" s="322"/>
      <c r="M27" s="249">
        <v>25000</v>
      </c>
    </row>
    <row r="28" spans="1:13" ht="16.2" thickBot="1" x14ac:dyDescent="0.35">
      <c r="A28" s="136" t="s">
        <v>306</v>
      </c>
      <c r="B28" s="171" t="s">
        <v>324</v>
      </c>
      <c r="C28" s="319" t="s">
        <v>324</v>
      </c>
      <c r="D28" s="171" t="s">
        <v>324</v>
      </c>
      <c r="E28" s="321" t="s">
        <v>324</v>
      </c>
      <c r="F28" s="319" t="s">
        <v>324</v>
      </c>
      <c r="G28" s="173">
        <v>0</v>
      </c>
      <c r="H28" s="179"/>
      <c r="I28" s="162"/>
      <c r="J28" s="162"/>
      <c r="K28" s="323"/>
      <c r="M28" s="250">
        <v>500</v>
      </c>
    </row>
    <row r="29" spans="1:13" ht="6.75" customHeight="1" thickTop="1" thickBot="1" x14ac:dyDescent="0.35"/>
    <row r="30" spans="1:13" ht="16.8" thickTop="1" thickBot="1" x14ac:dyDescent="0.35">
      <c r="D30" s="163" t="s">
        <v>64</v>
      </c>
      <c r="E30" s="164"/>
      <c r="F30" s="157" t="s">
        <v>3</v>
      </c>
      <c r="G30" s="151" t="s">
        <v>21</v>
      </c>
      <c r="H30" s="153" t="s">
        <v>107</v>
      </c>
      <c r="I30" s="157" t="s">
        <v>85</v>
      </c>
      <c r="J30" s="158"/>
      <c r="K30" s="159"/>
      <c r="M30" s="185" t="s">
        <v>297</v>
      </c>
    </row>
    <row r="31" spans="1:13" ht="16.2" thickBot="1" x14ac:dyDescent="0.35">
      <c r="D31" s="165" t="s">
        <v>294</v>
      </c>
      <c r="E31" s="180"/>
      <c r="F31" s="181">
        <v>40</v>
      </c>
      <c r="G31" s="182">
        <f>F31/10</f>
        <v>4</v>
      </c>
      <c r="H31" s="183" t="s">
        <v>295</v>
      </c>
      <c r="I31" s="184"/>
      <c r="J31" s="166"/>
      <c r="K31" s="167"/>
      <c r="M31" s="250"/>
    </row>
    <row r="32" spans="1:13" ht="16.8" thickTop="1" thickBot="1" x14ac:dyDescent="0.35"/>
    <row r="33" spans="4:13" ht="16.8" thickTop="1" thickBot="1" x14ac:dyDescent="0.35">
      <c r="D33" s="163" t="s">
        <v>788</v>
      </c>
      <c r="E33" s="158"/>
      <c r="F33" s="158"/>
      <c r="G33" s="158"/>
      <c r="H33" s="370" t="s">
        <v>3</v>
      </c>
      <c r="I33" s="370" t="s">
        <v>0</v>
      </c>
      <c r="J33" s="370" t="s">
        <v>789</v>
      </c>
      <c r="K33" s="159" t="s">
        <v>85</v>
      </c>
      <c r="L33" s="237"/>
      <c r="M33" s="371" t="s">
        <v>297</v>
      </c>
    </row>
    <row r="34" spans="4:13" x14ac:dyDescent="0.3">
      <c r="D34" s="373" t="s">
        <v>790</v>
      </c>
      <c r="E34" s="374"/>
      <c r="F34" s="374"/>
      <c r="G34" s="375"/>
      <c r="H34" s="376">
        <v>4</v>
      </c>
      <c r="I34" s="195">
        <v>3</v>
      </c>
      <c r="J34" s="195">
        <v>10</v>
      </c>
      <c r="K34" s="377"/>
      <c r="L34" s="237"/>
      <c r="M34" s="372">
        <f t="shared" ref="M34" si="5">25*H34*I34*J34</f>
        <v>3000</v>
      </c>
    </row>
    <row r="35" spans="4:13" ht="16.2" thickBot="1" x14ac:dyDescent="0.35">
      <c r="D35" s="378"/>
      <c r="E35" s="379"/>
      <c r="F35" s="379"/>
      <c r="G35" s="380"/>
      <c r="H35" s="381"/>
      <c r="I35" s="382"/>
      <c r="J35" s="382"/>
      <c r="K35" s="383"/>
      <c r="L35" s="237"/>
      <c r="M35" s="384"/>
    </row>
    <row r="36" spans="4:13" ht="16.2" thickTop="1" x14ac:dyDescent="0.3"/>
  </sheetData>
  <sortState xmlns:xlrd2="http://schemas.microsoft.com/office/spreadsheetml/2017/richdata2" ref="A2:M9">
    <sortCondition ref="A3:A9"/>
  </sortState>
  <phoneticPr fontId="0" type="noConversion"/>
  <conditionalFormatting sqref="I19:I22 I14 I3:I4 I10:I11 I7:I8 I16">
    <cfRule type="cellIs" dxfId="12" priority="16" operator="equal">
      <formula>20</formula>
    </cfRule>
  </conditionalFormatting>
  <conditionalFormatting sqref="I3:I4 I16 I21 I10:I11 I7:I8">
    <cfRule type="cellIs" dxfId="11" priority="15" operator="equal">
      <formula>19</formula>
    </cfRule>
  </conditionalFormatting>
  <conditionalFormatting sqref="I9">
    <cfRule type="cellIs" dxfId="10" priority="13" operator="equal">
      <formula>20</formula>
    </cfRule>
  </conditionalFormatting>
  <conditionalFormatting sqref="I13">
    <cfRule type="cellIs" dxfId="9" priority="10" operator="equal">
      <formula>20</formula>
    </cfRule>
  </conditionalFormatting>
  <conditionalFormatting sqref="I6">
    <cfRule type="cellIs" dxfId="8" priority="9" operator="equal">
      <formula>20</formula>
    </cfRule>
  </conditionalFormatting>
  <conditionalFormatting sqref="I6">
    <cfRule type="cellIs" dxfId="7" priority="8" operator="equal">
      <formula>19</formula>
    </cfRule>
  </conditionalFormatting>
  <conditionalFormatting sqref="I15">
    <cfRule type="cellIs" dxfId="6" priority="6" operator="equal">
      <formula>20</formula>
    </cfRule>
  </conditionalFormatting>
  <conditionalFormatting sqref="I15">
    <cfRule type="cellIs" dxfId="5" priority="5" operator="equal">
      <formula>19</formula>
    </cfRule>
  </conditionalFormatting>
  <conditionalFormatting sqref="I12">
    <cfRule type="cellIs" dxfId="4" priority="3" operator="greaterThan">
      <formula>17</formula>
    </cfRule>
    <cfRule type="cellIs" dxfId="3" priority="4" operator="equal">
      <formula>1</formula>
    </cfRule>
  </conditionalFormatting>
  <conditionalFormatting sqref="I5">
    <cfRule type="cellIs" dxfId="2" priority="2" operator="equal">
      <formula>20</formula>
    </cfRule>
  </conditionalFormatting>
  <conditionalFormatting sqref="I5">
    <cfRule type="cellIs" dxfId="1" priority="1" operator="equal">
      <formula>19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6"/>
  <sheetViews>
    <sheetView showGridLines="0" workbookViewId="0"/>
  </sheetViews>
  <sheetFormatPr defaultColWidth="7.8984375" defaultRowHeight="15.6" x14ac:dyDescent="0.3"/>
  <cols>
    <col min="1" max="1" width="31.59765625" style="116" bestFit="1" customWidth="1"/>
    <col min="2" max="2" width="4.5" style="116" bestFit="1" customWidth="1"/>
    <col min="3" max="3" width="4.69921875" style="148" bestFit="1" customWidth="1"/>
    <col min="4" max="5" width="22.8984375" style="25" customWidth="1"/>
    <col min="6" max="6" width="1.19921875" style="116" customWidth="1"/>
    <col min="7" max="7" width="9" style="25" bestFit="1" customWidth="1"/>
    <col min="8" max="16384" width="7.8984375" style="25"/>
  </cols>
  <sheetData>
    <row r="1" spans="1:7" ht="23.4" thickBot="1" x14ac:dyDescent="0.35">
      <c r="A1" s="104" t="s">
        <v>82</v>
      </c>
      <c r="B1" s="104"/>
      <c r="C1" s="115"/>
      <c r="D1" s="104"/>
      <c r="E1" s="104"/>
    </row>
    <row r="2" spans="1:7" s="116" customFormat="1" ht="16.8" thickTop="1" thickBot="1" x14ac:dyDescent="0.35">
      <c r="A2" s="117" t="s">
        <v>83</v>
      </c>
      <c r="B2" s="117" t="s">
        <v>3</v>
      </c>
      <c r="C2" s="118" t="s">
        <v>21</v>
      </c>
      <c r="D2" s="119" t="s">
        <v>84</v>
      </c>
      <c r="E2" s="120" t="s">
        <v>85</v>
      </c>
      <c r="F2" s="124"/>
      <c r="G2" s="186" t="s">
        <v>297</v>
      </c>
    </row>
    <row r="3" spans="1:7" x14ac:dyDescent="0.3">
      <c r="A3" s="121" t="s">
        <v>304</v>
      </c>
      <c r="B3" s="143">
        <v>1</v>
      </c>
      <c r="C3" s="232">
        <v>0</v>
      </c>
      <c r="D3" s="122"/>
      <c r="E3" s="123"/>
      <c r="G3" s="201">
        <v>0</v>
      </c>
    </row>
    <row r="4" spans="1:7" x14ac:dyDescent="0.3">
      <c r="A4" s="125" t="s">
        <v>1244</v>
      </c>
      <c r="B4" s="126">
        <v>1</v>
      </c>
      <c r="C4" s="145">
        <v>1</v>
      </c>
      <c r="D4" s="128"/>
      <c r="E4" s="129"/>
      <c r="G4" s="201">
        <v>16000</v>
      </c>
    </row>
    <row r="5" spans="1:7" x14ac:dyDescent="0.3">
      <c r="A5" s="263" t="s">
        <v>366</v>
      </c>
      <c r="B5" s="131">
        <v>1</v>
      </c>
      <c r="C5" s="132">
        <v>0</v>
      </c>
      <c r="D5" s="133"/>
      <c r="E5" s="134"/>
      <c r="G5" s="201">
        <v>800</v>
      </c>
    </row>
    <row r="6" spans="1:7" x14ac:dyDescent="0.3">
      <c r="A6" s="263" t="s">
        <v>301</v>
      </c>
      <c r="B6" s="131">
        <v>1</v>
      </c>
      <c r="C6" s="132">
        <v>0.5</v>
      </c>
      <c r="D6" s="133"/>
      <c r="E6" s="134"/>
      <c r="G6" s="201">
        <v>750</v>
      </c>
    </row>
    <row r="7" spans="1:7" x14ac:dyDescent="0.3">
      <c r="A7" s="263" t="s">
        <v>1245</v>
      </c>
      <c r="B7" s="131">
        <v>1</v>
      </c>
      <c r="C7" s="132">
        <v>1</v>
      </c>
      <c r="D7" s="133"/>
      <c r="E7" s="134"/>
      <c r="G7" s="201">
        <v>5500</v>
      </c>
    </row>
    <row r="8" spans="1:7" x14ac:dyDescent="0.3">
      <c r="A8" s="263" t="s">
        <v>1246</v>
      </c>
      <c r="B8" s="131">
        <v>1</v>
      </c>
      <c r="C8" s="132">
        <v>0</v>
      </c>
      <c r="D8" s="133"/>
      <c r="E8" s="134"/>
      <c r="G8" s="201">
        <v>25000</v>
      </c>
    </row>
    <row r="9" spans="1:7" x14ac:dyDescent="0.3">
      <c r="A9" s="125" t="s">
        <v>662</v>
      </c>
      <c r="B9" s="131">
        <v>1</v>
      </c>
      <c r="C9" s="135">
        <v>0</v>
      </c>
      <c r="D9" s="133"/>
      <c r="E9" s="134"/>
      <c r="F9" s="124"/>
      <c r="G9" s="201">
        <v>1000</v>
      </c>
    </row>
    <row r="10" spans="1:7" x14ac:dyDescent="0.3">
      <c r="A10" s="130" t="s">
        <v>1243</v>
      </c>
      <c r="B10" s="131">
        <v>1</v>
      </c>
      <c r="C10" s="132">
        <v>0</v>
      </c>
      <c r="D10" s="133"/>
      <c r="E10" s="134"/>
      <c r="G10" s="201">
        <v>12000</v>
      </c>
    </row>
    <row r="11" spans="1:7" x14ac:dyDescent="0.3">
      <c r="A11" s="130" t="s">
        <v>473</v>
      </c>
      <c r="B11" s="131">
        <v>1</v>
      </c>
      <c r="C11" s="132">
        <v>0</v>
      </c>
      <c r="D11" s="133"/>
      <c r="E11" s="134"/>
      <c r="G11" s="201">
        <v>2200</v>
      </c>
    </row>
    <row r="12" spans="1:7" x14ac:dyDescent="0.3">
      <c r="A12" s="130" t="s">
        <v>302</v>
      </c>
      <c r="B12" s="131">
        <v>1</v>
      </c>
      <c r="C12" s="132">
        <v>0</v>
      </c>
      <c r="D12" s="133"/>
      <c r="E12" s="134"/>
      <c r="G12" s="201">
        <v>3400</v>
      </c>
    </row>
    <row r="13" spans="1:7" x14ac:dyDescent="0.3">
      <c r="A13" s="130" t="s">
        <v>303</v>
      </c>
      <c r="B13" s="131">
        <v>1</v>
      </c>
      <c r="C13" s="132">
        <v>1</v>
      </c>
      <c r="D13" s="133"/>
      <c r="E13" s="134"/>
      <c r="G13" s="201">
        <v>0</v>
      </c>
    </row>
    <row r="14" spans="1:7" x14ac:dyDescent="0.3">
      <c r="A14" s="130" t="s">
        <v>334</v>
      </c>
      <c r="B14" s="131">
        <v>1</v>
      </c>
      <c r="C14" s="132" t="s">
        <v>335</v>
      </c>
      <c r="D14" s="133"/>
      <c r="E14" s="134"/>
      <c r="G14" s="201">
        <v>0</v>
      </c>
    </row>
    <row r="15" spans="1:7" ht="16.2" thickBot="1" x14ac:dyDescent="0.35">
      <c r="A15" s="136" t="s">
        <v>305</v>
      </c>
      <c r="B15" s="264">
        <v>1</v>
      </c>
      <c r="C15" s="138">
        <v>1</v>
      </c>
      <c r="D15" s="139"/>
      <c r="E15" s="140"/>
      <c r="G15" s="202">
        <v>1</v>
      </c>
    </row>
    <row r="16" spans="1:7" ht="24" thickTop="1" thickBot="1" x14ac:dyDescent="0.35">
      <c r="A16" s="104" t="s">
        <v>86</v>
      </c>
      <c r="B16" s="104"/>
      <c r="C16" s="141"/>
      <c r="D16" s="104"/>
      <c r="E16" s="142"/>
      <c r="G16" s="203"/>
    </row>
    <row r="17" spans="1:7" ht="16.8" thickTop="1" thickBot="1" x14ac:dyDescent="0.35">
      <c r="A17" s="117" t="s">
        <v>83</v>
      </c>
      <c r="B17" s="117" t="s">
        <v>3</v>
      </c>
      <c r="C17" s="118" t="s">
        <v>21</v>
      </c>
      <c r="D17" s="119" t="s">
        <v>84</v>
      </c>
      <c r="E17" s="120" t="s">
        <v>85</v>
      </c>
      <c r="F17" s="124"/>
      <c r="G17" s="204" t="s">
        <v>297</v>
      </c>
    </row>
    <row r="18" spans="1:7" x14ac:dyDescent="0.3">
      <c r="A18" s="125" t="s">
        <v>316</v>
      </c>
      <c r="B18" s="144">
        <v>1</v>
      </c>
      <c r="C18" s="145">
        <v>0</v>
      </c>
      <c r="D18" s="128"/>
      <c r="E18" s="129"/>
      <c r="F18" s="124"/>
      <c r="G18" s="201">
        <v>1</v>
      </c>
    </row>
    <row r="19" spans="1:7" x14ac:dyDescent="0.3">
      <c r="A19" s="518" t="s">
        <v>308</v>
      </c>
      <c r="B19" s="519">
        <v>1</v>
      </c>
      <c r="C19" s="520">
        <v>1</v>
      </c>
      <c r="D19" s="521"/>
      <c r="E19" s="522"/>
      <c r="F19" s="124"/>
      <c r="G19" s="201">
        <v>50</v>
      </c>
    </row>
    <row r="20" spans="1:7" x14ac:dyDescent="0.3">
      <c r="A20" s="523" t="s">
        <v>310</v>
      </c>
      <c r="B20" s="524">
        <v>1</v>
      </c>
      <c r="C20" s="127">
        <v>0</v>
      </c>
      <c r="D20" s="525"/>
      <c r="E20" s="233"/>
      <c r="F20"/>
      <c r="G20" s="526">
        <v>0</v>
      </c>
    </row>
    <row r="21" spans="1:7" x14ac:dyDescent="0.3">
      <c r="A21" s="523" t="s">
        <v>685</v>
      </c>
      <c r="B21" s="524">
        <v>1</v>
      </c>
      <c r="C21" s="127">
        <v>0</v>
      </c>
      <c r="D21" s="525"/>
      <c r="E21" s="233"/>
      <c r="F21"/>
      <c r="G21" s="526" t="s">
        <v>324</v>
      </c>
    </row>
    <row r="22" spans="1:7" x14ac:dyDescent="0.3">
      <c r="A22" s="523" t="s">
        <v>314</v>
      </c>
      <c r="B22" s="524">
        <v>4</v>
      </c>
      <c r="C22" s="127">
        <v>4</v>
      </c>
      <c r="D22" s="525"/>
      <c r="E22" s="233"/>
      <c r="F22"/>
      <c r="G22" s="526">
        <v>0</v>
      </c>
    </row>
    <row r="23" spans="1:7" x14ac:dyDescent="0.3">
      <c r="A23" s="523" t="s">
        <v>312</v>
      </c>
      <c r="B23" s="524">
        <v>2</v>
      </c>
      <c r="C23" s="127">
        <v>0</v>
      </c>
      <c r="D23" s="525"/>
      <c r="E23" s="233"/>
      <c r="F23"/>
      <c r="G23" s="526">
        <v>0</v>
      </c>
    </row>
    <row r="24" spans="1:7" x14ac:dyDescent="0.3">
      <c r="A24" s="523" t="s">
        <v>311</v>
      </c>
      <c r="B24" s="524">
        <v>1</v>
      </c>
      <c r="C24" s="127">
        <v>0</v>
      </c>
      <c r="D24" s="525"/>
      <c r="E24" s="233"/>
      <c r="F24"/>
      <c r="G24" s="526">
        <v>0</v>
      </c>
    </row>
    <row r="25" spans="1:7" x14ac:dyDescent="0.3">
      <c r="A25" s="523" t="s">
        <v>315</v>
      </c>
      <c r="B25" s="524">
        <v>1</v>
      </c>
      <c r="C25" s="127">
        <v>0</v>
      </c>
      <c r="D25" s="525"/>
      <c r="E25" s="233"/>
      <c r="F25"/>
      <c r="G25" s="526">
        <v>0</v>
      </c>
    </row>
    <row r="26" spans="1:7" ht="16.2" thickBot="1" x14ac:dyDescent="0.35">
      <c r="A26" s="136" t="s">
        <v>313</v>
      </c>
      <c r="B26" s="137">
        <v>20</v>
      </c>
      <c r="C26" s="146">
        <v>1</v>
      </c>
      <c r="D26" s="139"/>
      <c r="E26" s="140"/>
      <c r="F26" s="124"/>
      <c r="G26" s="202">
        <v>1</v>
      </c>
    </row>
    <row r="27" spans="1:7" ht="22.8" thickTop="1" thickBot="1" x14ac:dyDescent="0.35">
      <c r="A27" s="527"/>
      <c r="B27" s="527"/>
      <c r="C27" s="527"/>
      <c r="D27" s="528" t="s">
        <v>1265</v>
      </c>
      <c r="E27" s="529"/>
      <c r="F27" s="124"/>
      <c r="G27" s="124">
        <v>2000</v>
      </c>
    </row>
    <row r="28" spans="1:7" ht="16.8" thickTop="1" thickBot="1" x14ac:dyDescent="0.35">
      <c r="A28" s="117" t="s">
        <v>83</v>
      </c>
      <c r="B28" s="117" t="s">
        <v>3</v>
      </c>
      <c r="C28" s="118" t="s">
        <v>21</v>
      </c>
      <c r="D28" s="119" t="s">
        <v>84</v>
      </c>
      <c r="E28" s="120" t="s">
        <v>85</v>
      </c>
      <c r="F28" s="124"/>
      <c r="G28" s="186" t="s">
        <v>297</v>
      </c>
    </row>
    <row r="29" spans="1:7" x14ac:dyDescent="0.3">
      <c r="A29" s="518" t="s">
        <v>309</v>
      </c>
      <c r="B29" s="519">
        <v>1</v>
      </c>
      <c r="C29" s="520">
        <v>5</v>
      </c>
      <c r="D29" s="521"/>
      <c r="E29" s="522"/>
      <c r="F29" s="124"/>
      <c r="G29" s="201">
        <v>0</v>
      </c>
    </row>
    <row r="30" spans="1:7" x14ac:dyDescent="0.3">
      <c r="A30" s="523" t="s">
        <v>1257</v>
      </c>
      <c r="B30" s="524">
        <v>1</v>
      </c>
      <c r="C30" s="127">
        <v>0</v>
      </c>
      <c r="D30" s="525"/>
      <c r="E30" s="233"/>
      <c r="F30"/>
      <c r="G30" s="526">
        <v>0</v>
      </c>
    </row>
    <row r="31" spans="1:7" x14ac:dyDescent="0.3">
      <c r="A31" s="523" t="s">
        <v>1261</v>
      </c>
      <c r="B31" s="524">
        <v>10</v>
      </c>
      <c r="C31" s="127">
        <f>B31</f>
        <v>10</v>
      </c>
      <c r="D31" s="525"/>
      <c r="E31" s="233"/>
      <c r="F31"/>
      <c r="G31" s="526">
        <v>0</v>
      </c>
    </row>
    <row r="32" spans="1:7" x14ac:dyDescent="0.3">
      <c r="A32" s="523" t="s">
        <v>1258</v>
      </c>
      <c r="B32" s="524">
        <v>1</v>
      </c>
      <c r="C32" s="127">
        <v>5</v>
      </c>
      <c r="D32" s="525"/>
      <c r="E32" s="233"/>
      <c r="F32"/>
      <c r="G32" s="526">
        <v>0</v>
      </c>
    </row>
    <row r="33" spans="1:7" x14ac:dyDescent="0.3">
      <c r="A33" s="523" t="s">
        <v>1262</v>
      </c>
      <c r="B33" s="524">
        <v>10</v>
      </c>
      <c r="C33" s="127">
        <f>B33/2</f>
        <v>5</v>
      </c>
      <c r="D33" s="525"/>
      <c r="E33" s="233"/>
      <c r="F33"/>
      <c r="G33" s="526">
        <v>0</v>
      </c>
    </row>
    <row r="34" spans="1:7" x14ac:dyDescent="0.3">
      <c r="A34" s="523" t="s">
        <v>1263</v>
      </c>
      <c r="B34" s="524">
        <v>1</v>
      </c>
      <c r="C34" s="127">
        <v>5</v>
      </c>
      <c r="D34" s="525"/>
      <c r="E34" s="233"/>
      <c r="F34"/>
      <c r="G34" s="526">
        <v>0</v>
      </c>
    </row>
    <row r="35" spans="1:7" x14ac:dyDescent="0.3">
      <c r="A35" s="523" t="s">
        <v>1259</v>
      </c>
      <c r="B35" s="524">
        <v>1</v>
      </c>
      <c r="C35" s="127">
        <v>5</v>
      </c>
      <c r="D35" s="525"/>
      <c r="E35" s="233"/>
      <c r="F35"/>
      <c r="G35" s="526">
        <v>0</v>
      </c>
    </row>
    <row r="36" spans="1:7" x14ac:dyDescent="0.3">
      <c r="A36" s="523" t="s">
        <v>334</v>
      </c>
      <c r="B36" s="524">
        <v>1</v>
      </c>
      <c r="C36" s="127">
        <v>8</v>
      </c>
      <c r="D36" s="525"/>
      <c r="E36" s="233"/>
      <c r="F36"/>
      <c r="G36" s="526">
        <v>0</v>
      </c>
    </row>
    <row r="37" spans="1:7" x14ac:dyDescent="0.3">
      <c r="A37" s="523" t="s">
        <v>1260</v>
      </c>
      <c r="B37" s="524">
        <v>1</v>
      </c>
      <c r="C37" s="127">
        <v>4</v>
      </c>
      <c r="D37" s="525" t="s">
        <v>1264</v>
      </c>
      <c r="E37" s="233"/>
      <c r="F37"/>
      <c r="G37" s="526">
        <v>0</v>
      </c>
    </row>
    <row r="38" spans="1:7" x14ac:dyDescent="0.3">
      <c r="A38" s="523" t="s">
        <v>1266</v>
      </c>
      <c r="B38" s="524">
        <v>1</v>
      </c>
      <c r="C38" s="127">
        <v>0.5</v>
      </c>
      <c r="D38" s="525"/>
      <c r="E38" s="233"/>
      <c r="F38"/>
      <c r="G38" s="526">
        <v>0</v>
      </c>
    </row>
    <row r="39" spans="1:7" ht="16.2" thickBot="1" x14ac:dyDescent="0.35">
      <c r="A39" s="136" t="s">
        <v>317</v>
      </c>
      <c r="B39" s="137">
        <v>1</v>
      </c>
      <c r="C39" s="146">
        <v>8</v>
      </c>
      <c r="D39" s="139"/>
      <c r="E39" s="140"/>
      <c r="F39" s="124"/>
      <c r="G39" s="202">
        <v>0</v>
      </c>
    </row>
    <row r="40" spans="1:7" ht="24" thickTop="1" thickBot="1" x14ac:dyDescent="0.35">
      <c r="A40" s="67"/>
      <c r="B40" s="67"/>
      <c r="D40" s="149" t="s">
        <v>667</v>
      </c>
      <c r="E40" s="142"/>
      <c r="G40" s="203"/>
    </row>
    <row r="41" spans="1:7" s="116" customFormat="1" ht="16.8" thickTop="1" thickBot="1" x14ac:dyDescent="0.35">
      <c r="A41" s="117" t="s">
        <v>83</v>
      </c>
      <c r="B41" s="117" t="s">
        <v>3</v>
      </c>
      <c r="C41" s="118" t="s">
        <v>21</v>
      </c>
      <c r="D41" s="117" t="s">
        <v>1237</v>
      </c>
      <c r="E41" s="120" t="s">
        <v>85</v>
      </c>
      <c r="G41" s="204" t="s">
        <v>297</v>
      </c>
    </row>
    <row r="42" spans="1:7" x14ac:dyDescent="0.3">
      <c r="A42" s="121" t="s">
        <v>362</v>
      </c>
      <c r="B42" s="143">
        <v>1</v>
      </c>
      <c r="C42" s="232">
        <v>4</v>
      </c>
      <c r="D42" s="188" t="s">
        <v>1238</v>
      </c>
      <c r="E42" s="233"/>
      <c r="F42" s="124"/>
      <c r="G42" s="201">
        <v>5</v>
      </c>
    </row>
    <row r="43" spans="1:7" x14ac:dyDescent="0.3">
      <c r="A43" s="125" t="s">
        <v>363</v>
      </c>
      <c r="B43" s="144">
        <v>1</v>
      </c>
      <c r="C43" s="127">
        <v>7</v>
      </c>
      <c r="D43" s="188" t="s">
        <v>1238</v>
      </c>
      <c r="E43" s="233"/>
      <c r="F43" s="124"/>
      <c r="G43" s="201">
        <v>30</v>
      </c>
    </row>
    <row r="44" spans="1:7" ht="16.2" thickBot="1" x14ac:dyDescent="0.35">
      <c r="A44" s="136"/>
      <c r="B44" s="137"/>
      <c r="C44" s="146"/>
      <c r="D44" s="147"/>
      <c r="E44" s="140"/>
      <c r="G44" s="202"/>
    </row>
    <row r="45" spans="1:7" ht="16.2" thickTop="1" x14ac:dyDescent="0.3">
      <c r="G45" s="205"/>
    </row>
    <row r="46" spans="1:7" x14ac:dyDescent="0.3">
      <c r="E46" s="67" t="s">
        <v>318</v>
      </c>
      <c r="G46" s="238">
        <f>SUM(G3:G44,Martial!M3:M35)</f>
        <v>150068</v>
      </c>
    </row>
  </sheetData>
  <sortState xmlns:xlrd2="http://schemas.microsoft.com/office/spreadsheetml/2017/richdata2" ref="A16:G25">
    <sortCondition ref="A16:A25"/>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50"/>
  <sheetViews>
    <sheetView showGridLines="0" zoomScaleNormal="100" workbookViewId="0">
      <pane xSplit="6" ySplit="1" topLeftCell="G2" activePane="bottomRight" state="frozen"/>
      <selection pane="topRight" activeCell="E1" sqref="E1"/>
      <selection pane="bottomLeft" activeCell="A2" sqref="A2"/>
      <selection pane="bottomRight" activeCell="G2" sqref="G2"/>
    </sheetView>
  </sheetViews>
  <sheetFormatPr defaultColWidth="8.5" defaultRowHeight="16.2" x14ac:dyDescent="0.3"/>
  <cols>
    <col min="1" max="1" width="20.5" style="231" customWidth="1"/>
    <col min="2" max="2" width="12.8984375" style="231" bestFit="1" customWidth="1"/>
    <col min="3" max="3" width="7.19921875" style="231" bestFit="1" customWidth="1"/>
    <col min="4" max="4" width="7" style="219" bestFit="1" customWidth="1"/>
    <col min="5" max="5" width="10" style="219" bestFit="1" customWidth="1"/>
    <col min="6" max="6" width="12.8984375" style="415" bestFit="1" customWidth="1"/>
    <col min="7" max="7" width="4.796875" style="415" bestFit="1" customWidth="1"/>
    <col min="8" max="8" width="6.3984375" style="415" bestFit="1" customWidth="1"/>
    <col min="9" max="9" width="9.5" style="415" bestFit="1" customWidth="1"/>
    <col min="10" max="10" width="25.8984375" style="415" hidden="1" customWidth="1"/>
    <col min="11" max="11" width="22.3984375" style="415" hidden="1" customWidth="1"/>
    <col min="12" max="12" width="31.3984375" style="415" hidden="1" customWidth="1"/>
    <col min="13" max="13" width="25.296875" style="415" hidden="1" customWidth="1"/>
    <col min="14" max="14" width="13" style="415" hidden="1" customWidth="1"/>
    <col min="15" max="15" width="3.796875" style="415" bestFit="1" customWidth="1"/>
    <col min="16" max="16" width="3.796875" style="415" customWidth="1"/>
    <col min="17" max="17" width="4.59765625" style="415" customWidth="1"/>
    <col min="18" max="18" width="3.796875" style="415" customWidth="1"/>
    <col min="19" max="19" width="4.796875" style="415" customWidth="1"/>
    <col min="20" max="22" width="3.796875" style="415" customWidth="1"/>
    <col min="23" max="23" width="4.59765625" style="415" customWidth="1"/>
    <col min="24" max="24" width="3.796875" style="415" customWidth="1"/>
    <col min="25" max="25" width="4.796875" style="415" customWidth="1"/>
    <col min="26" max="26" width="3.796875" style="415" customWidth="1"/>
    <col min="27" max="28" width="4.3984375" style="415" bestFit="1" customWidth="1"/>
    <col min="29" max="29" width="5.09765625" style="415" bestFit="1" customWidth="1"/>
    <col min="30" max="30" width="2.8984375" style="415" customWidth="1"/>
    <col min="31" max="31" width="4.19921875" style="415" bestFit="1" customWidth="1"/>
    <col min="32" max="32" width="2.8984375" style="415" customWidth="1"/>
    <col min="33" max="33" width="4.296875" style="415" bestFit="1" customWidth="1"/>
    <col min="34" max="34" width="2.8984375" style="415" customWidth="1"/>
    <col min="35" max="36" width="5.5" style="415" bestFit="1" customWidth="1"/>
    <col min="37" max="37" width="3.796875" style="416" bestFit="1" customWidth="1"/>
    <col min="38" max="38" width="3.796875" style="416" customWidth="1"/>
    <col min="39" max="39" width="4" style="415" bestFit="1" customWidth="1"/>
    <col min="40" max="40" width="11.796875" style="415" bestFit="1" customWidth="1"/>
    <col min="41" max="41" width="51" style="415" customWidth="1"/>
    <col min="42" max="42" width="38.8984375" style="415" bestFit="1" customWidth="1"/>
    <col min="43" max="43" width="20.296875" style="415" bestFit="1" customWidth="1"/>
    <col min="44" max="44" width="14.8984375" style="415" bestFit="1" customWidth="1"/>
    <col min="45" max="45" width="9.796875" style="415" bestFit="1" customWidth="1"/>
    <col min="46" max="46" width="12.69921875" style="415" bestFit="1" customWidth="1"/>
    <col min="47" max="47" width="42.5" style="415" bestFit="1" customWidth="1"/>
    <col min="48" max="48" width="31.3984375" style="369" bestFit="1" customWidth="1"/>
    <col min="49" max="49" width="31" style="369" bestFit="1" customWidth="1"/>
    <col min="50" max="50" width="30.69921875" style="369" bestFit="1" customWidth="1"/>
    <col min="51" max="51" width="31.5" style="369" customWidth="1"/>
    <col min="52" max="52" width="13" style="369" bestFit="1" customWidth="1"/>
    <col min="53" max="16384" width="8.5" style="219"/>
  </cols>
  <sheetData>
    <row r="1" spans="1:47" ht="17.399999999999999" thickBot="1" x14ac:dyDescent="0.35">
      <c r="A1" s="206" t="s">
        <v>835</v>
      </c>
      <c r="B1" s="206" t="s">
        <v>836</v>
      </c>
      <c r="C1" s="207" t="s">
        <v>904</v>
      </c>
      <c r="D1" s="207" t="s">
        <v>345</v>
      </c>
      <c r="E1" s="207" t="s">
        <v>346</v>
      </c>
      <c r="F1" s="217" t="s">
        <v>352</v>
      </c>
      <c r="G1" s="217" t="s">
        <v>347</v>
      </c>
      <c r="H1" s="217" t="s">
        <v>702</v>
      </c>
      <c r="I1" s="217" t="s">
        <v>824</v>
      </c>
      <c r="J1" s="217" t="s">
        <v>703</v>
      </c>
      <c r="K1" s="217" t="s">
        <v>704</v>
      </c>
      <c r="L1" s="217" t="s">
        <v>705</v>
      </c>
      <c r="M1" s="217" t="s">
        <v>706</v>
      </c>
      <c r="N1" s="218" t="s">
        <v>707</v>
      </c>
      <c r="O1" s="208" t="s">
        <v>29</v>
      </c>
      <c r="P1" s="394" t="s">
        <v>821</v>
      </c>
      <c r="Q1" s="209" t="s">
        <v>28</v>
      </c>
      <c r="R1" s="394" t="s">
        <v>820</v>
      </c>
      <c r="S1" s="210" t="s">
        <v>25</v>
      </c>
      <c r="T1" s="394" t="s">
        <v>816</v>
      </c>
      <c r="U1" s="211" t="s">
        <v>26</v>
      </c>
      <c r="V1" s="394" t="s">
        <v>818</v>
      </c>
      <c r="W1" s="212" t="s">
        <v>27</v>
      </c>
      <c r="X1" s="394" t="s">
        <v>819</v>
      </c>
      <c r="Y1" s="213" t="s">
        <v>24</v>
      </c>
      <c r="Z1" s="394" t="s">
        <v>817</v>
      </c>
      <c r="AA1" s="214" t="s">
        <v>353</v>
      </c>
      <c r="AB1" s="209" t="s">
        <v>354</v>
      </c>
      <c r="AC1" s="340" t="s">
        <v>807</v>
      </c>
      <c r="AD1" s="395" t="s">
        <v>60</v>
      </c>
      <c r="AE1" s="341" t="s">
        <v>808</v>
      </c>
      <c r="AF1" s="395" t="s">
        <v>61</v>
      </c>
      <c r="AG1" s="342" t="s">
        <v>889</v>
      </c>
      <c r="AH1" s="395" t="s">
        <v>62</v>
      </c>
      <c r="AI1" s="208" t="s">
        <v>683</v>
      </c>
      <c r="AJ1" s="215" t="s">
        <v>355</v>
      </c>
      <c r="AK1" s="215" t="s">
        <v>356</v>
      </c>
      <c r="AL1" s="215" t="s">
        <v>348</v>
      </c>
      <c r="AM1" s="210" t="s">
        <v>349</v>
      </c>
      <c r="AN1" s="210" t="s">
        <v>890</v>
      </c>
      <c r="AO1" s="216" t="s">
        <v>892</v>
      </c>
      <c r="AP1" s="217" t="s">
        <v>357</v>
      </c>
      <c r="AQ1" s="217" t="s">
        <v>782</v>
      </c>
      <c r="AR1" s="217" t="s">
        <v>350</v>
      </c>
      <c r="AS1" s="217" t="s">
        <v>351</v>
      </c>
      <c r="AT1" s="217" t="s">
        <v>670</v>
      </c>
      <c r="AU1" s="218" t="s">
        <v>358</v>
      </c>
    </row>
    <row r="2" spans="1:47" ht="62.4" x14ac:dyDescent="0.3">
      <c r="A2" s="502" t="s">
        <v>841</v>
      </c>
      <c r="B2" s="503" t="s">
        <v>842</v>
      </c>
      <c r="C2" s="243" t="s">
        <v>1086</v>
      </c>
      <c r="D2" s="243" t="s">
        <v>287</v>
      </c>
      <c r="E2" s="392" t="s">
        <v>806</v>
      </c>
      <c r="F2" s="221">
        <v>3</v>
      </c>
      <c r="G2" s="220" t="s">
        <v>235</v>
      </c>
      <c r="H2" s="220">
        <v>22</v>
      </c>
      <c r="I2" s="195" t="s">
        <v>676</v>
      </c>
      <c r="J2" s="227" t="s">
        <v>761</v>
      </c>
      <c r="K2" s="220" t="s">
        <v>1182</v>
      </c>
      <c r="L2" s="262" t="s">
        <v>891</v>
      </c>
      <c r="M2" s="262" t="s">
        <v>1110</v>
      </c>
      <c r="N2" s="228" t="s">
        <v>711</v>
      </c>
      <c r="O2" s="222">
        <v>12</v>
      </c>
      <c r="P2" s="223" t="str">
        <f t="shared" ref="P2:P10" si="0">IF(O2&gt;9.9,CONCATENATE("+",ROUNDDOWN((O2-10) / 2,0)),ROUNDUP((O2-10) / 2,0))</f>
        <v>+1</v>
      </c>
      <c r="Q2" s="223">
        <v>10</v>
      </c>
      <c r="R2" s="223" t="str">
        <f t="shared" ref="R2:R10" si="1">IF(Q2&gt;9.9,CONCATENATE("+",ROUNDDOWN((Q2-10) / 2,0)),ROUNDUP((Q2-10) / 2,0))</f>
        <v>+0</v>
      </c>
      <c r="S2" s="223">
        <v>10</v>
      </c>
      <c r="T2" s="223" t="str">
        <f t="shared" ref="T2:T10" si="2">IF(S2&gt;9.9,CONCATENATE("+",ROUNDDOWN((S2-10) / 2,0)),ROUNDUP((S2-10) / 2,0))</f>
        <v>+0</v>
      </c>
      <c r="U2" s="223">
        <v>10</v>
      </c>
      <c r="V2" s="223" t="str">
        <f t="shared" ref="V2:V10" si="3">IF(U2&gt;9.9,CONCATENATE("+",ROUNDDOWN((U2-10) / 2,0)),ROUNDUP((U2-10) / 2,0))</f>
        <v>+0</v>
      </c>
      <c r="W2" s="223">
        <v>14</v>
      </c>
      <c r="X2" s="223" t="str">
        <f t="shared" ref="X2:X10" si="4">IF(W2&gt;9.9,CONCATENATE("+",ROUNDDOWN((W2-10) / 2,0)),ROUNDUP((W2-10) / 2,0))</f>
        <v>+2</v>
      </c>
      <c r="Y2" s="224">
        <v>10</v>
      </c>
      <c r="Z2" s="224" t="str">
        <f t="shared" ref="Z2:Z10" si="5">IF(Y2&gt;9.9,CONCATENATE("+",ROUNDDOWN((Y2-10) / 2,0)),ROUNDUP((Y2-10) / 2,0))</f>
        <v>+0</v>
      </c>
      <c r="AA2" s="225">
        <f t="shared" ref="AA2:AA41" si="6">AVERAGE(O2,Q2,S2,U2,W2,Y2)</f>
        <v>11</v>
      </c>
      <c r="AB2" s="226" t="str">
        <f t="shared" ref="AB2:AB10" si="7">IF(Q2&gt;9.9,CONCATENATE("+",ROUNDDOWN((Q2-10) / 2,0)),ROUNDUP((Q2-10) / 2,0))</f>
        <v>+0</v>
      </c>
      <c r="AC2" s="344">
        <v>3</v>
      </c>
      <c r="AD2" s="360">
        <f t="shared" ref="AD2:AD10" si="8">IF(S2&gt;9.9,(ROUNDDOWN((S2-10) / 2,0)),ROUNDUP((S2-10) / 2,0))+AC2</f>
        <v>3</v>
      </c>
      <c r="AE2" s="361">
        <v>0</v>
      </c>
      <c r="AF2" s="363">
        <f t="shared" ref="AF2:AF10" si="9">AE2+AB2</f>
        <v>0</v>
      </c>
      <c r="AG2" s="362">
        <v>3</v>
      </c>
      <c r="AH2" s="343">
        <f t="shared" ref="AH2:AH10" si="10">IF(W2&gt;9.9,(ROUNDDOWN((W2-10) / 2,0)),ROUNDUP((W2-10) / 2,0))+AG2</f>
        <v>5</v>
      </c>
      <c r="AI2" s="229">
        <v>0</v>
      </c>
      <c r="AJ2" s="224">
        <f t="shared" ref="AJ2:AJ10" si="11">10+AB2</f>
        <v>10</v>
      </c>
      <c r="AK2" s="224">
        <f t="shared" ref="AK2:AK10" si="12">AL2-AB2</f>
        <v>13</v>
      </c>
      <c r="AL2" s="224">
        <f t="shared" ref="AL2:AL10" si="13">10+AB2+AT2</f>
        <v>13</v>
      </c>
      <c r="AM2" s="229">
        <f>ROUNDUP(8*(0.75*F2)+(F2*(S2-10) / 2),0)</f>
        <v>18</v>
      </c>
      <c r="AN2" s="396">
        <f t="shared" ref="AN2:AN10" si="14">(F2+3)*(2+V2)</f>
        <v>12</v>
      </c>
      <c r="AO2" s="409" t="s">
        <v>795</v>
      </c>
      <c r="AP2" s="410" t="s">
        <v>687</v>
      </c>
      <c r="AQ2" s="411" t="s">
        <v>908</v>
      </c>
      <c r="AR2" s="227" t="s">
        <v>893</v>
      </c>
      <c r="AS2" s="220" t="s">
        <v>894</v>
      </c>
      <c r="AT2" s="262">
        <f>2+1</f>
        <v>3</v>
      </c>
      <c r="AU2" s="228" t="s">
        <v>902</v>
      </c>
    </row>
    <row r="3" spans="1:47" ht="62.4" x14ac:dyDescent="0.3">
      <c r="A3" s="502" t="s">
        <v>843</v>
      </c>
      <c r="B3" s="502" t="s">
        <v>844</v>
      </c>
      <c r="C3" s="195" t="s">
        <v>1086</v>
      </c>
      <c r="D3" s="195" t="s">
        <v>684</v>
      </c>
      <c r="E3" s="392" t="s">
        <v>806</v>
      </c>
      <c r="F3" s="221">
        <v>1</v>
      </c>
      <c r="G3" s="220" t="s">
        <v>672</v>
      </c>
      <c r="H3" s="220">
        <v>27</v>
      </c>
      <c r="I3" s="195" t="s">
        <v>673</v>
      </c>
      <c r="J3" s="227" t="s">
        <v>762</v>
      </c>
      <c r="K3" s="220" t="s">
        <v>712</v>
      </c>
      <c r="L3" s="262" t="s">
        <v>713</v>
      </c>
      <c r="M3" s="262" t="s">
        <v>1111</v>
      </c>
      <c r="N3" s="228" t="s">
        <v>714</v>
      </c>
      <c r="O3" s="222">
        <v>8</v>
      </c>
      <c r="P3" s="223">
        <f t="shared" si="0"/>
        <v>-1</v>
      </c>
      <c r="Q3" s="223">
        <v>14</v>
      </c>
      <c r="R3" s="223" t="str">
        <f t="shared" si="1"/>
        <v>+2</v>
      </c>
      <c r="S3" s="223">
        <v>8</v>
      </c>
      <c r="T3" s="223">
        <f t="shared" si="2"/>
        <v>-1</v>
      </c>
      <c r="U3" s="223">
        <v>10</v>
      </c>
      <c r="V3" s="223" t="str">
        <f t="shared" si="3"/>
        <v>+0</v>
      </c>
      <c r="W3" s="223">
        <v>16</v>
      </c>
      <c r="X3" s="223" t="str">
        <f t="shared" si="4"/>
        <v>+3</v>
      </c>
      <c r="Y3" s="224">
        <v>10</v>
      </c>
      <c r="Z3" s="224" t="str">
        <f t="shared" si="5"/>
        <v>+0</v>
      </c>
      <c r="AA3" s="225">
        <f t="shared" si="6"/>
        <v>11</v>
      </c>
      <c r="AB3" s="226" t="str">
        <f t="shared" si="7"/>
        <v>+2</v>
      </c>
      <c r="AC3" s="344">
        <v>2</v>
      </c>
      <c r="AD3" s="360">
        <f t="shared" si="8"/>
        <v>1</v>
      </c>
      <c r="AE3" s="361">
        <v>0</v>
      </c>
      <c r="AF3" s="363">
        <f t="shared" si="9"/>
        <v>2</v>
      </c>
      <c r="AG3" s="362">
        <v>2</v>
      </c>
      <c r="AH3" s="343">
        <f t="shared" si="10"/>
        <v>5</v>
      </c>
      <c r="AI3" s="229">
        <v>0</v>
      </c>
      <c r="AJ3" s="224">
        <f t="shared" si="11"/>
        <v>12</v>
      </c>
      <c r="AK3" s="224">
        <f t="shared" si="12"/>
        <v>13</v>
      </c>
      <c r="AL3" s="224">
        <f t="shared" si="13"/>
        <v>15</v>
      </c>
      <c r="AM3" s="229">
        <f>ROUNDUP(8*(0.75*F3)+(F3*(S3-10) / 2),0)</f>
        <v>5</v>
      </c>
      <c r="AN3" s="396">
        <f t="shared" si="14"/>
        <v>8</v>
      </c>
      <c r="AO3" s="368" t="s">
        <v>796</v>
      </c>
      <c r="AP3" s="410" t="s">
        <v>687</v>
      </c>
      <c r="AQ3" s="411" t="s">
        <v>905</v>
      </c>
      <c r="AR3" s="227" t="s">
        <v>896</v>
      </c>
      <c r="AS3" s="220" t="s">
        <v>897</v>
      </c>
      <c r="AT3" s="262">
        <f>2+1</f>
        <v>3</v>
      </c>
      <c r="AU3" s="228" t="s">
        <v>903</v>
      </c>
    </row>
    <row r="4" spans="1:47" ht="78" x14ac:dyDescent="0.3">
      <c r="A4" s="502" t="s">
        <v>849</v>
      </c>
      <c r="B4" s="502" t="s">
        <v>850</v>
      </c>
      <c r="C4" s="195" t="s">
        <v>1086</v>
      </c>
      <c r="D4" s="195" t="s">
        <v>678</v>
      </c>
      <c r="E4" s="392" t="s">
        <v>806</v>
      </c>
      <c r="F4" s="221">
        <v>1</v>
      </c>
      <c r="G4" s="220" t="s">
        <v>235</v>
      </c>
      <c r="H4" s="220">
        <v>27</v>
      </c>
      <c r="I4" s="195" t="s">
        <v>676</v>
      </c>
      <c r="J4" s="227" t="s">
        <v>757</v>
      </c>
      <c r="K4" s="220" t="s">
        <v>1183</v>
      </c>
      <c r="L4" s="262" t="s">
        <v>891</v>
      </c>
      <c r="M4" s="262" t="s">
        <v>1112</v>
      </c>
      <c r="N4" s="228" t="s">
        <v>718</v>
      </c>
      <c r="O4" s="222">
        <v>12</v>
      </c>
      <c r="P4" s="223" t="str">
        <f t="shared" si="0"/>
        <v>+1</v>
      </c>
      <c r="Q4" s="223">
        <v>10</v>
      </c>
      <c r="R4" s="223" t="str">
        <f t="shared" si="1"/>
        <v>+0</v>
      </c>
      <c r="S4" s="223">
        <v>10</v>
      </c>
      <c r="T4" s="223" t="str">
        <f t="shared" si="2"/>
        <v>+0</v>
      </c>
      <c r="U4" s="223">
        <v>10</v>
      </c>
      <c r="V4" s="223" t="str">
        <f t="shared" si="3"/>
        <v>+0</v>
      </c>
      <c r="W4" s="223">
        <v>14</v>
      </c>
      <c r="X4" s="223" t="str">
        <f t="shared" si="4"/>
        <v>+2</v>
      </c>
      <c r="Y4" s="224">
        <v>10</v>
      </c>
      <c r="Z4" s="224" t="str">
        <f t="shared" si="5"/>
        <v>+0</v>
      </c>
      <c r="AA4" s="225">
        <f t="shared" si="6"/>
        <v>11</v>
      </c>
      <c r="AB4" s="226" t="str">
        <f t="shared" si="7"/>
        <v>+0</v>
      </c>
      <c r="AC4" s="344">
        <v>2</v>
      </c>
      <c r="AD4" s="360">
        <f t="shared" si="8"/>
        <v>2</v>
      </c>
      <c r="AE4" s="361">
        <v>0</v>
      </c>
      <c r="AF4" s="363">
        <f t="shared" si="9"/>
        <v>0</v>
      </c>
      <c r="AG4" s="362">
        <v>2</v>
      </c>
      <c r="AH4" s="343">
        <f t="shared" si="10"/>
        <v>4</v>
      </c>
      <c r="AI4" s="229">
        <v>0</v>
      </c>
      <c r="AJ4" s="224">
        <f t="shared" si="11"/>
        <v>10</v>
      </c>
      <c r="AK4" s="224">
        <f t="shared" si="12"/>
        <v>14</v>
      </c>
      <c r="AL4" s="224">
        <f t="shared" si="13"/>
        <v>14</v>
      </c>
      <c r="AM4" s="229">
        <f>ROUNDUP(8*(0.75*F4)+(F4*(S4-10) / 2),0)</f>
        <v>6</v>
      </c>
      <c r="AN4" s="396">
        <f t="shared" si="14"/>
        <v>8</v>
      </c>
      <c r="AO4" s="368" t="s">
        <v>793</v>
      </c>
      <c r="AP4" s="410" t="s">
        <v>687</v>
      </c>
      <c r="AQ4" s="412" t="s">
        <v>906</v>
      </c>
      <c r="AR4" s="227" t="s">
        <v>896</v>
      </c>
      <c r="AS4" s="220" t="s">
        <v>895</v>
      </c>
      <c r="AT4" s="262">
        <f>2+1+1</f>
        <v>4</v>
      </c>
      <c r="AU4" s="228" t="s">
        <v>900</v>
      </c>
    </row>
    <row r="5" spans="1:47" ht="62.4" x14ac:dyDescent="0.3">
      <c r="A5" s="502" t="s">
        <v>853</v>
      </c>
      <c r="B5" s="502" t="s">
        <v>854</v>
      </c>
      <c r="C5" s="195" t="s">
        <v>1086</v>
      </c>
      <c r="D5" s="195" t="s">
        <v>287</v>
      </c>
      <c r="E5" s="391" t="s">
        <v>680</v>
      </c>
      <c r="F5" s="221">
        <v>1</v>
      </c>
      <c r="G5" s="220" t="s">
        <v>235</v>
      </c>
      <c r="H5" s="220">
        <v>19</v>
      </c>
      <c r="I5" s="195" t="s">
        <v>674</v>
      </c>
      <c r="J5" s="227" t="s">
        <v>764</v>
      </c>
      <c r="K5" s="220" t="s">
        <v>1184</v>
      </c>
      <c r="L5" s="262" t="s">
        <v>891</v>
      </c>
      <c r="M5" s="262" t="s">
        <v>1113</v>
      </c>
      <c r="N5" s="228" t="s">
        <v>720</v>
      </c>
      <c r="O5" s="222">
        <v>8</v>
      </c>
      <c r="P5" s="223">
        <f t="shared" si="0"/>
        <v>-1</v>
      </c>
      <c r="Q5" s="223">
        <v>10</v>
      </c>
      <c r="R5" s="223" t="str">
        <f t="shared" si="1"/>
        <v>+0</v>
      </c>
      <c r="S5" s="223">
        <v>8</v>
      </c>
      <c r="T5" s="223">
        <f t="shared" si="2"/>
        <v>-1</v>
      </c>
      <c r="U5" s="223">
        <v>12</v>
      </c>
      <c r="V5" s="223" t="str">
        <f t="shared" si="3"/>
        <v>+1</v>
      </c>
      <c r="W5" s="223">
        <v>12</v>
      </c>
      <c r="X5" s="223" t="str">
        <f t="shared" si="4"/>
        <v>+1</v>
      </c>
      <c r="Y5" s="224">
        <v>10</v>
      </c>
      <c r="Z5" s="224" t="str">
        <f t="shared" si="5"/>
        <v>+0</v>
      </c>
      <c r="AA5" s="225">
        <f t="shared" si="6"/>
        <v>10</v>
      </c>
      <c r="AB5" s="226" t="str">
        <f t="shared" si="7"/>
        <v>+0</v>
      </c>
      <c r="AC5" s="344">
        <v>2</v>
      </c>
      <c r="AD5" s="360">
        <f t="shared" si="8"/>
        <v>1</v>
      </c>
      <c r="AE5" s="361">
        <v>0</v>
      </c>
      <c r="AF5" s="363">
        <f t="shared" si="9"/>
        <v>0</v>
      </c>
      <c r="AG5" s="362">
        <v>2</v>
      </c>
      <c r="AH5" s="343">
        <f t="shared" si="10"/>
        <v>3</v>
      </c>
      <c r="AI5" s="229">
        <v>0</v>
      </c>
      <c r="AJ5" s="224">
        <f t="shared" si="11"/>
        <v>10</v>
      </c>
      <c r="AK5" s="224">
        <f t="shared" si="12"/>
        <v>13</v>
      </c>
      <c r="AL5" s="224">
        <f t="shared" si="13"/>
        <v>13</v>
      </c>
      <c r="AM5" s="229">
        <f>ROUNDUP(10*(0.75*F5)+(F5*(S5-10) / 2),0)</f>
        <v>7</v>
      </c>
      <c r="AN5" s="396">
        <f t="shared" si="14"/>
        <v>12</v>
      </c>
      <c r="AO5" s="368" t="s">
        <v>798</v>
      </c>
      <c r="AP5" s="410" t="s">
        <v>688</v>
      </c>
      <c r="AQ5" s="411" t="s">
        <v>907</v>
      </c>
      <c r="AR5" s="227" t="s">
        <v>898</v>
      </c>
      <c r="AS5" s="220" t="s">
        <v>897</v>
      </c>
      <c r="AT5" s="262">
        <f t="shared" ref="AT5:AT10" si="15">2+1</f>
        <v>3</v>
      </c>
      <c r="AU5" s="228" t="s">
        <v>899</v>
      </c>
    </row>
    <row r="6" spans="1:47" ht="52.8" x14ac:dyDescent="0.3">
      <c r="A6" s="502" t="s">
        <v>837</v>
      </c>
      <c r="B6" s="502" t="s">
        <v>838</v>
      </c>
      <c r="C6" s="195" t="s">
        <v>1087</v>
      </c>
      <c r="D6" s="195" t="s">
        <v>287</v>
      </c>
      <c r="E6" s="392" t="s">
        <v>806</v>
      </c>
      <c r="F6" s="221">
        <v>4</v>
      </c>
      <c r="G6" s="220" t="s">
        <v>235</v>
      </c>
      <c r="H6" s="220">
        <v>25</v>
      </c>
      <c r="I6" s="195" t="s">
        <v>674</v>
      </c>
      <c r="J6" s="227" t="s">
        <v>759</v>
      </c>
      <c r="K6" s="220" t="s">
        <v>1185</v>
      </c>
      <c r="L6" s="262" t="s">
        <v>891</v>
      </c>
      <c r="M6" s="262" t="s">
        <v>1114</v>
      </c>
      <c r="N6" s="228" t="s">
        <v>708</v>
      </c>
      <c r="O6" s="222">
        <v>12</v>
      </c>
      <c r="P6" s="223" t="str">
        <f t="shared" si="0"/>
        <v>+1</v>
      </c>
      <c r="Q6" s="223">
        <v>10</v>
      </c>
      <c r="R6" s="223" t="str">
        <f t="shared" si="1"/>
        <v>+0</v>
      </c>
      <c r="S6" s="223">
        <v>10</v>
      </c>
      <c r="T6" s="223" t="str">
        <f t="shared" si="2"/>
        <v>+0</v>
      </c>
      <c r="U6" s="223">
        <v>10</v>
      </c>
      <c r="V6" s="223" t="str">
        <f t="shared" si="3"/>
        <v>+0</v>
      </c>
      <c r="W6" s="223">
        <v>14</v>
      </c>
      <c r="X6" s="223" t="str">
        <f t="shared" si="4"/>
        <v>+2</v>
      </c>
      <c r="Y6" s="224">
        <v>10</v>
      </c>
      <c r="Z6" s="224" t="str">
        <f t="shared" si="5"/>
        <v>+0</v>
      </c>
      <c r="AA6" s="225">
        <f t="shared" si="6"/>
        <v>11</v>
      </c>
      <c r="AB6" s="226" t="str">
        <f t="shared" si="7"/>
        <v>+0</v>
      </c>
      <c r="AC6" s="344">
        <v>3</v>
      </c>
      <c r="AD6" s="360">
        <f t="shared" si="8"/>
        <v>3</v>
      </c>
      <c r="AE6" s="361">
        <v>1</v>
      </c>
      <c r="AF6" s="363">
        <f t="shared" si="9"/>
        <v>1</v>
      </c>
      <c r="AG6" s="362">
        <v>3</v>
      </c>
      <c r="AH6" s="343">
        <f t="shared" si="10"/>
        <v>5</v>
      </c>
      <c r="AI6" s="229">
        <v>2</v>
      </c>
      <c r="AJ6" s="224">
        <f t="shared" si="11"/>
        <v>10</v>
      </c>
      <c r="AK6" s="224">
        <f t="shared" si="12"/>
        <v>13</v>
      </c>
      <c r="AL6" s="224">
        <f t="shared" si="13"/>
        <v>13</v>
      </c>
      <c r="AM6" s="229">
        <f>ROUNDUP(8*(0.75*F6)+(F6*(S6-10) / 2),0)</f>
        <v>24</v>
      </c>
      <c r="AN6" s="396">
        <f t="shared" si="14"/>
        <v>14</v>
      </c>
      <c r="AO6" s="368" t="s">
        <v>794</v>
      </c>
      <c r="AP6" s="410" t="s">
        <v>686</v>
      </c>
      <c r="AQ6" s="411" t="s">
        <v>809</v>
      </c>
      <c r="AR6" s="227" t="s">
        <v>696</v>
      </c>
      <c r="AS6" s="220" t="s">
        <v>786</v>
      </c>
      <c r="AT6" s="262">
        <f t="shared" si="15"/>
        <v>3</v>
      </c>
      <c r="AU6" s="228" t="s">
        <v>1214</v>
      </c>
    </row>
    <row r="7" spans="1:47" ht="52.8" x14ac:dyDescent="0.3">
      <c r="A7" s="502" t="s">
        <v>847</v>
      </c>
      <c r="B7" s="502" t="s">
        <v>848</v>
      </c>
      <c r="C7" s="195" t="s">
        <v>1087</v>
      </c>
      <c r="D7" s="195" t="s">
        <v>287</v>
      </c>
      <c r="E7" s="390" t="s">
        <v>677</v>
      </c>
      <c r="F7" s="221">
        <v>2</v>
      </c>
      <c r="G7" s="220" t="s">
        <v>672</v>
      </c>
      <c r="H7" s="220">
        <v>20</v>
      </c>
      <c r="I7" s="195" t="s">
        <v>675</v>
      </c>
      <c r="J7" s="227" t="s">
        <v>756</v>
      </c>
      <c r="K7" s="220" t="s">
        <v>1186</v>
      </c>
      <c r="L7" s="262" t="s">
        <v>753</v>
      </c>
      <c r="M7" s="262" t="s">
        <v>716</v>
      </c>
      <c r="N7" s="228" t="s">
        <v>717</v>
      </c>
      <c r="O7" s="222">
        <v>8</v>
      </c>
      <c r="P7" s="223">
        <f t="shared" si="0"/>
        <v>-1</v>
      </c>
      <c r="Q7" s="223">
        <v>14</v>
      </c>
      <c r="R7" s="223" t="str">
        <f t="shared" si="1"/>
        <v>+2</v>
      </c>
      <c r="S7" s="223">
        <v>8</v>
      </c>
      <c r="T7" s="223">
        <f t="shared" si="2"/>
        <v>-1</v>
      </c>
      <c r="U7" s="223">
        <v>12</v>
      </c>
      <c r="V7" s="223" t="str">
        <f t="shared" si="3"/>
        <v>+1</v>
      </c>
      <c r="W7" s="223">
        <v>10</v>
      </c>
      <c r="X7" s="223" t="str">
        <f t="shared" si="4"/>
        <v>+0</v>
      </c>
      <c r="Y7" s="224">
        <v>14</v>
      </c>
      <c r="Z7" s="224" t="str">
        <f t="shared" si="5"/>
        <v>+2</v>
      </c>
      <c r="AA7" s="225">
        <f t="shared" si="6"/>
        <v>11</v>
      </c>
      <c r="AB7" s="226" t="str">
        <f t="shared" si="7"/>
        <v>+2</v>
      </c>
      <c r="AC7" s="344">
        <v>0</v>
      </c>
      <c r="AD7" s="360">
        <f t="shared" si="8"/>
        <v>-1</v>
      </c>
      <c r="AE7" s="361">
        <v>2</v>
      </c>
      <c r="AF7" s="363">
        <f t="shared" si="9"/>
        <v>4</v>
      </c>
      <c r="AG7" s="362">
        <v>2</v>
      </c>
      <c r="AH7" s="343">
        <f t="shared" si="10"/>
        <v>2</v>
      </c>
      <c r="AI7" s="229">
        <v>0</v>
      </c>
      <c r="AJ7" s="224">
        <f t="shared" si="11"/>
        <v>12</v>
      </c>
      <c r="AK7" s="224">
        <f t="shared" si="12"/>
        <v>13</v>
      </c>
      <c r="AL7" s="224">
        <f t="shared" si="13"/>
        <v>15</v>
      </c>
      <c r="AM7" s="229">
        <f>ROUNDUP(8*(0.75*F7)+(F7*(S7-10) / 2),0)</f>
        <v>10</v>
      </c>
      <c r="AN7" s="396">
        <f t="shared" si="14"/>
        <v>15</v>
      </c>
      <c r="AO7" s="368" t="s">
        <v>783</v>
      </c>
      <c r="AP7" s="410" t="s">
        <v>693</v>
      </c>
      <c r="AQ7" s="411" t="s">
        <v>691</v>
      </c>
      <c r="AR7" s="227" t="s">
        <v>697</v>
      </c>
      <c r="AS7" s="220" t="s">
        <v>786</v>
      </c>
      <c r="AT7" s="262">
        <f t="shared" si="15"/>
        <v>3</v>
      </c>
      <c r="AU7" s="228" t="s">
        <v>1214</v>
      </c>
    </row>
    <row r="8" spans="1:47" ht="46.8" x14ac:dyDescent="0.3">
      <c r="A8" s="502" t="s">
        <v>883</v>
      </c>
      <c r="B8" s="502" t="s">
        <v>884</v>
      </c>
      <c r="C8" s="195" t="s">
        <v>1087</v>
      </c>
      <c r="D8" s="195" t="s">
        <v>287</v>
      </c>
      <c r="E8" s="392" t="s">
        <v>806</v>
      </c>
      <c r="F8" s="221">
        <v>2</v>
      </c>
      <c r="G8" s="220" t="s">
        <v>672</v>
      </c>
      <c r="H8" s="220">
        <v>18</v>
      </c>
      <c r="I8" s="195" t="s">
        <v>675</v>
      </c>
      <c r="J8" s="227" t="s">
        <v>780</v>
      </c>
      <c r="K8" s="220" t="s">
        <v>747</v>
      </c>
      <c r="L8" s="262" t="s">
        <v>891</v>
      </c>
      <c r="M8" s="262" t="s">
        <v>1115</v>
      </c>
      <c r="N8" s="228" t="s">
        <v>733</v>
      </c>
      <c r="O8" s="222">
        <v>8</v>
      </c>
      <c r="P8" s="223">
        <f t="shared" si="0"/>
        <v>-1</v>
      </c>
      <c r="Q8" s="223">
        <v>8</v>
      </c>
      <c r="R8" s="223">
        <f t="shared" si="1"/>
        <v>-1</v>
      </c>
      <c r="S8" s="223">
        <v>8</v>
      </c>
      <c r="T8" s="223">
        <f t="shared" si="2"/>
        <v>-1</v>
      </c>
      <c r="U8" s="223">
        <v>8</v>
      </c>
      <c r="V8" s="223">
        <f t="shared" si="3"/>
        <v>-1</v>
      </c>
      <c r="W8" s="223">
        <v>12</v>
      </c>
      <c r="X8" s="223" t="str">
        <f t="shared" si="4"/>
        <v>+1</v>
      </c>
      <c r="Y8" s="224">
        <v>10</v>
      </c>
      <c r="Z8" s="224" t="str">
        <f t="shared" si="5"/>
        <v>+0</v>
      </c>
      <c r="AA8" s="225">
        <f t="shared" si="6"/>
        <v>9</v>
      </c>
      <c r="AB8" s="226">
        <f t="shared" si="7"/>
        <v>-1</v>
      </c>
      <c r="AC8" s="344">
        <v>2</v>
      </c>
      <c r="AD8" s="360">
        <f t="shared" si="8"/>
        <v>1</v>
      </c>
      <c r="AE8" s="361">
        <v>0</v>
      </c>
      <c r="AF8" s="363">
        <f t="shared" si="9"/>
        <v>-1</v>
      </c>
      <c r="AG8" s="362">
        <v>2</v>
      </c>
      <c r="AH8" s="343">
        <f t="shared" si="10"/>
        <v>3</v>
      </c>
      <c r="AI8" s="229">
        <v>0</v>
      </c>
      <c r="AJ8" s="224">
        <f t="shared" si="11"/>
        <v>9</v>
      </c>
      <c r="AK8" s="224">
        <f t="shared" si="12"/>
        <v>13</v>
      </c>
      <c r="AL8" s="224">
        <f t="shared" si="13"/>
        <v>12</v>
      </c>
      <c r="AM8" s="229">
        <f>ROUNDUP(8*(0.75*F8)+(F8*(S8-10) / 2),0)</f>
        <v>10</v>
      </c>
      <c r="AN8" s="396">
        <f t="shared" si="14"/>
        <v>5</v>
      </c>
      <c r="AO8" s="368" t="s">
        <v>804</v>
      </c>
      <c r="AP8" s="410" t="s">
        <v>687</v>
      </c>
      <c r="AQ8" s="411" t="s">
        <v>811</v>
      </c>
      <c r="AR8" s="227" t="s">
        <v>696</v>
      </c>
      <c r="AS8" s="220" t="s">
        <v>786</v>
      </c>
      <c r="AT8" s="262">
        <f t="shared" si="15"/>
        <v>3</v>
      </c>
      <c r="AU8" s="228" t="s">
        <v>1214</v>
      </c>
    </row>
    <row r="9" spans="1:47" ht="52.8" x14ac:dyDescent="0.3">
      <c r="A9" s="502" t="s">
        <v>863</v>
      </c>
      <c r="B9" s="502" t="s">
        <v>864</v>
      </c>
      <c r="C9" s="195" t="s">
        <v>1087</v>
      </c>
      <c r="D9" s="195" t="s">
        <v>287</v>
      </c>
      <c r="E9" s="392" t="s">
        <v>806</v>
      </c>
      <c r="F9" s="221">
        <v>1</v>
      </c>
      <c r="G9" s="220" t="s">
        <v>235</v>
      </c>
      <c r="H9" s="220">
        <v>18</v>
      </c>
      <c r="I9" s="195" t="s">
        <v>676</v>
      </c>
      <c r="J9" s="227" t="s">
        <v>770</v>
      </c>
      <c r="K9" s="220" t="s">
        <v>1187</v>
      </c>
      <c r="L9" s="262" t="s">
        <v>891</v>
      </c>
      <c r="M9" s="262" t="s">
        <v>1093</v>
      </c>
      <c r="N9" s="228" t="s">
        <v>728</v>
      </c>
      <c r="O9" s="222">
        <v>10</v>
      </c>
      <c r="P9" s="223" t="str">
        <f t="shared" si="0"/>
        <v>+0</v>
      </c>
      <c r="Q9" s="223">
        <v>8</v>
      </c>
      <c r="R9" s="223">
        <f t="shared" si="1"/>
        <v>-1</v>
      </c>
      <c r="S9" s="223">
        <v>8</v>
      </c>
      <c r="T9" s="223">
        <f t="shared" si="2"/>
        <v>-1</v>
      </c>
      <c r="U9" s="223">
        <v>12</v>
      </c>
      <c r="V9" s="223" t="str">
        <f t="shared" si="3"/>
        <v>+1</v>
      </c>
      <c r="W9" s="223">
        <v>14</v>
      </c>
      <c r="X9" s="223" t="str">
        <f t="shared" si="4"/>
        <v>+2</v>
      </c>
      <c r="Y9" s="224">
        <v>8</v>
      </c>
      <c r="Z9" s="224">
        <f t="shared" si="5"/>
        <v>-1</v>
      </c>
      <c r="AA9" s="225">
        <f t="shared" si="6"/>
        <v>10</v>
      </c>
      <c r="AB9" s="226">
        <f t="shared" si="7"/>
        <v>-1</v>
      </c>
      <c r="AC9" s="344">
        <v>2</v>
      </c>
      <c r="AD9" s="360">
        <f t="shared" si="8"/>
        <v>1</v>
      </c>
      <c r="AE9" s="361">
        <v>0</v>
      </c>
      <c r="AF9" s="363">
        <f t="shared" si="9"/>
        <v>-1</v>
      </c>
      <c r="AG9" s="362">
        <v>2</v>
      </c>
      <c r="AH9" s="343">
        <f t="shared" si="10"/>
        <v>4</v>
      </c>
      <c r="AI9" s="229">
        <v>0</v>
      </c>
      <c r="AJ9" s="224">
        <f t="shared" si="11"/>
        <v>9</v>
      </c>
      <c r="AK9" s="224">
        <f t="shared" si="12"/>
        <v>13</v>
      </c>
      <c r="AL9" s="224">
        <f t="shared" si="13"/>
        <v>12</v>
      </c>
      <c r="AM9" s="229">
        <f>ROUNDUP(8*(0.75*F9)+(F9*(S9-10) / 2),0)</f>
        <v>5</v>
      </c>
      <c r="AN9" s="396">
        <f t="shared" si="14"/>
        <v>12</v>
      </c>
      <c r="AO9" s="368" t="s">
        <v>802</v>
      </c>
      <c r="AP9" s="410" t="s">
        <v>687</v>
      </c>
      <c r="AQ9" s="411" t="s">
        <v>811</v>
      </c>
      <c r="AR9" s="227" t="s">
        <v>696</v>
      </c>
      <c r="AS9" s="220" t="s">
        <v>786</v>
      </c>
      <c r="AT9" s="262">
        <f t="shared" si="15"/>
        <v>3</v>
      </c>
      <c r="AU9" s="228" t="s">
        <v>1214</v>
      </c>
    </row>
    <row r="10" spans="1:47" ht="62.4" x14ac:dyDescent="0.3">
      <c r="A10" s="502" t="s">
        <v>682</v>
      </c>
      <c r="B10" s="502"/>
      <c r="C10" s="195" t="s">
        <v>1087</v>
      </c>
      <c r="D10" s="195" t="s">
        <v>287</v>
      </c>
      <c r="E10" s="392" t="s">
        <v>806</v>
      </c>
      <c r="F10" s="221">
        <v>1</v>
      </c>
      <c r="G10" s="220" t="s">
        <v>672</v>
      </c>
      <c r="H10" s="220">
        <v>18</v>
      </c>
      <c r="I10" s="195" t="s">
        <v>675</v>
      </c>
      <c r="J10" s="227" t="s">
        <v>773</v>
      </c>
      <c r="K10" s="220" t="s">
        <v>1188</v>
      </c>
      <c r="L10" s="262" t="s">
        <v>732</v>
      </c>
      <c r="M10" s="262" t="s">
        <v>1116</v>
      </c>
      <c r="N10" s="228" t="s">
        <v>733</v>
      </c>
      <c r="O10" s="222">
        <v>8</v>
      </c>
      <c r="P10" s="223">
        <f t="shared" si="0"/>
        <v>-1</v>
      </c>
      <c r="Q10" s="223">
        <v>8</v>
      </c>
      <c r="R10" s="223">
        <f t="shared" si="1"/>
        <v>-1</v>
      </c>
      <c r="S10" s="223">
        <v>8</v>
      </c>
      <c r="T10" s="223">
        <f t="shared" si="2"/>
        <v>-1</v>
      </c>
      <c r="U10" s="223">
        <v>8</v>
      </c>
      <c r="V10" s="223">
        <f t="shared" si="3"/>
        <v>-1</v>
      </c>
      <c r="W10" s="223">
        <v>12</v>
      </c>
      <c r="X10" s="223" t="str">
        <f t="shared" si="4"/>
        <v>+1</v>
      </c>
      <c r="Y10" s="224">
        <v>10</v>
      </c>
      <c r="Z10" s="224" t="str">
        <f t="shared" si="5"/>
        <v>+0</v>
      </c>
      <c r="AA10" s="225">
        <f t="shared" si="6"/>
        <v>9</v>
      </c>
      <c r="AB10" s="226">
        <f t="shared" si="7"/>
        <v>-1</v>
      </c>
      <c r="AC10" s="344">
        <v>2</v>
      </c>
      <c r="AD10" s="360">
        <f t="shared" si="8"/>
        <v>1</v>
      </c>
      <c r="AE10" s="361">
        <v>0</v>
      </c>
      <c r="AF10" s="363">
        <f t="shared" si="9"/>
        <v>-1</v>
      </c>
      <c r="AG10" s="362">
        <v>2</v>
      </c>
      <c r="AH10" s="343">
        <f t="shared" si="10"/>
        <v>3</v>
      </c>
      <c r="AI10" s="229">
        <v>0</v>
      </c>
      <c r="AJ10" s="224">
        <f t="shared" si="11"/>
        <v>9</v>
      </c>
      <c r="AK10" s="224">
        <f t="shared" si="12"/>
        <v>13</v>
      </c>
      <c r="AL10" s="224">
        <f t="shared" si="13"/>
        <v>12</v>
      </c>
      <c r="AM10" s="229">
        <f>ROUNDUP(8*(0.75*F10)+(F10*(S10-10) / 2),0)</f>
        <v>5</v>
      </c>
      <c r="AN10" s="396">
        <f t="shared" si="14"/>
        <v>4</v>
      </c>
      <c r="AO10" s="368" t="s">
        <v>804</v>
      </c>
      <c r="AP10" s="410" t="s">
        <v>687</v>
      </c>
      <c r="AQ10" s="411" t="s">
        <v>811</v>
      </c>
      <c r="AR10" s="227" t="s">
        <v>696</v>
      </c>
      <c r="AS10" s="220" t="s">
        <v>786</v>
      </c>
      <c r="AT10" s="262">
        <f t="shared" si="15"/>
        <v>3</v>
      </c>
      <c r="AU10" s="228" t="s">
        <v>1214</v>
      </c>
    </row>
    <row r="11" spans="1:47" ht="46.8" x14ac:dyDescent="0.3">
      <c r="A11" s="502" t="s">
        <v>1118</v>
      </c>
      <c r="B11" s="502" t="s">
        <v>1119</v>
      </c>
      <c r="C11" s="195" t="s">
        <v>1199</v>
      </c>
      <c r="D11" s="195" t="s">
        <v>1120</v>
      </c>
      <c r="E11" s="392" t="s">
        <v>1121</v>
      </c>
      <c r="F11" s="221">
        <v>1</v>
      </c>
      <c r="G11" s="220" t="s">
        <v>235</v>
      </c>
      <c r="H11" s="220">
        <v>44</v>
      </c>
      <c r="I11" s="195" t="s">
        <v>676</v>
      </c>
      <c r="J11" s="227" t="s">
        <v>1215</v>
      </c>
      <c r="K11" s="220" t="s">
        <v>1216</v>
      </c>
      <c r="L11" s="262" t="s">
        <v>1217</v>
      </c>
      <c r="M11" s="262" t="s">
        <v>1200</v>
      </c>
      <c r="N11" s="228" t="s">
        <v>1122</v>
      </c>
      <c r="O11" s="222">
        <v>10</v>
      </c>
      <c r="P11" s="223" t="s">
        <v>295</v>
      </c>
      <c r="Q11" s="223">
        <v>11</v>
      </c>
      <c r="R11" s="223" t="s">
        <v>295</v>
      </c>
      <c r="S11" s="223">
        <v>15</v>
      </c>
      <c r="T11" s="223" t="s">
        <v>1178</v>
      </c>
      <c r="U11" s="223">
        <v>10</v>
      </c>
      <c r="V11" s="223" t="s">
        <v>295</v>
      </c>
      <c r="W11" s="223">
        <v>17</v>
      </c>
      <c r="X11" s="223" t="s">
        <v>1179</v>
      </c>
      <c r="Y11" s="224">
        <v>14</v>
      </c>
      <c r="Z11" s="224" t="s">
        <v>1178</v>
      </c>
      <c r="AA11" s="225">
        <f t="shared" si="6"/>
        <v>12.833333333333334</v>
      </c>
      <c r="AB11" s="226" t="s">
        <v>295</v>
      </c>
      <c r="AC11" s="344">
        <v>2</v>
      </c>
      <c r="AD11" s="360">
        <v>4</v>
      </c>
      <c r="AE11" s="361">
        <v>0</v>
      </c>
      <c r="AF11" s="363">
        <v>0</v>
      </c>
      <c r="AG11" s="362">
        <v>2</v>
      </c>
      <c r="AH11" s="343">
        <v>5</v>
      </c>
      <c r="AI11" s="229">
        <v>0</v>
      </c>
      <c r="AJ11" s="224">
        <v>13</v>
      </c>
      <c r="AK11" s="224">
        <v>10</v>
      </c>
      <c r="AL11" s="224">
        <v>13</v>
      </c>
      <c r="AM11" s="229">
        <v>9</v>
      </c>
      <c r="AN11" s="396">
        <v>6</v>
      </c>
      <c r="AO11" s="368" t="s">
        <v>798</v>
      </c>
      <c r="AP11" s="410" t="s">
        <v>688</v>
      </c>
      <c r="AQ11" s="411" t="s">
        <v>1202</v>
      </c>
      <c r="AR11" s="227" t="s">
        <v>1123</v>
      </c>
      <c r="AS11" s="220" t="s">
        <v>1124</v>
      </c>
      <c r="AT11" s="262">
        <v>3</v>
      </c>
      <c r="AU11" s="228" t="s">
        <v>1214</v>
      </c>
    </row>
    <row r="12" spans="1:47" ht="46.8" x14ac:dyDescent="0.3">
      <c r="A12" s="502" t="s">
        <v>1125</v>
      </c>
      <c r="B12" s="502" t="s">
        <v>1126</v>
      </c>
      <c r="C12" s="195" t="s">
        <v>1199</v>
      </c>
      <c r="D12" s="195" t="s">
        <v>1127</v>
      </c>
      <c r="E12" s="392" t="s">
        <v>1128</v>
      </c>
      <c r="F12" s="221">
        <v>1</v>
      </c>
      <c r="G12" s="220" t="s">
        <v>235</v>
      </c>
      <c r="H12" s="220">
        <v>40</v>
      </c>
      <c r="I12" s="195" t="s">
        <v>673</v>
      </c>
      <c r="J12" s="227" t="s">
        <v>1228</v>
      </c>
      <c r="K12" s="220" t="s">
        <v>1218</v>
      </c>
      <c r="L12" s="262" t="s">
        <v>1217</v>
      </c>
      <c r="M12" s="262" t="s">
        <v>1200</v>
      </c>
      <c r="N12" s="228" t="s">
        <v>1129</v>
      </c>
      <c r="O12" s="222">
        <v>5</v>
      </c>
      <c r="P12" s="223">
        <v>-3</v>
      </c>
      <c r="Q12" s="223">
        <v>8</v>
      </c>
      <c r="R12" s="223">
        <v>-1</v>
      </c>
      <c r="S12" s="223">
        <v>12</v>
      </c>
      <c r="T12" s="223" t="s">
        <v>1180</v>
      </c>
      <c r="U12" s="223">
        <v>15</v>
      </c>
      <c r="V12" s="223" t="s">
        <v>1178</v>
      </c>
      <c r="W12" s="223">
        <v>15</v>
      </c>
      <c r="X12" s="223" t="s">
        <v>1178</v>
      </c>
      <c r="Y12" s="224">
        <v>13</v>
      </c>
      <c r="Z12" s="224" t="s">
        <v>1180</v>
      </c>
      <c r="AA12" s="225">
        <f t="shared" si="6"/>
        <v>11.333333333333334</v>
      </c>
      <c r="AB12" s="226">
        <v>-1</v>
      </c>
      <c r="AC12" s="344">
        <v>0</v>
      </c>
      <c r="AD12" s="360">
        <v>1</v>
      </c>
      <c r="AE12" s="361">
        <v>0</v>
      </c>
      <c r="AF12" s="363">
        <v>-1</v>
      </c>
      <c r="AG12" s="362">
        <v>2</v>
      </c>
      <c r="AH12" s="343">
        <v>4</v>
      </c>
      <c r="AI12" s="229">
        <v>0</v>
      </c>
      <c r="AJ12" s="224">
        <v>9</v>
      </c>
      <c r="AK12" s="224">
        <v>11</v>
      </c>
      <c r="AL12" s="224">
        <v>10</v>
      </c>
      <c r="AM12" s="229">
        <v>7</v>
      </c>
      <c r="AN12" s="396">
        <v>16</v>
      </c>
      <c r="AO12" s="368" t="s">
        <v>1203</v>
      </c>
      <c r="AP12" s="500"/>
      <c r="AQ12" s="501"/>
      <c r="AR12" s="227" t="s">
        <v>1130</v>
      </c>
      <c r="AS12" s="220" t="s">
        <v>1131</v>
      </c>
      <c r="AT12" s="262">
        <v>1</v>
      </c>
      <c r="AU12" s="228" t="s">
        <v>1214</v>
      </c>
    </row>
    <row r="13" spans="1:47" ht="46.8" x14ac:dyDescent="0.3">
      <c r="A13" s="502" t="s">
        <v>1132</v>
      </c>
      <c r="B13" s="502" t="s">
        <v>1133</v>
      </c>
      <c r="C13" s="195" t="s">
        <v>1199</v>
      </c>
      <c r="D13" s="195" t="s">
        <v>1134</v>
      </c>
      <c r="E13" s="392" t="s">
        <v>1128</v>
      </c>
      <c r="F13" s="221">
        <v>1</v>
      </c>
      <c r="G13" s="220" t="s">
        <v>672</v>
      </c>
      <c r="H13" s="220">
        <v>37</v>
      </c>
      <c r="I13" s="195" t="s">
        <v>673</v>
      </c>
      <c r="J13" s="227" t="s">
        <v>1219</v>
      </c>
      <c r="K13" s="220" t="s">
        <v>1220</v>
      </c>
      <c r="L13" s="262" t="s">
        <v>1217</v>
      </c>
      <c r="M13" s="262" t="s">
        <v>1201</v>
      </c>
      <c r="N13" s="228" t="s">
        <v>1135</v>
      </c>
      <c r="O13" s="222">
        <v>6</v>
      </c>
      <c r="P13" s="223">
        <v>-2</v>
      </c>
      <c r="Q13" s="223">
        <v>9</v>
      </c>
      <c r="R13" s="223">
        <v>-1</v>
      </c>
      <c r="S13" s="223">
        <v>9</v>
      </c>
      <c r="T13" s="223">
        <v>-1</v>
      </c>
      <c r="U13" s="223">
        <v>14</v>
      </c>
      <c r="V13" s="223" t="s">
        <v>1178</v>
      </c>
      <c r="W13" s="223">
        <v>13</v>
      </c>
      <c r="X13" s="223" t="s">
        <v>1180</v>
      </c>
      <c r="Y13" s="224">
        <v>17</v>
      </c>
      <c r="Z13" s="224" t="s">
        <v>1179</v>
      </c>
      <c r="AA13" s="225">
        <f t="shared" si="6"/>
        <v>11.333333333333334</v>
      </c>
      <c r="AB13" s="226">
        <v>-1</v>
      </c>
      <c r="AC13" s="344">
        <v>0</v>
      </c>
      <c r="AD13" s="360">
        <v>-1</v>
      </c>
      <c r="AE13" s="361">
        <v>0</v>
      </c>
      <c r="AF13" s="363">
        <v>-1</v>
      </c>
      <c r="AG13" s="362">
        <v>2</v>
      </c>
      <c r="AH13" s="343">
        <v>3</v>
      </c>
      <c r="AI13" s="229">
        <v>0</v>
      </c>
      <c r="AJ13" s="224">
        <v>9</v>
      </c>
      <c r="AK13" s="224">
        <v>11</v>
      </c>
      <c r="AL13" s="224">
        <v>10</v>
      </c>
      <c r="AM13" s="229">
        <v>6</v>
      </c>
      <c r="AN13" s="396">
        <v>16</v>
      </c>
      <c r="AO13" s="368" t="s">
        <v>1204</v>
      </c>
      <c r="AP13" s="500"/>
      <c r="AQ13" s="501"/>
      <c r="AR13" s="227" t="s">
        <v>1136</v>
      </c>
      <c r="AS13" s="220" t="s">
        <v>1131</v>
      </c>
      <c r="AT13" s="262">
        <v>1</v>
      </c>
      <c r="AU13" s="228" t="s">
        <v>1214</v>
      </c>
    </row>
    <row r="14" spans="1:47" ht="46.8" x14ac:dyDescent="0.3">
      <c r="A14" s="502" t="s">
        <v>1137</v>
      </c>
      <c r="B14" s="502" t="s">
        <v>1138</v>
      </c>
      <c r="C14" s="195" t="s">
        <v>1199</v>
      </c>
      <c r="D14" s="195" t="s">
        <v>1120</v>
      </c>
      <c r="E14" s="392" t="s">
        <v>1128</v>
      </c>
      <c r="F14" s="221">
        <v>1</v>
      </c>
      <c r="G14" s="220" t="s">
        <v>672</v>
      </c>
      <c r="H14" s="220">
        <v>32</v>
      </c>
      <c r="I14" s="195" t="s">
        <v>673</v>
      </c>
      <c r="J14" s="227" t="s">
        <v>1221</v>
      </c>
      <c r="K14" s="220" t="s">
        <v>1222</v>
      </c>
      <c r="L14" s="262" t="s">
        <v>1217</v>
      </c>
      <c r="M14" s="262" t="s">
        <v>1200</v>
      </c>
      <c r="N14" s="228" t="s">
        <v>728</v>
      </c>
      <c r="O14" s="222">
        <v>8</v>
      </c>
      <c r="P14" s="223">
        <v>-1</v>
      </c>
      <c r="Q14" s="223">
        <v>11</v>
      </c>
      <c r="R14" s="223" t="s">
        <v>295</v>
      </c>
      <c r="S14" s="223">
        <v>10</v>
      </c>
      <c r="T14" s="223" t="s">
        <v>295</v>
      </c>
      <c r="U14" s="223">
        <v>15</v>
      </c>
      <c r="V14" s="223" t="s">
        <v>1178</v>
      </c>
      <c r="W14" s="223">
        <v>14</v>
      </c>
      <c r="X14" s="223" t="s">
        <v>1178</v>
      </c>
      <c r="Y14" s="224">
        <v>6</v>
      </c>
      <c r="Z14" s="224">
        <v>-2</v>
      </c>
      <c r="AA14" s="225">
        <f t="shared" si="6"/>
        <v>10.666666666666666</v>
      </c>
      <c r="AB14" s="226" t="s">
        <v>295</v>
      </c>
      <c r="AC14" s="344">
        <v>0</v>
      </c>
      <c r="AD14" s="360">
        <v>0</v>
      </c>
      <c r="AE14" s="361">
        <v>0</v>
      </c>
      <c r="AF14" s="363">
        <v>0</v>
      </c>
      <c r="AG14" s="362">
        <v>2</v>
      </c>
      <c r="AH14" s="343">
        <v>4</v>
      </c>
      <c r="AI14" s="229">
        <v>0</v>
      </c>
      <c r="AJ14" s="224">
        <v>10</v>
      </c>
      <c r="AK14" s="224">
        <v>11</v>
      </c>
      <c r="AL14" s="224">
        <v>11</v>
      </c>
      <c r="AM14" s="229">
        <v>6</v>
      </c>
      <c r="AN14" s="396">
        <v>16</v>
      </c>
      <c r="AO14" s="368" t="s">
        <v>1205</v>
      </c>
      <c r="AP14" s="500"/>
      <c r="AQ14" s="501"/>
      <c r="AR14" s="227" t="s">
        <v>1139</v>
      </c>
      <c r="AS14" s="220" t="s">
        <v>1131</v>
      </c>
      <c r="AT14" s="262">
        <v>1</v>
      </c>
      <c r="AU14" s="228" t="s">
        <v>1214</v>
      </c>
    </row>
    <row r="15" spans="1:47" ht="46.8" x14ac:dyDescent="0.3">
      <c r="A15" s="502" t="s">
        <v>1140</v>
      </c>
      <c r="B15" s="502" t="s">
        <v>1141</v>
      </c>
      <c r="C15" s="195" t="s">
        <v>1199</v>
      </c>
      <c r="D15" s="195" t="s">
        <v>1142</v>
      </c>
      <c r="E15" s="392" t="s">
        <v>1128</v>
      </c>
      <c r="F15" s="221">
        <v>1</v>
      </c>
      <c r="G15" s="220" t="s">
        <v>672</v>
      </c>
      <c r="H15" s="220">
        <v>40</v>
      </c>
      <c r="I15" s="195" t="s">
        <v>673</v>
      </c>
      <c r="J15" s="227" t="s">
        <v>1229</v>
      </c>
      <c r="K15" s="220" t="s">
        <v>1223</v>
      </c>
      <c r="L15" s="262" t="s">
        <v>1217</v>
      </c>
      <c r="M15" s="262" t="s">
        <v>1200</v>
      </c>
      <c r="N15" s="228" t="s">
        <v>1143</v>
      </c>
      <c r="O15" s="222">
        <v>9</v>
      </c>
      <c r="P15" s="223">
        <v>-1</v>
      </c>
      <c r="Q15" s="223">
        <v>12</v>
      </c>
      <c r="R15" s="223" t="s">
        <v>1180</v>
      </c>
      <c r="S15" s="223">
        <v>12</v>
      </c>
      <c r="T15" s="223" t="s">
        <v>1180</v>
      </c>
      <c r="U15" s="223">
        <v>14</v>
      </c>
      <c r="V15" s="223" t="s">
        <v>1178</v>
      </c>
      <c r="W15" s="223">
        <v>15</v>
      </c>
      <c r="X15" s="223" t="s">
        <v>1178</v>
      </c>
      <c r="Y15" s="224">
        <v>9</v>
      </c>
      <c r="Z15" s="224">
        <v>-1</v>
      </c>
      <c r="AA15" s="225">
        <f t="shared" si="6"/>
        <v>11.833333333333334</v>
      </c>
      <c r="AB15" s="226" t="s">
        <v>1180</v>
      </c>
      <c r="AC15" s="344">
        <v>0</v>
      </c>
      <c r="AD15" s="360">
        <v>1</v>
      </c>
      <c r="AE15" s="361">
        <v>0</v>
      </c>
      <c r="AF15" s="363">
        <v>1</v>
      </c>
      <c r="AG15" s="362">
        <v>2</v>
      </c>
      <c r="AH15" s="343">
        <v>4</v>
      </c>
      <c r="AI15" s="229">
        <v>0</v>
      </c>
      <c r="AJ15" s="224">
        <v>11</v>
      </c>
      <c r="AK15" s="224">
        <v>11</v>
      </c>
      <c r="AL15" s="224">
        <v>12</v>
      </c>
      <c r="AM15" s="229">
        <v>7</v>
      </c>
      <c r="AN15" s="396">
        <v>16</v>
      </c>
      <c r="AO15" s="368" t="s">
        <v>1206</v>
      </c>
      <c r="AP15" s="500"/>
      <c r="AQ15" s="501"/>
      <c r="AR15" s="227" t="s">
        <v>1144</v>
      </c>
      <c r="AS15" s="220" t="s">
        <v>1131</v>
      </c>
      <c r="AT15" s="262">
        <v>1</v>
      </c>
      <c r="AU15" s="228" t="s">
        <v>1214</v>
      </c>
    </row>
    <row r="16" spans="1:47" ht="52.8" x14ac:dyDescent="0.3">
      <c r="A16" s="502" t="s">
        <v>1145</v>
      </c>
      <c r="B16" s="502" t="s">
        <v>1146</v>
      </c>
      <c r="C16" s="195" t="s">
        <v>1199</v>
      </c>
      <c r="D16" s="195" t="s">
        <v>1147</v>
      </c>
      <c r="E16" s="392" t="s">
        <v>1148</v>
      </c>
      <c r="F16" s="221">
        <v>1</v>
      </c>
      <c r="G16" s="220" t="s">
        <v>235</v>
      </c>
      <c r="H16" s="220">
        <v>39</v>
      </c>
      <c r="I16" s="195" t="s">
        <v>673</v>
      </c>
      <c r="J16" s="227" t="s">
        <v>1230</v>
      </c>
      <c r="K16" s="220" t="s">
        <v>1224</v>
      </c>
      <c r="L16" s="262" t="s">
        <v>1217</v>
      </c>
      <c r="M16" s="262" t="s">
        <v>1200</v>
      </c>
      <c r="N16" s="228" t="s">
        <v>1149</v>
      </c>
      <c r="O16" s="222">
        <v>12</v>
      </c>
      <c r="P16" s="223" t="s">
        <v>1180</v>
      </c>
      <c r="Q16" s="223">
        <v>14</v>
      </c>
      <c r="R16" s="223" t="s">
        <v>1178</v>
      </c>
      <c r="S16" s="223">
        <v>11</v>
      </c>
      <c r="T16" s="223" t="s">
        <v>295</v>
      </c>
      <c r="U16" s="223">
        <v>14</v>
      </c>
      <c r="V16" s="223" t="s">
        <v>1178</v>
      </c>
      <c r="W16" s="223">
        <v>11</v>
      </c>
      <c r="X16" s="223" t="s">
        <v>295</v>
      </c>
      <c r="Y16" s="224">
        <v>10</v>
      </c>
      <c r="Z16" s="224" t="s">
        <v>295</v>
      </c>
      <c r="AA16" s="225">
        <f t="shared" si="6"/>
        <v>12</v>
      </c>
      <c r="AB16" s="226" t="s">
        <v>1178</v>
      </c>
      <c r="AC16" s="344">
        <v>0</v>
      </c>
      <c r="AD16" s="360">
        <v>0</v>
      </c>
      <c r="AE16" s="361">
        <v>2</v>
      </c>
      <c r="AF16" s="363">
        <v>4</v>
      </c>
      <c r="AG16" s="362">
        <v>0</v>
      </c>
      <c r="AH16" s="343">
        <v>0</v>
      </c>
      <c r="AI16" s="229">
        <v>0</v>
      </c>
      <c r="AJ16" s="224">
        <v>12</v>
      </c>
      <c r="AK16" s="224">
        <v>13</v>
      </c>
      <c r="AL16" s="224">
        <v>15</v>
      </c>
      <c r="AM16" s="229">
        <v>7</v>
      </c>
      <c r="AN16" s="396">
        <v>16</v>
      </c>
      <c r="AO16" s="368" t="s">
        <v>1207</v>
      </c>
      <c r="AP16" s="410" t="s">
        <v>324</v>
      </c>
      <c r="AQ16" s="411" t="s">
        <v>324</v>
      </c>
      <c r="AR16" s="227" t="s">
        <v>1150</v>
      </c>
      <c r="AS16" s="220" t="s">
        <v>1124</v>
      </c>
      <c r="AT16" s="262">
        <v>3</v>
      </c>
      <c r="AU16" s="228" t="s">
        <v>1214</v>
      </c>
    </row>
    <row r="17" spans="1:47" ht="46.8" x14ac:dyDescent="0.3">
      <c r="A17" s="502" t="s">
        <v>1151</v>
      </c>
      <c r="B17" s="502" t="s">
        <v>1152</v>
      </c>
      <c r="C17" s="195" t="s">
        <v>1199</v>
      </c>
      <c r="D17" s="195" t="s">
        <v>166</v>
      </c>
      <c r="E17" s="392" t="s">
        <v>1153</v>
      </c>
      <c r="F17" s="221">
        <v>1</v>
      </c>
      <c r="G17" s="220" t="s">
        <v>235</v>
      </c>
      <c r="H17" s="220">
        <v>23</v>
      </c>
      <c r="I17" s="195" t="s">
        <v>673</v>
      </c>
      <c r="J17" s="227" t="s">
        <v>1231</v>
      </c>
      <c r="K17" s="220" t="s">
        <v>1225</v>
      </c>
      <c r="L17" s="262" t="s">
        <v>1217</v>
      </c>
      <c r="M17" s="262" t="s">
        <v>1200</v>
      </c>
      <c r="N17" s="228" t="s">
        <v>1154</v>
      </c>
      <c r="O17" s="222">
        <v>17</v>
      </c>
      <c r="P17" s="223" t="s">
        <v>1179</v>
      </c>
      <c r="Q17" s="223">
        <v>11</v>
      </c>
      <c r="R17" s="223" t="s">
        <v>295</v>
      </c>
      <c r="S17" s="223">
        <v>14</v>
      </c>
      <c r="T17" s="223" t="s">
        <v>1178</v>
      </c>
      <c r="U17" s="223">
        <v>13</v>
      </c>
      <c r="V17" s="223" t="s">
        <v>1180</v>
      </c>
      <c r="W17" s="223">
        <v>13</v>
      </c>
      <c r="X17" s="223" t="s">
        <v>1180</v>
      </c>
      <c r="Y17" s="224">
        <v>18</v>
      </c>
      <c r="Z17" s="224" t="s">
        <v>1181</v>
      </c>
      <c r="AA17" s="225">
        <f t="shared" si="6"/>
        <v>14.333333333333334</v>
      </c>
      <c r="AB17" s="226" t="s">
        <v>295</v>
      </c>
      <c r="AC17" s="344">
        <v>0</v>
      </c>
      <c r="AD17" s="360">
        <v>2</v>
      </c>
      <c r="AE17" s="361">
        <v>0</v>
      </c>
      <c r="AF17" s="363">
        <v>0</v>
      </c>
      <c r="AG17" s="362">
        <v>2</v>
      </c>
      <c r="AH17" s="343">
        <v>3</v>
      </c>
      <c r="AI17" s="229">
        <v>1</v>
      </c>
      <c r="AJ17" s="224">
        <v>19</v>
      </c>
      <c r="AK17" s="224">
        <v>10</v>
      </c>
      <c r="AL17" s="224">
        <v>19</v>
      </c>
      <c r="AM17" s="229">
        <v>8</v>
      </c>
      <c r="AN17" s="396">
        <v>7</v>
      </c>
      <c r="AO17" s="368" t="s">
        <v>1208</v>
      </c>
      <c r="AP17" s="500"/>
      <c r="AQ17" s="501"/>
      <c r="AR17" s="227" t="s">
        <v>1155</v>
      </c>
      <c r="AS17" s="220" t="s">
        <v>1156</v>
      </c>
      <c r="AT17" s="262">
        <v>9</v>
      </c>
      <c r="AU17" s="228" t="s">
        <v>1214</v>
      </c>
    </row>
    <row r="18" spans="1:47" ht="92.4" x14ac:dyDescent="0.3">
      <c r="A18" s="502" t="s">
        <v>1157</v>
      </c>
      <c r="B18" s="502" t="s">
        <v>1158</v>
      </c>
      <c r="C18" s="195" t="s">
        <v>1199</v>
      </c>
      <c r="D18" s="195" t="s">
        <v>1127</v>
      </c>
      <c r="E18" s="392" t="s">
        <v>1159</v>
      </c>
      <c r="F18" s="221">
        <v>1</v>
      </c>
      <c r="G18" s="220" t="s">
        <v>235</v>
      </c>
      <c r="H18" s="220">
        <v>34</v>
      </c>
      <c r="I18" s="195" t="s">
        <v>673</v>
      </c>
      <c r="J18" s="227" t="s">
        <v>1232</v>
      </c>
      <c r="K18" s="220" t="s">
        <v>1226</v>
      </c>
      <c r="L18" s="262" t="s">
        <v>1217</v>
      </c>
      <c r="M18" s="262" t="s">
        <v>1200</v>
      </c>
      <c r="N18" s="228" t="s">
        <v>1160</v>
      </c>
      <c r="O18" s="222">
        <v>16</v>
      </c>
      <c r="P18" s="223" t="s">
        <v>1179</v>
      </c>
      <c r="Q18" s="223">
        <v>17</v>
      </c>
      <c r="R18" s="223" t="s">
        <v>1179</v>
      </c>
      <c r="S18" s="223">
        <v>15</v>
      </c>
      <c r="T18" s="223" t="s">
        <v>1178</v>
      </c>
      <c r="U18" s="223">
        <v>9</v>
      </c>
      <c r="V18" s="223">
        <v>-1</v>
      </c>
      <c r="W18" s="223">
        <v>17</v>
      </c>
      <c r="X18" s="223" t="s">
        <v>1179</v>
      </c>
      <c r="Y18" s="224">
        <v>10</v>
      </c>
      <c r="Z18" s="224" t="s">
        <v>295</v>
      </c>
      <c r="AA18" s="225">
        <f t="shared" si="6"/>
        <v>14</v>
      </c>
      <c r="AB18" s="226" t="s">
        <v>1179</v>
      </c>
      <c r="AC18" s="344">
        <v>2</v>
      </c>
      <c r="AD18" s="360">
        <v>4</v>
      </c>
      <c r="AE18" s="361">
        <v>2</v>
      </c>
      <c r="AF18" s="363">
        <v>5</v>
      </c>
      <c r="AG18" s="362">
        <v>2</v>
      </c>
      <c r="AH18" s="343">
        <v>5</v>
      </c>
      <c r="AI18" s="229">
        <v>1</v>
      </c>
      <c r="AJ18" s="224">
        <v>13</v>
      </c>
      <c r="AK18" s="224">
        <v>13</v>
      </c>
      <c r="AL18" s="224">
        <v>16</v>
      </c>
      <c r="AM18" s="229">
        <v>9</v>
      </c>
      <c r="AN18" s="396">
        <v>4</v>
      </c>
      <c r="AO18" s="368" t="s">
        <v>1209</v>
      </c>
      <c r="AP18" s="500"/>
      <c r="AQ18" s="501"/>
      <c r="AR18" s="227" t="s">
        <v>1161</v>
      </c>
      <c r="AS18" s="220" t="s">
        <v>1162</v>
      </c>
      <c r="AT18" s="262" t="s">
        <v>1179</v>
      </c>
      <c r="AU18" s="228" t="s">
        <v>1214</v>
      </c>
    </row>
    <row r="19" spans="1:47" ht="79.2" x14ac:dyDescent="0.3">
      <c r="A19" s="502" t="s">
        <v>1163</v>
      </c>
      <c r="B19" s="502" t="s">
        <v>1164</v>
      </c>
      <c r="C19" s="195" t="s">
        <v>1199</v>
      </c>
      <c r="D19" s="195" t="s">
        <v>166</v>
      </c>
      <c r="E19" s="392" t="s">
        <v>1165</v>
      </c>
      <c r="F19" s="221">
        <v>1</v>
      </c>
      <c r="G19" s="220" t="s">
        <v>672</v>
      </c>
      <c r="H19" s="220">
        <v>37</v>
      </c>
      <c r="I19" s="195" t="s">
        <v>676</v>
      </c>
      <c r="J19" s="227" t="s">
        <v>1233</v>
      </c>
      <c r="K19" s="220" t="s">
        <v>1227</v>
      </c>
      <c r="L19" s="262" t="s">
        <v>1217</v>
      </c>
      <c r="M19" s="262" t="s">
        <v>1200</v>
      </c>
      <c r="N19" s="228" t="s">
        <v>1166</v>
      </c>
      <c r="O19" s="222">
        <v>18</v>
      </c>
      <c r="P19" s="223" t="s">
        <v>1181</v>
      </c>
      <c r="Q19" s="223">
        <v>13</v>
      </c>
      <c r="R19" s="223" t="s">
        <v>1180</v>
      </c>
      <c r="S19" s="223">
        <v>13</v>
      </c>
      <c r="T19" s="223" t="s">
        <v>1180</v>
      </c>
      <c r="U19" s="223">
        <v>11</v>
      </c>
      <c r="V19" s="223" t="s">
        <v>295</v>
      </c>
      <c r="W19" s="223">
        <v>17</v>
      </c>
      <c r="X19" s="223" t="s">
        <v>1179</v>
      </c>
      <c r="Y19" s="224">
        <v>16</v>
      </c>
      <c r="Z19" s="224" t="s">
        <v>1179</v>
      </c>
      <c r="AA19" s="225">
        <f t="shared" si="6"/>
        <v>14.666666666666666</v>
      </c>
      <c r="AB19" s="226" t="s">
        <v>1180</v>
      </c>
      <c r="AC19" s="344">
        <v>2</v>
      </c>
      <c r="AD19" s="360">
        <v>3</v>
      </c>
      <c r="AE19" s="361">
        <v>0</v>
      </c>
      <c r="AF19" s="363">
        <v>1</v>
      </c>
      <c r="AG19" s="362">
        <v>0</v>
      </c>
      <c r="AH19" s="343">
        <v>3</v>
      </c>
      <c r="AI19" s="229">
        <v>1</v>
      </c>
      <c r="AJ19" s="224">
        <v>13</v>
      </c>
      <c r="AK19" s="224">
        <v>11</v>
      </c>
      <c r="AL19" s="224">
        <v>12</v>
      </c>
      <c r="AM19" s="229">
        <v>8</v>
      </c>
      <c r="AN19" s="396">
        <v>6</v>
      </c>
      <c r="AO19" s="368" t="s">
        <v>1210</v>
      </c>
      <c r="AP19" s="500"/>
      <c r="AQ19" s="501"/>
      <c r="AR19" s="227" t="s">
        <v>1167</v>
      </c>
      <c r="AS19" s="220" t="s">
        <v>1168</v>
      </c>
      <c r="AT19" s="262">
        <v>2</v>
      </c>
      <c r="AU19" s="228" t="s">
        <v>1214</v>
      </c>
    </row>
    <row r="20" spans="1:47" ht="79.2" x14ac:dyDescent="0.3">
      <c r="A20" s="230" t="s">
        <v>1169</v>
      </c>
      <c r="B20" s="230" t="s">
        <v>1170</v>
      </c>
      <c r="C20" s="195" t="s">
        <v>1199</v>
      </c>
      <c r="D20" s="195" t="s">
        <v>166</v>
      </c>
      <c r="E20" s="392" t="s">
        <v>1165</v>
      </c>
      <c r="F20" s="221">
        <v>1</v>
      </c>
      <c r="G20" s="220" t="s">
        <v>672</v>
      </c>
      <c r="H20" s="220">
        <v>27</v>
      </c>
      <c r="I20" s="195" t="s">
        <v>676</v>
      </c>
      <c r="J20" s="227" t="s">
        <v>1234</v>
      </c>
      <c r="K20" s="220" t="s">
        <v>1227</v>
      </c>
      <c r="L20" s="262" t="s">
        <v>1217</v>
      </c>
      <c r="M20" s="262" t="s">
        <v>1200</v>
      </c>
      <c r="N20" s="228" t="s">
        <v>1166</v>
      </c>
      <c r="O20" s="222">
        <v>14</v>
      </c>
      <c r="P20" s="223" t="s">
        <v>1178</v>
      </c>
      <c r="Q20" s="223">
        <v>11</v>
      </c>
      <c r="R20" s="223" t="s">
        <v>295</v>
      </c>
      <c r="S20" s="223">
        <v>13</v>
      </c>
      <c r="T20" s="223" t="s">
        <v>1180</v>
      </c>
      <c r="U20" s="223">
        <v>9</v>
      </c>
      <c r="V20" s="223">
        <v>-1</v>
      </c>
      <c r="W20" s="223">
        <v>17</v>
      </c>
      <c r="X20" s="223" t="s">
        <v>1179</v>
      </c>
      <c r="Y20" s="224">
        <v>18</v>
      </c>
      <c r="Z20" s="224" t="s">
        <v>1181</v>
      </c>
      <c r="AA20" s="225">
        <f t="shared" si="6"/>
        <v>13.666666666666666</v>
      </c>
      <c r="AB20" s="226" t="s">
        <v>295</v>
      </c>
      <c r="AC20" s="344">
        <v>2</v>
      </c>
      <c r="AD20" s="360">
        <v>3</v>
      </c>
      <c r="AE20" s="361">
        <v>0</v>
      </c>
      <c r="AF20" s="363">
        <v>0</v>
      </c>
      <c r="AG20" s="362">
        <v>0</v>
      </c>
      <c r="AH20" s="343">
        <v>3</v>
      </c>
      <c r="AI20" s="229">
        <v>1</v>
      </c>
      <c r="AJ20" s="224">
        <v>12</v>
      </c>
      <c r="AK20" s="224">
        <v>10</v>
      </c>
      <c r="AL20" s="224">
        <v>12</v>
      </c>
      <c r="AM20" s="229">
        <v>8</v>
      </c>
      <c r="AN20" s="396">
        <v>5</v>
      </c>
      <c r="AO20" s="368" t="s">
        <v>1211</v>
      </c>
      <c r="AP20" s="500"/>
      <c r="AQ20" s="501"/>
      <c r="AR20" s="227" t="s">
        <v>1171</v>
      </c>
      <c r="AS20" s="220" t="s">
        <v>1168</v>
      </c>
      <c r="AT20" s="262">
        <v>2</v>
      </c>
      <c r="AU20" s="228" t="s">
        <v>1214</v>
      </c>
    </row>
    <row r="21" spans="1:47" ht="79.2" x14ac:dyDescent="0.3">
      <c r="A21" s="230" t="s">
        <v>1172</v>
      </c>
      <c r="B21" s="230" t="s">
        <v>1173</v>
      </c>
      <c r="C21" s="195" t="s">
        <v>1199</v>
      </c>
      <c r="D21" s="195" t="s">
        <v>166</v>
      </c>
      <c r="E21" s="392" t="s">
        <v>1165</v>
      </c>
      <c r="F21" s="221">
        <v>1</v>
      </c>
      <c r="G21" s="220" t="s">
        <v>235</v>
      </c>
      <c r="H21" s="220">
        <v>20</v>
      </c>
      <c r="I21" s="195" t="s">
        <v>676</v>
      </c>
      <c r="J21" s="227" t="s">
        <v>1235</v>
      </c>
      <c r="K21" s="220" t="s">
        <v>1227</v>
      </c>
      <c r="L21" s="262" t="s">
        <v>1217</v>
      </c>
      <c r="M21" s="262" t="s">
        <v>1200</v>
      </c>
      <c r="N21" s="228" t="s">
        <v>1166</v>
      </c>
      <c r="O21" s="222">
        <v>16</v>
      </c>
      <c r="P21" s="223" t="s">
        <v>1179</v>
      </c>
      <c r="Q21" s="223">
        <v>9</v>
      </c>
      <c r="R21" s="223">
        <v>-1</v>
      </c>
      <c r="S21" s="223">
        <v>15</v>
      </c>
      <c r="T21" s="223" t="s">
        <v>1178</v>
      </c>
      <c r="U21" s="223">
        <v>11</v>
      </c>
      <c r="V21" s="223" t="s">
        <v>295</v>
      </c>
      <c r="W21" s="223">
        <v>16</v>
      </c>
      <c r="X21" s="223" t="s">
        <v>1179</v>
      </c>
      <c r="Y21" s="224">
        <v>16</v>
      </c>
      <c r="Z21" s="224" t="s">
        <v>1179</v>
      </c>
      <c r="AA21" s="225">
        <f t="shared" si="6"/>
        <v>13.833333333333334</v>
      </c>
      <c r="AB21" s="226">
        <v>-1</v>
      </c>
      <c r="AC21" s="344">
        <v>2</v>
      </c>
      <c r="AD21" s="360">
        <v>4</v>
      </c>
      <c r="AE21" s="361">
        <v>0</v>
      </c>
      <c r="AF21" s="363">
        <v>-1</v>
      </c>
      <c r="AG21" s="362">
        <v>0</v>
      </c>
      <c r="AH21" s="343">
        <v>3</v>
      </c>
      <c r="AI21" s="229">
        <v>1</v>
      </c>
      <c r="AJ21" s="224">
        <v>12</v>
      </c>
      <c r="AK21" s="224">
        <v>9</v>
      </c>
      <c r="AL21" s="224">
        <v>13</v>
      </c>
      <c r="AM21" s="229">
        <v>9</v>
      </c>
      <c r="AN21" s="396">
        <v>6</v>
      </c>
      <c r="AO21" s="368" t="s">
        <v>1212</v>
      </c>
      <c r="AP21" s="500"/>
      <c r="AQ21" s="501"/>
      <c r="AR21" s="227" t="s">
        <v>1174</v>
      </c>
      <c r="AS21" s="220" t="s">
        <v>1124</v>
      </c>
      <c r="AT21" s="262">
        <v>3</v>
      </c>
      <c r="AU21" s="228" t="s">
        <v>1214</v>
      </c>
    </row>
    <row r="22" spans="1:47" ht="79.2" x14ac:dyDescent="0.3">
      <c r="A22" s="230" t="s">
        <v>1175</v>
      </c>
      <c r="B22" s="230" t="s">
        <v>1176</v>
      </c>
      <c r="C22" s="195" t="s">
        <v>1199</v>
      </c>
      <c r="D22" s="195" t="s">
        <v>166</v>
      </c>
      <c r="E22" s="392" t="s">
        <v>1165</v>
      </c>
      <c r="F22" s="221">
        <v>1</v>
      </c>
      <c r="G22" s="220" t="s">
        <v>672</v>
      </c>
      <c r="H22" s="220">
        <v>25</v>
      </c>
      <c r="I22" s="195" t="s">
        <v>676</v>
      </c>
      <c r="J22" s="227" t="s">
        <v>1236</v>
      </c>
      <c r="K22" s="220" t="s">
        <v>1227</v>
      </c>
      <c r="L22" s="262" t="s">
        <v>1217</v>
      </c>
      <c r="M22" s="262" t="s">
        <v>1200</v>
      </c>
      <c r="N22" s="228" t="s">
        <v>1166</v>
      </c>
      <c r="O22" s="222">
        <v>15</v>
      </c>
      <c r="P22" s="223" t="s">
        <v>1178</v>
      </c>
      <c r="Q22" s="223">
        <v>10</v>
      </c>
      <c r="R22" s="223" t="s">
        <v>295</v>
      </c>
      <c r="S22" s="223">
        <v>16</v>
      </c>
      <c r="T22" s="223" t="s">
        <v>1179</v>
      </c>
      <c r="U22" s="223">
        <v>12</v>
      </c>
      <c r="V22" s="223" t="s">
        <v>1180</v>
      </c>
      <c r="W22" s="223">
        <v>16</v>
      </c>
      <c r="X22" s="223" t="s">
        <v>1179</v>
      </c>
      <c r="Y22" s="224">
        <v>17</v>
      </c>
      <c r="Z22" s="224" t="s">
        <v>1179</v>
      </c>
      <c r="AA22" s="225">
        <f t="shared" si="6"/>
        <v>14.333333333333334</v>
      </c>
      <c r="AB22" s="226" t="s">
        <v>295</v>
      </c>
      <c r="AC22" s="344">
        <v>2</v>
      </c>
      <c r="AD22" s="360">
        <v>5</v>
      </c>
      <c r="AE22" s="361">
        <v>0</v>
      </c>
      <c r="AF22" s="363">
        <v>0</v>
      </c>
      <c r="AG22" s="362">
        <v>0</v>
      </c>
      <c r="AH22" s="343">
        <v>3</v>
      </c>
      <c r="AI22" s="229">
        <v>1</v>
      </c>
      <c r="AJ22" s="224">
        <v>12</v>
      </c>
      <c r="AK22" s="224">
        <v>10</v>
      </c>
      <c r="AL22" s="224">
        <v>12</v>
      </c>
      <c r="AM22" s="229">
        <v>11</v>
      </c>
      <c r="AN22" s="396">
        <v>7</v>
      </c>
      <c r="AO22" s="368" t="s">
        <v>1213</v>
      </c>
      <c r="AP22" s="500"/>
      <c r="AQ22" s="501"/>
      <c r="AR22" s="227" t="s">
        <v>1177</v>
      </c>
      <c r="AS22" s="220" t="s">
        <v>1168</v>
      </c>
      <c r="AT22" s="262">
        <v>2</v>
      </c>
      <c r="AU22" s="228" t="s">
        <v>1214</v>
      </c>
    </row>
    <row r="23" spans="1:47" ht="46.8" x14ac:dyDescent="0.3">
      <c r="A23" s="502" t="s">
        <v>839</v>
      </c>
      <c r="B23" s="502" t="s">
        <v>840</v>
      </c>
      <c r="C23" s="195" t="s">
        <v>1088</v>
      </c>
      <c r="D23" s="195" t="s">
        <v>287</v>
      </c>
      <c r="E23" s="392" t="s">
        <v>806</v>
      </c>
      <c r="F23" s="221">
        <v>2</v>
      </c>
      <c r="G23" s="220" t="s">
        <v>672</v>
      </c>
      <c r="H23" s="220">
        <v>24</v>
      </c>
      <c r="I23" s="195" t="s">
        <v>675</v>
      </c>
      <c r="J23" s="227" t="s">
        <v>760</v>
      </c>
      <c r="K23" s="220" t="s">
        <v>1189</v>
      </c>
      <c r="L23" s="262" t="s">
        <v>709</v>
      </c>
      <c r="M23" s="262" t="s">
        <v>1117</v>
      </c>
      <c r="N23" s="228" t="s">
        <v>710</v>
      </c>
      <c r="O23" s="222">
        <v>10</v>
      </c>
      <c r="P23" s="223" t="str">
        <f t="shared" ref="P23:P41" si="16">IF(O23&gt;9.9,CONCATENATE("+",ROUNDDOWN((O23-10) / 2,0)),ROUNDUP((O23-10) / 2,0))</f>
        <v>+0</v>
      </c>
      <c r="Q23" s="223">
        <v>12</v>
      </c>
      <c r="R23" s="223" t="str">
        <f t="shared" ref="R23:R41" si="17">IF(Q23&gt;9.9,CONCATENATE("+",ROUNDDOWN((Q23-10) / 2,0)),ROUNDUP((Q23-10) / 2,0))</f>
        <v>+1</v>
      </c>
      <c r="S23" s="223">
        <v>10</v>
      </c>
      <c r="T23" s="223" t="str">
        <f t="shared" ref="T23:T41" si="18">IF(S23&gt;9.9,CONCATENATE("+",ROUNDDOWN((S23-10) / 2,0)),ROUNDUP((S23-10) / 2,0))</f>
        <v>+0</v>
      </c>
      <c r="U23" s="223">
        <v>10</v>
      </c>
      <c r="V23" s="223" t="str">
        <f t="shared" ref="V23:V41" si="19">IF(U23&gt;9.9,CONCATENATE("+",ROUNDDOWN((U23-10) / 2,0)),ROUNDUP((U23-10) / 2,0))</f>
        <v>+0</v>
      </c>
      <c r="W23" s="223">
        <v>14</v>
      </c>
      <c r="X23" s="223" t="str">
        <f t="shared" ref="X23:X41" si="20">IF(W23&gt;9.9,CONCATENATE("+",ROUNDDOWN((W23-10) / 2,0)),ROUNDUP((W23-10) / 2,0))</f>
        <v>+2</v>
      </c>
      <c r="Y23" s="224">
        <v>10</v>
      </c>
      <c r="Z23" s="224" t="str">
        <f t="shared" ref="Z23:Z41" si="21">IF(Y23&gt;9.9,CONCATENATE("+",ROUNDDOWN((Y23-10) / 2,0)),ROUNDUP((Y23-10) / 2,0))</f>
        <v>+0</v>
      </c>
      <c r="AA23" s="225">
        <f t="shared" si="6"/>
        <v>11</v>
      </c>
      <c r="AB23" s="226" t="str">
        <f t="shared" ref="AB23:AB41" si="22">IF(Q23&gt;9.9,CONCATENATE("+",ROUNDDOWN((Q23-10) / 2,0)),ROUNDUP((Q23-10) / 2,0))</f>
        <v>+1</v>
      </c>
      <c r="AC23" s="344">
        <v>3</v>
      </c>
      <c r="AD23" s="360">
        <f t="shared" ref="AD23:AD41" si="23">IF(S23&gt;9.9,(ROUNDDOWN((S23-10) / 2,0)),ROUNDUP((S23-10) / 2,0))+AC23</f>
        <v>3</v>
      </c>
      <c r="AE23" s="361">
        <v>0</v>
      </c>
      <c r="AF23" s="363">
        <f t="shared" ref="AF23:AF41" si="24">AE23+AB23</f>
        <v>1</v>
      </c>
      <c r="AG23" s="362">
        <v>3</v>
      </c>
      <c r="AH23" s="343">
        <f t="shared" ref="AH23:AH41" si="25">IF(W23&gt;9.9,(ROUNDDOWN((W23-10) / 2,0)),ROUNDUP((W23-10) / 2,0))+AG23</f>
        <v>5</v>
      </c>
      <c r="AI23" s="229">
        <v>1</v>
      </c>
      <c r="AJ23" s="224">
        <f t="shared" ref="AJ23:AJ41" si="26">10+AB23</f>
        <v>11</v>
      </c>
      <c r="AK23" s="224">
        <f t="shared" ref="AK23:AK41" si="27">AL23-AB23</f>
        <v>13</v>
      </c>
      <c r="AL23" s="224">
        <f t="shared" ref="AL23:AL41" si="28">10+AB23+AT23</f>
        <v>14</v>
      </c>
      <c r="AM23" s="229">
        <f t="shared" ref="AM23:AM30" si="29">ROUNDUP(8*(0.75*F23)+(F23*(S23-10) / 2),0)</f>
        <v>12</v>
      </c>
      <c r="AN23" s="396">
        <f t="shared" ref="AN23:AN29" si="30">(F23+3)*(2+V23)</f>
        <v>10</v>
      </c>
      <c r="AO23" s="368" t="s">
        <v>795</v>
      </c>
      <c r="AP23" s="410" t="s">
        <v>687</v>
      </c>
      <c r="AQ23" s="411" t="s">
        <v>810</v>
      </c>
      <c r="AR23" s="227" t="s">
        <v>696</v>
      </c>
      <c r="AS23" s="220" t="s">
        <v>786</v>
      </c>
      <c r="AT23" s="262">
        <f t="shared" ref="AT23:AT41" si="31">2+1</f>
        <v>3</v>
      </c>
      <c r="AU23" s="228" t="s">
        <v>1214</v>
      </c>
    </row>
    <row r="24" spans="1:47" ht="62.4" x14ac:dyDescent="0.3">
      <c r="A24" s="502" t="s">
        <v>845</v>
      </c>
      <c r="B24" s="502" t="s">
        <v>846</v>
      </c>
      <c r="C24" s="195" t="s">
        <v>1088</v>
      </c>
      <c r="D24" s="195" t="s">
        <v>287</v>
      </c>
      <c r="E24" s="392" t="s">
        <v>806</v>
      </c>
      <c r="F24" s="221">
        <v>1</v>
      </c>
      <c r="G24" s="220" t="s">
        <v>235</v>
      </c>
      <c r="H24" s="220">
        <v>19</v>
      </c>
      <c r="I24" s="195" t="s">
        <v>674</v>
      </c>
      <c r="J24" s="227" t="s">
        <v>763</v>
      </c>
      <c r="K24" s="220" t="s">
        <v>1192</v>
      </c>
      <c r="L24" s="262" t="s">
        <v>891</v>
      </c>
      <c r="M24" s="262" t="s">
        <v>1094</v>
      </c>
      <c r="N24" s="228" t="s">
        <v>715</v>
      </c>
      <c r="O24" s="222">
        <v>10</v>
      </c>
      <c r="P24" s="223" t="str">
        <f t="shared" si="16"/>
        <v>+0</v>
      </c>
      <c r="Q24" s="223">
        <v>12</v>
      </c>
      <c r="R24" s="223" t="str">
        <f t="shared" si="17"/>
        <v>+1</v>
      </c>
      <c r="S24" s="223">
        <v>10</v>
      </c>
      <c r="T24" s="223" t="str">
        <f t="shared" si="18"/>
        <v>+0</v>
      </c>
      <c r="U24" s="223">
        <v>10</v>
      </c>
      <c r="V24" s="223" t="str">
        <f t="shared" si="19"/>
        <v>+0</v>
      </c>
      <c r="W24" s="223">
        <v>14</v>
      </c>
      <c r="X24" s="223" t="str">
        <f t="shared" si="20"/>
        <v>+2</v>
      </c>
      <c r="Y24" s="224">
        <v>10</v>
      </c>
      <c r="Z24" s="224" t="str">
        <f t="shared" si="21"/>
        <v>+0</v>
      </c>
      <c r="AA24" s="225">
        <f t="shared" si="6"/>
        <v>11</v>
      </c>
      <c r="AB24" s="226" t="str">
        <f t="shared" si="22"/>
        <v>+1</v>
      </c>
      <c r="AC24" s="344">
        <v>2</v>
      </c>
      <c r="AD24" s="360">
        <f t="shared" si="23"/>
        <v>2</v>
      </c>
      <c r="AE24" s="361">
        <v>0</v>
      </c>
      <c r="AF24" s="363">
        <f t="shared" si="24"/>
        <v>1</v>
      </c>
      <c r="AG24" s="362">
        <v>2</v>
      </c>
      <c r="AH24" s="343">
        <f t="shared" si="25"/>
        <v>4</v>
      </c>
      <c r="AI24" s="229">
        <v>0</v>
      </c>
      <c r="AJ24" s="224">
        <f t="shared" si="26"/>
        <v>11</v>
      </c>
      <c r="AK24" s="224">
        <f t="shared" si="27"/>
        <v>13</v>
      </c>
      <c r="AL24" s="224">
        <f t="shared" si="28"/>
        <v>14</v>
      </c>
      <c r="AM24" s="229">
        <f t="shared" si="29"/>
        <v>6</v>
      </c>
      <c r="AN24" s="396">
        <f t="shared" si="30"/>
        <v>8</v>
      </c>
      <c r="AO24" s="368" t="s">
        <v>797</v>
      </c>
      <c r="AP24" s="410" t="s">
        <v>687</v>
      </c>
      <c r="AQ24" s="411" t="s">
        <v>811</v>
      </c>
      <c r="AR24" s="227" t="s">
        <v>696</v>
      </c>
      <c r="AS24" s="220" t="s">
        <v>786</v>
      </c>
      <c r="AT24" s="262">
        <f t="shared" si="31"/>
        <v>3</v>
      </c>
      <c r="AU24" s="228" t="s">
        <v>1214</v>
      </c>
    </row>
    <row r="25" spans="1:47" ht="46.8" x14ac:dyDescent="0.3">
      <c r="A25" s="502" t="s">
        <v>851</v>
      </c>
      <c r="B25" s="502" t="s">
        <v>852</v>
      </c>
      <c r="C25" s="195" t="s">
        <v>1088</v>
      </c>
      <c r="D25" s="195" t="s">
        <v>679</v>
      </c>
      <c r="E25" s="392" t="s">
        <v>806</v>
      </c>
      <c r="F25" s="221">
        <v>1</v>
      </c>
      <c r="G25" s="220" t="s">
        <v>672</v>
      </c>
      <c r="H25" s="220">
        <v>23</v>
      </c>
      <c r="I25" s="195" t="s">
        <v>673</v>
      </c>
      <c r="J25" s="227" t="s">
        <v>758</v>
      </c>
      <c r="K25" s="220" t="s">
        <v>1193</v>
      </c>
      <c r="L25" s="262" t="s">
        <v>754</v>
      </c>
      <c r="M25" s="262" t="s">
        <v>1095</v>
      </c>
      <c r="N25" s="228" t="s">
        <v>719</v>
      </c>
      <c r="O25" s="222">
        <v>6</v>
      </c>
      <c r="P25" s="223">
        <f t="shared" si="16"/>
        <v>-2</v>
      </c>
      <c r="Q25" s="223">
        <v>16</v>
      </c>
      <c r="R25" s="223" t="str">
        <f t="shared" si="17"/>
        <v>+3</v>
      </c>
      <c r="S25" s="223">
        <v>8</v>
      </c>
      <c r="T25" s="223">
        <f t="shared" si="18"/>
        <v>-1</v>
      </c>
      <c r="U25" s="223">
        <v>10</v>
      </c>
      <c r="V25" s="223" t="str">
        <f t="shared" si="19"/>
        <v>+0</v>
      </c>
      <c r="W25" s="223">
        <v>16</v>
      </c>
      <c r="X25" s="223" t="str">
        <f t="shared" si="20"/>
        <v>+3</v>
      </c>
      <c r="Y25" s="224">
        <v>10</v>
      </c>
      <c r="Z25" s="224" t="str">
        <f t="shared" si="21"/>
        <v>+0</v>
      </c>
      <c r="AA25" s="225">
        <f t="shared" si="6"/>
        <v>11</v>
      </c>
      <c r="AB25" s="226" t="str">
        <f t="shared" si="22"/>
        <v>+3</v>
      </c>
      <c r="AC25" s="344">
        <v>2</v>
      </c>
      <c r="AD25" s="360">
        <f t="shared" si="23"/>
        <v>1</v>
      </c>
      <c r="AE25" s="361">
        <v>0</v>
      </c>
      <c r="AF25" s="363">
        <f t="shared" si="24"/>
        <v>3</v>
      </c>
      <c r="AG25" s="362">
        <v>2</v>
      </c>
      <c r="AH25" s="343">
        <f t="shared" si="25"/>
        <v>5</v>
      </c>
      <c r="AI25" s="229">
        <v>0</v>
      </c>
      <c r="AJ25" s="224">
        <f t="shared" si="26"/>
        <v>13</v>
      </c>
      <c r="AK25" s="224">
        <f t="shared" si="27"/>
        <v>13</v>
      </c>
      <c r="AL25" s="224">
        <f t="shared" si="28"/>
        <v>16</v>
      </c>
      <c r="AM25" s="229">
        <f t="shared" si="29"/>
        <v>5</v>
      </c>
      <c r="AN25" s="396">
        <f t="shared" si="30"/>
        <v>8</v>
      </c>
      <c r="AO25" s="368" t="s">
        <v>793</v>
      </c>
      <c r="AP25" s="410" t="s">
        <v>687</v>
      </c>
      <c r="AQ25" s="411" t="s">
        <v>811</v>
      </c>
      <c r="AR25" s="227" t="s">
        <v>696</v>
      </c>
      <c r="AS25" s="220" t="s">
        <v>786</v>
      </c>
      <c r="AT25" s="262">
        <f t="shared" si="31"/>
        <v>3</v>
      </c>
      <c r="AU25" s="228" t="s">
        <v>1214</v>
      </c>
    </row>
    <row r="26" spans="1:47" ht="46.8" x14ac:dyDescent="0.3">
      <c r="A26" s="502" t="s">
        <v>855</v>
      </c>
      <c r="B26" s="502" t="s">
        <v>856</v>
      </c>
      <c r="C26" s="195" t="s">
        <v>1088</v>
      </c>
      <c r="D26" s="195" t="s">
        <v>287</v>
      </c>
      <c r="E26" s="392" t="s">
        <v>806</v>
      </c>
      <c r="F26" s="221">
        <v>1</v>
      </c>
      <c r="G26" s="220" t="s">
        <v>672</v>
      </c>
      <c r="H26" s="220">
        <v>18</v>
      </c>
      <c r="I26" s="195" t="s">
        <v>675</v>
      </c>
      <c r="J26" s="227" t="s">
        <v>765</v>
      </c>
      <c r="K26" s="220" t="s">
        <v>721</v>
      </c>
      <c r="L26" s="262" t="s">
        <v>722</v>
      </c>
      <c r="M26" s="262" t="s">
        <v>1096</v>
      </c>
      <c r="N26" s="228" t="s">
        <v>723</v>
      </c>
      <c r="O26" s="222">
        <v>8</v>
      </c>
      <c r="P26" s="223">
        <f t="shared" si="16"/>
        <v>-1</v>
      </c>
      <c r="Q26" s="223">
        <v>10</v>
      </c>
      <c r="R26" s="223" t="str">
        <f t="shared" si="17"/>
        <v>+0</v>
      </c>
      <c r="S26" s="223">
        <v>8</v>
      </c>
      <c r="T26" s="223">
        <f t="shared" si="18"/>
        <v>-1</v>
      </c>
      <c r="U26" s="223">
        <v>10</v>
      </c>
      <c r="V26" s="223" t="str">
        <f t="shared" si="19"/>
        <v>+0</v>
      </c>
      <c r="W26" s="223">
        <v>14</v>
      </c>
      <c r="X26" s="223" t="str">
        <f t="shared" si="20"/>
        <v>+2</v>
      </c>
      <c r="Y26" s="224">
        <v>10</v>
      </c>
      <c r="Z26" s="224" t="str">
        <f t="shared" si="21"/>
        <v>+0</v>
      </c>
      <c r="AA26" s="225">
        <f t="shared" si="6"/>
        <v>10</v>
      </c>
      <c r="AB26" s="226" t="str">
        <f t="shared" si="22"/>
        <v>+0</v>
      </c>
      <c r="AC26" s="344">
        <v>2</v>
      </c>
      <c r="AD26" s="360">
        <f t="shared" si="23"/>
        <v>1</v>
      </c>
      <c r="AE26" s="361">
        <v>0</v>
      </c>
      <c r="AF26" s="363">
        <f t="shared" si="24"/>
        <v>0</v>
      </c>
      <c r="AG26" s="362">
        <v>2</v>
      </c>
      <c r="AH26" s="343">
        <f t="shared" si="25"/>
        <v>4</v>
      </c>
      <c r="AI26" s="229">
        <v>0</v>
      </c>
      <c r="AJ26" s="224">
        <f t="shared" si="26"/>
        <v>10</v>
      </c>
      <c r="AK26" s="224">
        <f t="shared" si="27"/>
        <v>13</v>
      </c>
      <c r="AL26" s="224">
        <f t="shared" si="28"/>
        <v>13</v>
      </c>
      <c r="AM26" s="229">
        <f t="shared" si="29"/>
        <v>5</v>
      </c>
      <c r="AN26" s="396">
        <f t="shared" si="30"/>
        <v>8</v>
      </c>
      <c r="AO26" s="368" t="s">
        <v>797</v>
      </c>
      <c r="AP26" s="410" t="s">
        <v>687</v>
      </c>
      <c r="AQ26" s="411" t="s">
        <v>811</v>
      </c>
      <c r="AR26" s="227" t="s">
        <v>696</v>
      </c>
      <c r="AS26" s="220" t="s">
        <v>786</v>
      </c>
      <c r="AT26" s="262">
        <f t="shared" si="31"/>
        <v>3</v>
      </c>
      <c r="AU26" s="228" t="s">
        <v>1214</v>
      </c>
    </row>
    <row r="27" spans="1:47" ht="46.8" x14ac:dyDescent="0.3">
      <c r="A27" s="502" t="s">
        <v>681</v>
      </c>
      <c r="B27" s="502"/>
      <c r="C27" s="195" t="s">
        <v>1088</v>
      </c>
      <c r="D27" s="195" t="s">
        <v>287</v>
      </c>
      <c r="E27" s="392" t="s">
        <v>806</v>
      </c>
      <c r="F27" s="221">
        <v>1</v>
      </c>
      <c r="G27" s="220" t="s">
        <v>235</v>
      </c>
      <c r="H27" s="220">
        <v>19</v>
      </c>
      <c r="I27" s="195" t="s">
        <v>676</v>
      </c>
      <c r="J27" s="227" t="s">
        <v>766</v>
      </c>
      <c r="K27" s="220" t="s">
        <v>1194</v>
      </c>
      <c r="L27" s="262" t="s">
        <v>891</v>
      </c>
      <c r="M27" s="262" t="s">
        <v>1097</v>
      </c>
      <c r="N27" s="228" t="s">
        <v>719</v>
      </c>
      <c r="O27" s="222">
        <v>10</v>
      </c>
      <c r="P27" s="223" t="str">
        <f t="shared" si="16"/>
        <v>+0</v>
      </c>
      <c r="Q27" s="223">
        <v>8</v>
      </c>
      <c r="R27" s="223">
        <f t="shared" si="17"/>
        <v>-1</v>
      </c>
      <c r="S27" s="223">
        <v>8</v>
      </c>
      <c r="T27" s="223">
        <f t="shared" si="18"/>
        <v>-1</v>
      </c>
      <c r="U27" s="223">
        <v>10</v>
      </c>
      <c r="V27" s="223" t="str">
        <f t="shared" si="19"/>
        <v>+0</v>
      </c>
      <c r="W27" s="223">
        <v>16</v>
      </c>
      <c r="X27" s="223" t="str">
        <f t="shared" si="20"/>
        <v>+3</v>
      </c>
      <c r="Y27" s="224">
        <v>8</v>
      </c>
      <c r="Z27" s="224">
        <f t="shared" si="21"/>
        <v>-1</v>
      </c>
      <c r="AA27" s="225">
        <f t="shared" si="6"/>
        <v>10</v>
      </c>
      <c r="AB27" s="226">
        <f t="shared" si="22"/>
        <v>-1</v>
      </c>
      <c r="AC27" s="344">
        <v>2</v>
      </c>
      <c r="AD27" s="360">
        <f t="shared" si="23"/>
        <v>1</v>
      </c>
      <c r="AE27" s="361">
        <v>0</v>
      </c>
      <c r="AF27" s="363">
        <f t="shared" si="24"/>
        <v>-1</v>
      </c>
      <c r="AG27" s="362">
        <v>2</v>
      </c>
      <c r="AH27" s="343">
        <f t="shared" si="25"/>
        <v>5</v>
      </c>
      <c r="AI27" s="229">
        <v>0</v>
      </c>
      <c r="AJ27" s="224">
        <f t="shared" si="26"/>
        <v>9</v>
      </c>
      <c r="AK27" s="224">
        <f t="shared" si="27"/>
        <v>13</v>
      </c>
      <c r="AL27" s="224">
        <f t="shared" si="28"/>
        <v>12</v>
      </c>
      <c r="AM27" s="229">
        <f t="shared" si="29"/>
        <v>5</v>
      </c>
      <c r="AN27" s="396">
        <f t="shared" si="30"/>
        <v>8</v>
      </c>
      <c r="AO27" s="368" t="s">
        <v>797</v>
      </c>
      <c r="AP27" s="410" t="s">
        <v>687</v>
      </c>
      <c r="AQ27" s="411" t="s">
        <v>811</v>
      </c>
      <c r="AR27" s="227" t="s">
        <v>696</v>
      </c>
      <c r="AS27" s="220" t="s">
        <v>786</v>
      </c>
      <c r="AT27" s="262">
        <f t="shared" si="31"/>
        <v>3</v>
      </c>
      <c r="AU27" s="228" t="s">
        <v>1214</v>
      </c>
    </row>
    <row r="28" spans="1:47" ht="46.8" x14ac:dyDescent="0.3">
      <c r="A28" s="502" t="s">
        <v>857</v>
      </c>
      <c r="B28" s="502" t="s">
        <v>858</v>
      </c>
      <c r="C28" s="195" t="s">
        <v>1088</v>
      </c>
      <c r="D28" s="195" t="s">
        <v>684</v>
      </c>
      <c r="E28" s="392" t="s">
        <v>806</v>
      </c>
      <c r="F28" s="221">
        <v>1</v>
      </c>
      <c r="G28" s="220" t="s">
        <v>672</v>
      </c>
      <c r="H28" s="220">
        <v>28</v>
      </c>
      <c r="I28" s="195" t="s">
        <v>673</v>
      </c>
      <c r="J28" s="227" t="s">
        <v>767</v>
      </c>
      <c r="K28" s="220" t="s">
        <v>1191</v>
      </c>
      <c r="L28" s="262" t="s">
        <v>724</v>
      </c>
      <c r="M28" s="262" t="s">
        <v>1098</v>
      </c>
      <c r="N28" s="228" t="s">
        <v>725</v>
      </c>
      <c r="O28" s="222">
        <v>8</v>
      </c>
      <c r="P28" s="223">
        <f t="shared" si="16"/>
        <v>-1</v>
      </c>
      <c r="Q28" s="223">
        <v>10</v>
      </c>
      <c r="R28" s="223" t="str">
        <f t="shared" si="17"/>
        <v>+0</v>
      </c>
      <c r="S28" s="223">
        <v>8</v>
      </c>
      <c r="T28" s="223">
        <f t="shared" si="18"/>
        <v>-1</v>
      </c>
      <c r="U28" s="223">
        <v>10</v>
      </c>
      <c r="V28" s="223" t="str">
        <f t="shared" si="19"/>
        <v>+0</v>
      </c>
      <c r="W28" s="223">
        <v>14</v>
      </c>
      <c r="X28" s="223" t="str">
        <f t="shared" si="20"/>
        <v>+2</v>
      </c>
      <c r="Y28" s="224">
        <v>10</v>
      </c>
      <c r="Z28" s="224" t="str">
        <f t="shared" si="21"/>
        <v>+0</v>
      </c>
      <c r="AA28" s="225">
        <f t="shared" si="6"/>
        <v>10</v>
      </c>
      <c r="AB28" s="226" t="str">
        <f t="shared" si="22"/>
        <v>+0</v>
      </c>
      <c r="AC28" s="344">
        <v>2</v>
      </c>
      <c r="AD28" s="360">
        <f t="shared" si="23"/>
        <v>1</v>
      </c>
      <c r="AE28" s="361">
        <v>0</v>
      </c>
      <c r="AF28" s="363">
        <f t="shared" si="24"/>
        <v>0</v>
      </c>
      <c r="AG28" s="362">
        <v>2</v>
      </c>
      <c r="AH28" s="343">
        <f t="shared" si="25"/>
        <v>4</v>
      </c>
      <c r="AI28" s="229">
        <v>0</v>
      </c>
      <c r="AJ28" s="224">
        <f t="shared" si="26"/>
        <v>10</v>
      </c>
      <c r="AK28" s="224">
        <f t="shared" si="27"/>
        <v>13</v>
      </c>
      <c r="AL28" s="224">
        <f t="shared" si="28"/>
        <v>13</v>
      </c>
      <c r="AM28" s="229">
        <f t="shared" si="29"/>
        <v>5</v>
      </c>
      <c r="AN28" s="396">
        <f t="shared" si="30"/>
        <v>8</v>
      </c>
      <c r="AO28" s="368" t="s">
        <v>799</v>
      </c>
      <c r="AP28" s="410" t="s">
        <v>687</v>
      </c>
      <c r="AQ28" s="411" t="s">
        <v>811</v>
      </c>
      <c r="AR28" s="227" t="s">
        <v>696</v>
      </c>
      <c r="AS28" s="220" t="s">
        <v>786</v>
      </c>
      <c r="AT28" s="262">
        <f t="shared" si="31"/>
        <v>3</v>
      </c>
      <c r="AU28" s="228" t="s">
        <v>1214</v>
      </c>
    </row>
    <row r="29" spans="1:47" ht="52.8" x14ac:dyDescent="0.3">
      <c r="A29" s="502" t="s">
        <v>859</v>
      </c>
      <c r="B29" s="502" t="s">
        <v>860</v>
      </c>
      <c r="C29" s="195" t="s">
        <v>1088</v>
      </c>
      <c r="D29" s="195" t="s">
        <v>287</v>
      </c>
      <c r="E29" s="392" t="s">
        <v>806</v>
      </c>
      <c r="F29" s="221">
        <v>1</v>
      </c>
      <c r="G29" s="220" t="s">
        <v>235</v>
      </c>
      <c r="H29" s="220">
        <v>19</v>
      </c>
      <c r="I29" s="195" t="s">
        <v>674</v>
      </c>
      <c r="J29" s="227" t="s">
        <v>768</v>
      </c>
      <c r="K29" s="220" t="s">
        <v>1190</v>
      </c>
      <c r="L29" s="262" t="s">
        <v>891</v>
      </c>
      <c r="M29" s="262" t="s">
        <v>1099</v>
      </c>
      <c r="N29" s="228" t="s">
        <v>708</v>
      </c>
      <c r="O29" s="222">
        <v>10</v>
      </c>
      <c r="P29" s="223" t="str">
        <f t="shared" si="16"/>
        <v>+0</v>
      </c>
      <c r="Q29" s="223">
        <v>8</v>
      </c>
      <c r="R29" s="223">
        <f t="shared" si="17"/>
        <v>-1</v>
      </c>
      <c r="S29" s="223">
        <v>8</v>
      </c>
      <c r="T29" s="223">
        <f t="shared" si="18"/>
        <v>-1</v>
      </c>
      <c r="U29" s="223">
        <v>12</v>
      </c>
      <c r="V29" s="223" t="str">
        <f t="shared" si="19"/>
        <v>+1</v>
      </c>
      <c r="W29" s="223">
        <v>14</v>
      </c>
      <c r="X29" s="223" t="str">
        <f t="shared" si="20"/>
        <v>+2</v>
      </c>
      <c r="Y29" s="224">
        <v>8</v>
      </c>
      <c r="Z29" s="224">
        <f t="shared" si="21"/>
        <v>-1</v>
      </c>
      <c r="AA29" s="225">
        <f t="shared" si="6"/>
        <v>10</v>
      </c>
      <c r="AB29" s="226">
        <f t="shared" si="22"/>
        <v>-1</v>
      </c>
      <c r="AC29" s="344">
        <v>2</v>
      </c>
      <c r="AD29" s="360">
        <f t="shared" si="23"/>
        <v>1</v>
      </c>
      <c r="AE29" s="361">
        <v>0</v>
      </c>
      <c r="AF29" s="363">
        <f t="shared" si="24"/>
        <v>-1</v>
      </c>
      <c r="AG29" s="362">
        <v>2</v>
      </c>
      <c r="AH29" s="343">
        <f t="shared" si="25"/>
        <v>4</v>
      </c>
      <c r="AI29" s="229">
        <v>0</v>
      </c>
      <c r="AJ29" s="224">
        <f t="shared" si="26"/>
        <v>9</v>
      </c>
      <c r="AK29" s="224">
        <f t="shared" si="27"/>
        <v>13</v>
      </c>
      <c r="AL29" s="224">
        <f t="shared" si="28"/>
        <v>12</v>
      </c>
      <c r="AM29" s="229">
        <f t="shared" si="29"/>
        <v>5</v>
      </c>
      <c r="AN29" s="396">
        <f t="shared" si="30"/>
        <v>12</v>
      </c>
      <c r="AO29" s="368" t="s">
        <v>800</v>
      </c>
      <c r="AP29" s="410" t="s">
        <v>687</v>
      </c>
      <c r="AQ29" s="411" t="s">
        <v>811</v>
      </c>
      <c r="AR29" s="227" t="s">
        <v>696</v>
      </c>
      <c r="AS29" s="220" t="s">
        <v>786</v>
      </c>
      <c r="AT29" s="262">
        <f t="shared" si="31"/>
        <v>3</v>
      </c>
      <c r="AU29" s="228" t="s">
        <v>901</v>
      </c>
    </row>
    <row r="30" spans="1:47" ht="62.4" x14ac:dyDescent="0.3">
      <c r="A30" s="502" t="s">
        <v>861</v>
      </c>
      <c r="B30" s="502" t="s">
        <v>862</v>
      </c>
      <c r="C30" s="195" t="s">
        <v>1088</v>
      </c>
      <c r="D30" s="195" t="s">
        <v>287</v>
      </c>
      <c r="E30" s="390" t="s">
        <v>677</v>
      </c>
      <c r="F30" s="221">
        <v>1</v>
      </c>
      <c r="G30" s="220" t="s">
        <v>235</v>
      </c>
      <c r="H30" s="220">
        <v>19</v>
      </c>
      <c r="I30" s="195" t="s">
        <v>675</v>
      </c>
      <c r="J30" s="227" t="s">
        <v>769</v>
      </c>
      <c r="K30" s="220" t="s">
        <v>726</v>
      </c>
      <c r="L30" s="262" t="s">
        <v>727</v>
      </c>
      <c r="M30" s="262" t="s">
        <v>1100</v>
      </c>
      <c r="N30" s="228" t="s">
        <v>717</v>
      </c>
      <c r="O30" s="222">
        <v>8</v>
      </c>
      <c r="P30" s="223">
        <f t="shared" si="16"/>
        <v>-1</v>
      </c>
      <c r="Q30" s="223">
        <v>10</v>
      </c>
      <c r="R30" s="223" t="str">
        <f t="shared" si="17"/>
        <v>+0</v>
      </c>
      <c r="S30" s="223">
        <v>8</v>
      </c>
      <c r="T30" s="223">
        <f t="shared" si="18"/>
        <v>-1</v>
      </c>
      <c r="U30" s="223">
        <v>12</v>
      </c>
      <c r="V30" s="223" t="str">
        <f t="shared" si="19"/>
        <v>+1</v>
      </c>
      <c r="W30" s="223">
        <v>8</v>
      </c>
      <c r="X30" s="223">
        <f t="shared" si="20"/>
        <v>-1</v>
      </c>
      <c r="Y30" s="224">
        <v>14</v>
      </c>
      <c r="Z30" s="224" t="str">
        <f t="shared" si="21"/>
        <v>+2</v>
      </c>
      <c r="AA30" s="225">
        <f t="shared" si="6"/>
        <v>10</v>
      </c>
      <c r="AB30" s="226" t="str">
        <f t="shared" si="22"/>
        <v>+0</v>
      </c>
      <c r="AC30" s="344">
        <v>0</v>
      </c>
      <c r="AD30" s="360">
        <f t="shared" si="23"/>
        <v>-1</v>
      </c>
      <c r="AE30" s="361">
        <v>2</v>
      </c>
      <c r="AF30" s="363">
        <f t="shared" si="24"/>
        <v>2</v>
      </c>
      <c r="AG30" s="362">
        <v>2</v>
      </c>
      <c r="AH30" s="343">
        <f t="shared" si="25"/>
        <v>1</v>
      </c>
      <c r="AI30" s="229">
        <v>0</v>
      </c>
      <c r="AJ30" s="224">
        <f t="shared" si="26"/>
        <v>10</v>
      </c>
      <c r="AK30" s="224">
        <f t="shared" si="27"/>
        <v>13</v>
      </c>
      <c r="AL30" s="224">
        <f t="shared" si="28"/>
        <v>13</v>
      </c>
      <c r="AM30" s="229">
        <f t="shared" si="29"/>
        <v>5</v>
      </c>
      <c r="AN30" s="396">
        <f>(F30+3)*(6+V30)</f>
        <v>28</v>
      </c>
      <c r="AO30" s="368" t="s">
        <v>801</v>
      </c>
      <c r="AP30" s="410" t="s">
        <v>694</v>
      </c>
      <c r="AQ30" s="411" t="s">
        <v>691</v>
      </c>
      <c r="AR30" s="227" t="s">
        <v>699</v>
      </c>
      <c r="AS30" s="220" t="s">
        <v>786</v>
      </c>
      <c r="AT30" s="262">
        <f t="shared" si="31"/>
        <v>3</v>
      </c>
      <c r="AU30" s="228" t="s">
        <v>1214</v>
      </c>
    </row>
    <row r="31" spans="1:47" ht="62.4" x14ac:dyDescent="0.3">
      <c r="A31" s="502" t="s">
        <v>865</v>
      </c>
      <c r="B31" s="502" t="s">
        <v>866</v>
      </c>
      <c r="C31" s="195" t="s">
        <v>1088</v>
      </c>
      <c r="D31" s="195" t="s">
        <v>679</v>
      </c>
      <c r="E31" s="391" t="s">
        <v>680</v>
      </c>
      <c r="F31" s="221">
        <v>1</v>
      </c>
      <c r="G31" s="220" t="s">
        <v>672</v>
      </c>
      <c r="H31" s="220">
        <v>21</v>
      </c>
      <c r="I31" s="195" t="s">
        <v>673</v>
      </c>
      <c r="J31" s="227" t="s">
        <v>771</v>
      </c>
      <c r="K31" s="220" t="s">
        <v>1195</v>
      </c>
      <c r="L31" s="262" t="s">
        <v>729</v>
      </c>
      <c r="M31" s="262" t="s">
        <v>1101</v>
      </c>
      <c r="N31" s="228" t="s">
        <v>730</v>
      </c>
      <c r="O31" s="222">
        <v>8</v>
      </c>
      <c r="P31" s="223">
        <f t="shared" si="16"/>
        <v>-1</v>
      </c>
      <c r="Q31" s="223">
        <v>10</v>
      </c>
      <c r="R31" s="223" t="str">
        <f t="shared" si="17"/>
        <v>+0</v>
      </c>
      <c r="S31" s="223">
        <v>8</v>
      </c>
      <c r="T31" s="223">
        <f t="shared" si="18"/>
        <v>-1</v>
      </c>
      <c r="U31" s="223">
        <v>10</v>
      </c>
      <c r="V31" s="223" t="str">
        <f t="shared" si="19"/>
        <v>+0</v>
      </c>
      <c r="W31" s="223">
        <v>14</v>
      </c>
      <c r="X31" s="223" t="str">
        <f t="shared" si="20"/>
        <v>+2</v>
      </c>
      <c r="Y31" s="224">
        <v>10</v>
      </c>
      <c r="Z31" s="224" t="str">
        <f t="shared" si="21"/>
        <v>+0</v>
      </c>
      <c r="AA31" s="225">
        <f t="shared" si="6"/>
        <v>10</v>
      </c>
      <c r="AB31" s="226" t="str">
        <f t="shared" si="22"/>
        <v>+0</v>
      </c>
      <c r="AC31" s="344">
        <v>2</v>
      </c>
      <c r="AD31" s="360">
        <f t="shared" si="23"/>
        <v>1</v>
      </c>
      <c r="AE31" s="361">
        <v>0</v>
      </c>
      <c r="AF31" s="363">
        <f t="shared" si="24"/>
        <v>0</v>
      </c>
      <c r="AG31" s="362">
        <v>2</v>
      </c>
      <c r="AH31" s="343">
        <f t="shared" si="25"/>
        <v>4</v>
      </c>
      <c r="AI31" s="229">
        <v>0</v>
      </c>
      <c r="AJ31" s="224">
        <f t="shared" si="26"/>
        <v>10</v>
      </c>
      <c r="AK31" s="224">
        <f t="shared" si="27"/>
        <v>13</v>
      </c>
      <c r="AL31" s="224">
        <f t="shared" si="28"/>
        <v>13</v>
      </c>
      <c r="AM31" s="229">
        <f>ROUNDUP(10*(0.75*F31)+(F31*(S31-10) / 2),0)</f>
        <v>7</v>
      </c>
      <c r="AN31" s="396">
        <f>(F31+3)*(4+V31)</f>
        <v>16</v>
      </c>
      <c r="AO31" s="368" t="s">
        <v>803</v>
      </c>
      <c r="AP31" s="410" t="s">
        <v>688</v>
      </c>
      <c r="AQ31" s="411" t="s">
        <v>812</v>
      </c>
      <c r="AR31" s="227" t="s">
        <v>698</v>
      </c>
      <c r="AS31" s="220" t="s">
        <v>786</v>
      </c>
      <c r="AT31" s="262">
        <f t="shared" si="31"/>
        <v>3</v>
      </c>
      <c r="AU31" s="228" t="s">
        <v>1214</v>
      </c>
    </row>
    <row r="32" spans="1:47" ht="39.6" x14ac:dyDescent="0.3">
      <c r="A32" s="502" t="s">
        <v>867</v>
      </c>
      <c r="B32" s="502" t="s">
        <v>868</v>
      </c>
      <c r="C32" s="195" t="s">
        <v>1088</v>
      </c>
      <c r="D32" s="195" t="s">
        <v>287</v>
      </c>
      <c r="E32" s="392" t="s">
        <v>806</v>
      </c>
      <c r="F32" s="221">
        <v>1</v>
      </c>
      <c r="G32" s="220" t="s">
        <v>235</v>
      </c>
      <c r="H32" s="220">
        <v>19</v>
      </c>
      <c r="I32" s="195" t="s">
        <v>674</v>
      </c>
      <c r="J32" s="227" t="s">
        <v>772</v>
      </c>
      <c r="K32" s="220" t="s">
        <v>1196</v>
      </c>
      <c r="L32" s="262" t="s">
        <v>891</v>
      </c>
      <c r="M32" s="262" t="s">
        <v>1102</v>
      </c>
      <c r="N32" s="228" t="s">
        <v>731</v>
      </c>
      <c r="O32" s="222">
        <v>8</v>
      </c>
      <c r="P32" s="223">
        <f t="shared" si="16"/>
        <v>-1</v>
      </c>
      <c r="Q32" s="223">
        <v>8</v>
      </c>
      <c r="R32" s="223">
        <f t="shared" si="17"/>
        <v>-1</v>
      </c>
      <c r="S32" s="223">
        <v>8</v>
      </c>
      <c r="T32" s="223">
        <f t="shared" si="18"/>
        <v>-1</v>
      </c>
      <c r="U32" s="223">
        <v>10</v>
      </c>
      <c r="V32" s="223" t="str">
        <f t="shared" si="19"/>
        <v>+0</v>
      </c>
      <c r="W32" s="223">
        <v>12</v>
      </c>
      <c r="X32" s="223" t="str">
        <f t="shared" si="20"/>
        <v>+1</v>
      </c>
      <c r="Y32" s="224">
        <v>8</v>
      </c>
      <c r="Z32" s="224">
        <f t="shared" si="21"/>
        <v>-1</v>
      </c>
      <c r="AA32" s="225">
        <f t="shared" si="6"/>
        <v>9</v>
      </c>
      <c r="AB32" s="226">
        <f t="shared" si="22"/>
        <v>-1</v>
      </c>
      <c r="AC32" s="344">
        <v>2</v>
      </c>
      <c r="AD32" s="360">
        <f t="shared" si="23"/>
        <v>1</v>
      </c>
      <c r="AE32" s="361">
        <v>0</v>
      </c>
      <c r="AF32" s="363">
        <f t="shared" si="24"/>
        <v>-1</v>
      </c>
      <c r="AG32" s="362">
        <v>2</v>
      </c>
      <c r="AH32" s="343">
        <f t="shared" si="25"/>
        <v>3</v>
      </c>
      <c r="AI32" s="229">
        <v>0</v>
      </c>
      <c r="AJ32" s="224">
        <f t="shared" si="26"/>
        <v>9</v>
      </c>
      <c r="AK32" s="224">
        <f t="shared" si="27"/>
        <v>13</v>
      </c>
      <c r="AL32" s="224">
        <f t="shared" si="28"/>
        <v>12</v>
      </c>
      <c r="AM32" s="229">
        <f t="shared" ref="AM32:AM41" si="32">ROUNDUP(8*(0.75*F32)+(F32*(S32-10) / 2),0)</f>
        <v>5</v>
      </c>
      <c r="AN32" s="396">
        <f>(F32+3)*(2+V32)</f>
        <v>8</v>
      </c>
      <c r="AO32" s="368" t="s">
        <v>797</v>
      </c>
      <c r="AP32" s="410" t="s">
        <v>687</v>
      </c>
      <c r="AQ32" s="411" t="s">
        <v>811</v>
      </c>
      <c r="AR32" s="227" t="s">
        <v>696</v>
      </c>
      <c r="AS32" s="220" t="s">
        <v>786</v>
      </c>
      <c r="AT32" s="262">
        <f t="shared" si="31"/>
        <v>3</v>
      </c>
      <c r="AU32" s="228" t="s">
        <v>1214</v>
      </c>
    </row>
    <row r="33" spans="1:47" ht="46.8" x14ac:dyDescent="0.3">
      <c r="A33" s="502" t="s">
        <v>869</v>
      </c>
      <c r="B33" s="502" t="s">
        <v>870</v>
      </c>
      <c r="C33" s="195" t="s">
        <v>1088</v>
      </c>
      <c r="D33" s="195" t="s">
        <v>287</v>
      </c>
      <c r="E33" s="392" t="s">
        <v>806</v>
      </c>
      <c r="F33" s="221">
        <v>1</v>
      </c>
      <c r="G33" s="220" t="s">
        <v>235</v>
      </c>
      <c r="H33" s="220">
        <v>18</v>
      </c>
      <c r="I33" s="195" t="s">
        <v>676</v>
      </c>
      <c r="J33" s="227" t="s">
        <v>774</v>
      </c>
      <c r="K33" s="220" t="s">
        <v>1197</v>
      </c>
      <c r="L33" s="262" t="s">
        <v>891</v>
      </c>
      <c r="M33" s="262" t="s">
        <v>734</v>
      </c>
      <c r="N33" s="228" t="s">
        <v>735</v>
      </c>
      <c r="O33" s="222">
        <v>8</v>
      </c>
      <c r="P33" s="223">
        <f t="shared" si="16"/>
        <v>-1</v>
      </c>
      <c r="Q33" s="223">
        <v>8</v>
      </c>
      <c r="R33" s="223">
        <f t="shared" si="17"/>
        <v>-1</v>
      </c>
      <c r="S33" s="223">
        <v>8</v>
      </c>
      <c r="T33" s="223">
        <f t="shared" si="18"/>
        <v>-1</v>
      </c>
      <c r="U33" s="223">
        <v>10</v>
      </c>
      <c r="V33" s="223" t="str">
        <f t="shared" si="19"/>
        <v>+0</v>
      </c>
      <c r="W33" s="223">
        <v>12</v>
      </c>
      <c r="X33" s="223" t="str">
        <f t="shared" si="20"/>
        <v>+1</v>
      </c>
      <c r="Y33" s="224">
        <v>8</v>
      </c>
      <c r="Z33" s="224">
        <f t="shared" si="21"/>
        <v>-1</v>
      </c>
      <c r="AA33" s="225">
        <f t="shared" si="6"/>
        <v>9</v>
      </c>
      <c r="AB33" s="226">
        <f t="shared" si="22"/>
        <v>-1</v>
      </c>
      <c r="AC33" s="344">
        <v>2</v>
      </c>
      <c r="AD33" s="360">
        <f t="shared" si="23"/>
        <v>1</v>
      </c>
      <c r="AE33" s="361">
        <v>0</v>
      </c>
      <c r="AF33" s="363">
        <f t="shared" si="24"/>
        <v>-1</v>
      </c>
      <c r="AG33" s="362">
        <v>2</v>
      </c>
      <c r="AH33" s="343">
        <f t="shared" si="25"/>
        <v>3</v>
      </c>
      <c r="AI33" s="229">
        <v>0</v>
      </c>
      <c r="AJ33" s="224">
        <f t="shared" si="26"/>
        <v>9</v>
      </c>
      <c r="AK33" s="224">
        <f t="shared" si="27"/>
        <v>13</v>
      </c>
      <c r="AL33" s="224">
        <f t="shared" si="28"/>
        <v>12</v>
      </c>
      <c r="AM33" s="229">
        <f t="shared" si="32"/>
        <v>5</v>
      </c>
      <c r="AN33" s="396">
        <f>(F33+3)*(2+V33)</f>
        <v>8</v>
      </c>
      <c r="AO33" s="368" t="s">
        <v>797</v>
      </c>
      <c r="AP33" s="410" t="s">
        <v>687</v>
      </c>
      <c r="AQ33" s="411" t="s">
        <v>811</v>
      </c>
      <c r="AR33" s="227" t="s">
        <v>696</v>
      </c>
      <c r="AS33" s="220" t="s">
        <v>786</v>
      </c>
      <c r="AT33" s="262">
        <f t="shared" si="31"/>
        <v>3</v>
      </c>
      <c r="AU33" s="228" t="s">
        <v>1214</v>
      </c>
    </row>
    <row r="34" spans="1:47" ht="78" x14ac:dyDescent="0.3">
      <c r="A34" s="502" t="s">
        <v>871</v>
      </c>
      <c r="B34" s="502" t="s">
        <v>872</v>
      </c>
      <c r="C34" s="195" t="s">
        <v>1088</v>
      </c>
      <c r="D34" s="195" t="s">
        <v>684</v>
      </c>
      <c r="E34" s="392" t="s">
        <v>806</v>
      </c>
      <c r="F34" s="221">
        <v>1</v>
      </c>
      <c r="G34" s="220" t="s">
        <v>672</v>
      </c>
      <c r="H34" s="220">
        <v>22</v>
      </c>
      <c r="I34" s="195" t="s">
        <v>673</v>
      </c>
      <c r="J34" s="227" t="s">
        <v>775</v>
      </c>
      <c r="K34" s="220" t="s">
        <v>1198</v>
      </c>
      <c r="L34" s="262" t="s">
        <v>736</v>
      </c>
      <c r="M34" s="262" t="s">
        <v>1103</v>
      </c>
      <c r="N34" s="228" t="s">
        <v>708</v>
      </c>
      <c r="O34" s="222">
        <v>8</v>
      </c>
      <c r="P34" s="223">
        <f t="shared" si="16"/>
        <v>-1</v>
      </c>
      <c r="Q34" s="223">
        <v>8</v>
      </c>
      <c r="R34" s="223">
        <f t="shared" si="17"/>
        <v>-1</v>
      </c>
      <c r="S34" s="223">
        <v>8</v>
      </c>
      <c r="T34" s="223">
        <f t="shared" si="18"/>
        <v>-1</v>
      </c>
      <c r="U34" s="223">
        <v>8</v>
      </c>
      <c r="V34" s="223">
        <f t="shared" si="19"/>
        <v>-1</v>
      </c>
      <c r="W34" s="223">
        <v>12</v>
      </c>
      <c r="X34" s="223" t="str">
        <f t="shared" si="20"/>
        <v>+1</v>
      </c>
      <c r="Y34" s="224">
        <v>10</v>
      </c>
      <c r="Z34" s="224" t="str">
        <f t="shared" si="21"/>
        <v>+0</v>
      </c>
      <c r="AA34" s="225">
        <f t="shared" si="6"/>
        <v>9</v>
      </c>
      <c r="AB34" s="226">
        <f t="shared" si="22"/>
        <v>-1</v>
      </c>
      <c r="AC34" s="344">
        <v>2</v>
      </c>
      <c r="AD34" s="360">
        <f t="shared" si="23"/>
        <v>1</v>
      </c>
      <c r="AE34" s="361">
        <v>0</v>
      </c>
      <c r="AF34" s="363">
        <f t="shared" si="24"/>
        <v>-1</v>
      </c>
      <c r="AG34" s="362">
        <v>2</v>
      </c>
      <c r="AH34" s="343">
        <f t="shared" si="25"/>
        <v>3</v>
      </c>
      <c r="AI34" s="229">
        <v>0</v>
      </c>
      <c r="AJ34" s="224">
        <f t="shared" si="26"/>
        <v>9</v>
      </c>
      <c r="AK34" s="224">
        <f t="shared" si="27"/>
        <v>13</v>
      </c>
      <c r="AL34" s="224">
        <f t="shared" si="28"/>
        <v>12</v>
      </c>
      <c r="AM34" s="229">
        <f t="shared" si="32"/>
        <v>5</v>
      </c>
      <c r="AN34" s="396">
        <f>(F34+3)*(2+V34)</f>
        <v>4</v>
      </c>
      <c r="AO34" s="368" t="s">
        <v>805</v>
      </c>
      <c r="AP34" s="410" t="s">
        <v>687</v>
      </c>
      <c r="AQ34" s="411" t="s">
        <v>811</v>
      </c>
      <c r="AR34" s="227" t="s">
        <v>696</v>
      </c>
      <c r="AS34" s="220" t="s">
        <v>786</v>
      </c>
      <c r="AT34" s="262">
        <f t="shared" si="31"/>
        <v>3</v>
      </c>
      <c r="AU34" s="228" t="s">
        <v>1214</v>
      </c>
    </row>
    <row r="35" spans="1:47" ht="46.8" x14ac:dyDescent="0.3">
      <c r="A35" s="502" t="s">
        <v>873</v>
      </c>
      <c r="B35" s="502" t="s">
        <v>874</v>
      </c>
      <c r="C35" s="195" t="s">
        <v>1088</v>
      </c>
      <c r="D35" s="195" t="s">
        <v>287</v>
      </c>
      <c r="E35" s="392" t="s">
        <v>806</v>
      </c>
      <c r="F35" s="221">
        <v>1</v>
      </c>
      <c r="G35" s="220" t="s">
        <v>235</v>
      </c>
      <c r="H35" s="220">
        <v>18</v>
      </c>
      <c r="I35" s="195" t="s">
        <v>674</v>
      </c>
      <c r="J35" s="227" t="s">
        <v>768</v>
      </c>
      <c r="K35" s="220" t="s">
        <v>737</v>
      </c>
      <c r="L35" s="262" t="s">
        <v>891</v>
      </c>
      <c r="M35" s="262" t="s">
        <v>1104</v>
      </c>
      <c r="N35" s="228" t="s">
        <v>738</v>
      </c>
      <c r="O35" s="222">
        <v>8</v>
      </c>
      <c r="P35" s="223">
        <f t="shared" si="16"/>
        <v>-1</v>
      </c>
      <c r="Q35" s="223">
        <v>8</v>
      </c>
      <c r="R35" s="223">
        <f t="shared" si="17"/>
        <v>-1</v>
      </c>
      <c r="S35" s="223">
        <v>8</v>
      </c>
      <c r="T35" s="223">
        <f t="shared" si="18"/>
        <v>-1</v>
      </c>
      <c r="U35" s="223">
        <v>10</v>
      </c>
      <c r="V35" s="223" t="str">
        <f t="shared" si="19"/>
        <v>+0</v>
      </c>
      <c r="W35" s="223">
        <v>12</v>
      </c>
      <c r="X35" s="223" t="str">
        <f t="shared" si="20"/>
        <v>+1</v>
      </c>
      <c r="Y35" s="224">
        <v>8</v>
      </c>
      <c r="Z35" s="224">
        <f t="shared" si="21"/>
        <v>-1</v>
      </c>
      <c r="AA35" s="225">
        <f t="shared" si="6"/>
        <v>9</v>
      </c>
      <c r="AB35" s="226">
        <f t="shared" si="22"/>
        <v>-1</v>
      </c>
      <c r="AC35" s="344">
        <v>2</v>
      </c>
      <c r="AD35" s="360">
        <f t="shared" si="23"/>
        <v>1</v>
      </c>
      <c r="AE35" s="361">
        <v>0</v>
      </c>
      <c r="AF35" s="363">
        <f t="shared" si="24"/>
        <v>-1</v>
      </c>
      <c r="AG35" s="362">
        <v>2</v>
      </c>
      <c r="AH35" s="343">
        <f t="shared" si="25"/>
        <v>3</v>
      </c>
      <c r="AI35" s="229">
        <v>0</v>
      </c>
      <c r="AJ35" s="224">
        <f t="shared" si="26"/>
        <v>9</v>
      </c>
      <c r="AK35" s="224">
        <f t="shared" si="27"/>
        <v>13</v>
      </c>
      <c r="AL35" s="224">
        <f t="shared" si="28"/>
        <v>12</v>
      </c>
      <c r="AM35" s="229">
        <f t="shared" si="32"/>
        <v>5</v>
      </c>
      <c r="AN35" s="396">
        <f>(F35+3)*(2+V35)</f>
        <v>8</v>
      </c>
      <c r="AO35" s="368" t="s">
        <v>797</v>
      </c>
      <c r="AP35" s="410" t="s">
        <v>687</v>
      </c>
      <c r="AQ35" s="411" t="s">
        <v>811</v>
      </c>
      <c r="AR35" s="227" t="s">
        <v>696</v>
      </c>
      <c r="AS35" s="220" t="s">
        <v>786</v>
      </c>
      <c r="AT35" s="262">
        <f t="shared" si="31"/>
        <v>3</v>
      </c>
      <c r="AU35" s="228" t="s">
        <v>1214</v>
      </c>
    </row>
    <row r="36" spans="1:47" ht="52.8" x14ac:dyDescent="0.3">
      <c r="A36" s="502" t="s">
        <v>875</v>
      </c>
      <c r="B36" s="502" t="s">
        <v>876</v>
      </c>
      <c r="C36" s="195" t="s">
        <v>1088</v>
      </c>
      <c r="D36" s="195" t="s">
        <v>287</v>
      </c>
      <c r="E36" s="390" t="s">
        <v>677</v>
      </c>
      <c r="F36" s="221">
        <v>1</v>
      </c>
      <c r="G36" s="220" t="s">
        <v>672</v>
      </c>
      <c r="H36" s="220">
        <v>18</v>
      </c>
      <c r="I36" s="195" t="s">
        <v>675</v>
      </c>
      <c r="J36" s="227" t="s">
        <v>776</v>
      </c>
      <c r="K36" s="220" t="s">
        <v>739</v>
      </c>
      <c r="L36" s="262" t="s">
        <v>740</v>
      </c>
      <c r="M36" s="262" t="s">
        <v>1105</v>
      </c>
      <c r="N36" s="228" t="s">
        <v>717</v>
      </c>
      <c r="O36" s="222">
        <v>8</v>
      </c>
      <c r="P36" s="223">
        <f t="shared" si="16"/>
        <v>-1</v>
      </c>
      <c r="Q36" s="223">
        <v>8</v>
      </c>
      <c r="R36" s="223">
        <f t="shared" si="17"/>
        <v>-1</v>
      </c>
      <c r="S36" s="223">
        <v>8</v>
      </c>
      <c r="T36" s="223">
        <f t="shared" si="18"/>
        <v>-1</v>
      </c>
      <c r="U36" s="223">
        <v>10</v>
      </c>
      <c r="V36" s="223" t="str">
        <f t="shared" si="19"/>
        <v>+0</v>
      </c>
      <c r="W36" s="223">
        <v>8</v>
      </c>
      <c r="X36" s="223">
        <f t="shared" si="20"/>
        <v>-1</v>
      </c>
      <c r="Y36" s="224">
        <v>12</v>
      </c>
      <c r="Z36" s="224" t="str">
        <f t="shared" si="21"/>
        <v>+1</v>
      </c>
      <c r="AA36" s="225">
        <f t="shared" si="6"/>
        <v>9</v>
      </c>
      <c r="AB36" s="226">
        <f t="shared" si="22"/>
        <v>-1</v>
      </c>
      <c r="AC36" s="344">
        <v>0</v>
      </c>
      <c r="AD36" s="360">
        <f t="shared" si="23"/>
        <v>-1</v>
      </c>
      <c r="AE36" s="361">
        <v>2</v>
      </c>
      <c r="AF36" s="363">
        <f t="shared" si="24"/>
        <v>1</v>
      </c>
      <c r="AG36" s="362">
        <v>2</v>
      </c>
      <c r="AH36" s="343">
        <f t="shared" si="25"/>
        <v>1</v>
      </c>
      <c r="AI36" s="229">
        <v>0</v>
      </c>
      <c r="AJ36" s="224">
        <f t="shared" si="26"/>
        <v>9</v>
      </c>
      <c r="AK36" s="224">
        <f t="shared" si="27"/>
        <v>13</v>
      </c>
      <c r="AL36" s="224">
        <f t="shared" si="28"/>
        <v>12</v>
      </c>
      <c r="AM36" s="229">
        <f t="shared" si="32"/>
        <v>5</v>
      </c>
      <c r="AN36" s="396">
        <f>(F36+3)*(6+V36)</f>
        <v>24</v>
      </c>
      <c r="AO36" s="368" t="s">
        <v>784</v>
      </c>
      <c r="AP36" s="410" t="s">
        <v>695</v>
      </c>
      <c r="AQ36" s="411" t="s">
        <v>691</v>
      </c>
      <c r="AR36" s="227" t="s">
        <v>700</v>
      </c>
      <c r="AS36" s="220" t="s">
        <v>786</v>
      </c>
      <c r="AT36" s="262">
        <f t="shared" si="31"/>
        <v>3</v>
      </c>
      <c r="AU36" s="228" t="s">
        <v>1214</v>
      </c>
    </row>
    <row r="37" spans="1:47" ht="46.8" x14ac:dyDescent="0.3">
      <c r="A37" s="502" t="s">
        <v>877</v>
      </c>
      <c r="B37" s="502" t="s">
        <v>878</v>
      </c>
      <c r="C37" s="195" t="s">
        <v>1088</v>
      </c>
      <c r="D37" s="195" t="s">
        <v>678</v>
      </c>
      <c r="E37" s="392" t="s">
        <v>806</v>
      </c>
      <c r="F37" s="221">
        <v>1</v>
      </c>
      <c r="G37" s="220" t="s">
        <v>235</v>
      </c>
      <c r="H37" s="220">
        <v>23</v>
      </c>
      <c r="I37" s="195" t="s">
        <v>676</v>
      </c>
      <c r="J37" s="227" t="s">
        <v>777</v>
      </c>
      <c r="K37" s="220" t="s">
        <v>741</v>
      </c>
      <c r="L37" s="262" t="s">
        <v>742</v>
      </c>
      <c r="M37" s="262" t="s">
        <v>1106</v>
      </c>
      <c r="N37" s="228" t="s">
        <v>743</v>
      </c>
      <c r="O37" s="222">
        <v>8</v>
      </c>
      <c r="P37" s="223">
        <f t="shared" si="16"/>
        <v>-1</v>
      </c>
      <c r="Q37" s="223">
        <v>8</v>
      </c>
      <c r="R37" s="223">
        <f t="shared" si="17"/>
        <v>-1</v>
      </c>
      <c r="S37" s="223">
        <v>8</v>
      </c>
      <c r="T37" s="223">
        <f t="shared" si="18"/>
        <v>-1</v>
      </c>
      <c r="U37" s="223">
        <v>10</v>
      </c>
      <c r="V37" s="223" t="str">
        <f t="shared" si="19"/>
        <v>+0</v>
      </c>
      <c r="W37" s="223">
        <v>12</v>
      </c>
      <c r="X37" s="223" t="str">
        <f t="shared" si="20"/>
        <v>+1</v>
      </c>
      <c r="Y37" s="224">
        <v>8</v>
      </c>
      <c r="Z37" s="224">
        <f t="shared" si="21"/>
        <v>-1</v>
      </c>
      <c r="AA37" s="225">
        <f t="shared" si="6"/>
        <v>9</v>
      </c>
      <c r="AB37" s="226">
        <f t="shared" si="22"/>
        <v>-1</v>
      </c>
      <c r="AC37" s="344">
        <v>2</v>
      </c>
      <c r="AD37" s="360">
        <f t="shared" si="23"/>
        <v>1</v>
      </c>
      <c r="AE37" s="361">
        <v>0</v>
      </c>
      <c r="AF37" s="363">
        <f t="shared" si="24"/>
        <v>-1</v>
      </c>
      <c r="AG37" s="362">
        <v>2</v>
      </c>
      <c r="AH37" s="343">
        <f t="shared" si="25"/>
        <v>3</v>
      </c>
      <c r="AI37" s="229">
        <v>0</v>
      </c>
      <c r="AJ37" s="224">
        <f t="shared" si="26"/>
        <v>9</v>
      </c>
      <c r="AK37" s="224">
        <f t="shared" si="27"/>
        <v>13</v>
      </c>
      <c r="AL37" s="224">
        <f t="shared" si="28"/>
        <v>12</v>
      </c>
      <c r="AM37" s="229">
        <f t="shared" si="32"/>
        <v>5</v>
      </c>
      <c r="AN37" s="396">
        <f>(F37+3)*(2+V37)</f>
        <v>8</v>
      </c>
      <c r="AO37" s="368" t="s">
        <v>793</v>
      </c>
      <c r="AP37" s="410" t="s">
        <v>687</v>
      </c>
      <c r="AQ37" s="411" t="s">
        <v>811</v>
      </c>
      <c r="AR37" s="227" t="s">
        <v>696</v>
      </c>
      <c r="AS37" s="220" t="s">
        <v>786</v>
      </c>
      <c r="AT37" s="262">
        <f t="shared" si="31"/>
        <v>3</v>
      </c>
      <c r="AU37" s="228" t="s">
        <v>1214</v>
      </c>
    </row>
    <row r="38" spans="1:47" ht="52.8" x14ac:dyDescent="0.3">
      <c r="A38" s="502" t="s">
        <v>879</v>
      </c>
      <c r="B38" s="502" t="s">
        <v>880</v>
      </c>
      <c r="C38" s="195" t="s">
        <v>1088</v>
      </c>
      <c r="D38" s="195" t="s">
        <v>679</v>
      </c>
      <c r="E38" s="390" t="s">
        <v>677</v>
      </c>
      <c r="F38" s="221">
        <v>1</v>
      </c>
      <c r="G38" s="220" t="s">
        <v>672</v>
      </c>
      <c r="H38" s="220">
        <v>19</v>
      </c>
      <c r="I38" s="195" t="s">
        <v>673</v>
      </c>
      <c r="J38" s="227" t="s">
        <v>778</v>
      </c>
      <c r="K38" s="220" t="s">
        <v>744</v>
      </c>
      <c r="L38" s="262" t="s">
        <v>891</v>
      </c>
      <c r="M38" s="262" t="s">
        <v>1107</v>
      </c>
      <c r="N38" s="228" t="s">
        <v>717</v>
      </c>
      <c r="O38" s="222">
        <v>6</v>
      </c>
      <c r="P38" s="223">
        <f t="shared" si="16"/>
        <v>-2</v>
      </c>
      <c r="Q38" s="223">
        <v>12</v>
      </c>
      <c r="R38" s="223" t="str">
        <f t="shared" si="17"/>
        <v>+1</v>
      </c>
      <c r="S38" s="223">
        <v>6</v>
      </c>
      <c r="T38" s="223">
        <f t="shared" si="18"/>
        <v>-2</v>
      </c>
      <c r="U38" s="223">
        <v>10</v>
      </c>
      <c r="V38" s="223" t="str">
        <f t="shared" si="19"/>
        <v>+0</v>
      </c>
      <c r="W38" s="223">
        <v>8</v>
      </c>
      <c r="X38" s="223">
        <f t="shared" si="20"/>
        <v>-1</v>
      </c>
      <c r="Y38" s="224">
        <v>12</v>
      </c>
      <c r="Z38" s="224" t="str">
        <f t="shared" si="21"/>
        <v>+1</v>
      </c>
      <c r="AA38" s="225">
        <f t="shared" si="6"/>
        <v>9</v>
      </c>
      <c r="AB38" s="226" t="str">
        <f t="shared" si="22"/>
        <v>+1</v>
      </c>
      <c r="AC38" s="344">
        <v>0</v>
      </c>
      <c r="AD38" s="360">
        <f t="shared" si="23"/>
        <v>-2</v>
      </c>
      <c r="AE38" s="361">
        <v>2</v>
      </c>
      <c r="AF38" s="363">
        <f t="shared" si="24"/>
        <v>3</v>
      </c>
      <c r="AG38" s="362">
        <v>2</v>
      </c>
      <c r="AH38" s="343">
        <f t="shared" si="25"/>
        <v>1</v>
      </c>
      <c r="AI38" s="229">
        <v>0</v>
      </c>
      <c r="AJ38" s="224">
        <f t="shared" si="26"/>
        <v>11</v>
      </c>
      <c r="AK38" s="224">
        <f t="shared" si="27"/>
        <v>13</v>
      </c>
      <c r="AL38" s="224">
        <f t="shared" si="28"/>
        <v>14</v>
      </c>
      <c r="AM38" s="229">
        <f t="shared" si="32"/>
        <v>4</v>
      </c>
      <c r="AN38" s="396">
        <f>(F38+3)*(6+V38)</f>
        <v>24</v>
      </c>
      <c r="AO38" s="368" t="s">
        <v>784</v>
      </c>
      <c r="AP38" s="410" t="s">
        <v>695</v>
      </c>
      <c r="AQ38" s="411" t="s">
        <v>691</v>
      </c>
      <c r="AR38" s="227" t="s">
        <v>701</v>
      </c>
      <c r="AS38" s="220" t="s">
        <v>786</v>
      </c>
      <c r="AT38" s="262">
        <f t="shared" si="31"/>
        <v>3</v>
      </c>
      <c r="AU38" s="228" t="s">
        <v>1214</v>
      </c>
    </row>
    <row r="39" spans="1:47" ht="46.8" x14ac:dyDescent="0.3">
      <c r="A39" s="502" t="s">
        <v>881</v>
      </c>
      <c r="B39" s="502" t="s">
        <v>882</v>
      </c>
      <c r="C39" s="195" t="s">
        <v>1088</v>
      </c>
      <c r="D39" s="195" t="s">
        <v>287</v>
      </c>
      <c r="E39" s="392" t="s">
        <v>806</v>
      </c>
      <c r="F39" s="221">
        <v>1</v>
      </c>
      <c r="G39" s="220" t="s">
        <v>235</v>
      </c>
      <c r="H39" s="220">
        <v>18</v>
      </c>
      <c r="I39" s="195" t="s">
        <v>674</v>
      </c>
      <c r="J39" s="227" t="s">
        <v>779</v>
      </c>
      <c r="K39" s="220" t="s">
        <v>745</v>
      </c>
      <c r="L39" s="262" t="s">
        <v>746</v>
      </c>
      <c r="M39" s="262" t="s">
        <v>1108</v>
      </c>
      <c r="N39" s="228" t="s">
        <v>738</v>
      </c>
      <c r="O39" s="222">
        <v>8</v>
      </c>
      <c r="P39" s="223">
        <f t="shared" si="16"/>
        <v>-1</v>
      </c>
      <c r="Q39" s="223">
        <v>8</v>
      </c>
      <c r="R39" s="223">
        <f t="shared" si="17"/>
        <v>-1</v>
      </c>
      <c r="S39" s="223">
        <v>8</v>
      </c>
      <c r="T39" s="223">
        <f t="shared" si="18"/>
        <v>-1</v>
      </c>
      <c r="U39" s="223">
        <v>10</v>
      </c>
      <c r="V39" s="223" t="str">
        <f t="shared" si="19"/>
        <v>+0</v>
      </c>
      <c r="W39" s="223">
        <v>12</v>
      </c>
      <c r="X39" s="223" t="str">
        <f t="shared" si="20"/>
        <v>+1</v>
      </c>
      <c r="Y39" s="224">
        <v>8</v>
      </c>
      <c r="Z39" s="224">
        <f t="shared" si="21"/>
        <v>-1</v>
      </c>
      <c r="AA39" s="225">
        <f t="shared" si="6"/>
        <v>9</v>
      </c>
      <c r="AB39" s="226">
        <f t="shared" si="22"/>
        <v>-1</v>
      </c>
      <c r="AC39" s="344">
        <v>2</v>
      </c>
      <c r="AD39" s="360">
        <f t="shared" si="23"/>
        <v>1</v>
      </c>
      <c r="AE39" s="361">
        <v>0</v>
      </c>
      <c r="AF39" s="363">
        <f t="shared" si="24"/>
        <v>-1</v>
      </c>
      <c r="AG39" s="362">
        <v>2</v>
      </c>
      <c r="AH39" s="343">
        <f t="shared" si="25"/>
        <v>3</v>
      </c>
      <c r="AI39" s="229">
        <v>0</v>
      </c>
      <c r="AJ39" s="224">
        <f t="shared" si="26"/>
        <v>9</v>
      </c>
      <c r="AK39" s="224">
        <f t="shared" si="27"/>
        <v>13</v>
      </c>
      <c r="AL39" s="224">
        <f t="shared" si="28"/>
        <v>12</v>
      </c>
      <c r="AM39" s="229">
        <f t="shared" si="32"/>
        <v>5</v>
      </c>
      <c r="AN39" s="396">
        <f>(F39+3)*(2+V39)</f>
        <v>8</v>
      </c>
      <c r="AO39" s="368" t="s">
        <v>797</v>
      </c>
      <c r="AP39" s="410" t="s">
        <v>687</v>
      </c>
      <c r="AQ39" s="411" t="s">
        <v>811</v>
      </c>
      <c r="AR39" s="227" t="s">
        <v>696</v>
      </c>
      <c r="AS39" s="220" t="s">
        <v>786</v>
      </c>
      <c r="AT39" s="262">
        <f t="shared" si="31"/>
        <v>3</v>
      </c>
      <c r="AU39" s="228" t="s">
        <v>1214</v>
      </c>
    </row>
    <row r="40" spans="1:47" ht="46.8" x14ac:dyDescent="0.3">
      <c r="A40" s="502" t="s">
        <v>885</v>
      </c>
      <c r="B40" s="502" t="s">
        <v>886</v>
      </c>
      <c r="C40" s="195" t="s">
        <v>1088</v>
      </c>
      <c r="D40" s="195" t="s">
        <v>287</v>
      </c>
      <c r="E40" s="392" t="s">
        <v>806</v>
      </c>
      <c r="F40" s="221">
        <v>1</v>
      </c>
      <c r="G40" s="220" t="s">
        <v>235</v>
      </c>
      <c r="H40" s="220">
        <v>18</v>
      </c>
      <c r="I40" s="195" t="s">
        <v>676</v>
      </c>
      <c r="J40" s="227" t="s">
        <v>768</v>
      </c>
      <c r="K40" s="220" t="s">
        <v>748</v>
      </c>
      <c r="L40" s="262" t="s">
        <v>755</v>
      </c>
      <c r="M40" s="262" t="s">
        <v>749</v>
      </c>
      <c r="N40" s="228" t="s">
        <v>750</v>
      </c>
      <c r="O40" s="222">
        <v>6</v>
      </c>
      <c r="P40" s="223">
        <f t="shared" si="16"/>
        <v>-2</v>
      </c>
      <c r="Q40" s="223">
        <v>6</v>
      </c>
      <c r="R40" s="223">
        <f t="shared" si="17"/>
        <v>-2</v>
      </c>
      <c r="S40" s="223">
        <v>6</v>
      </c>
      <c r="T40" s="223">
        <f t="shared" si="18"/>
        <v>-2</v>
      </c>
      <c r="U40" s="223">
        <v>8</v>
      </c>
      <c r="V40" s="223">
        <f t="shared" si="19"/>
        <v>-1</v>
      </c>
      <c r="W40" s="223">
        <v>10</v>
      </c>
      <c r="X40" s="223" t="str">
        <f t="shared" si="20"/>
        <v>+0</v>
      </c>
      <c r="Y40" s="224">
        <v>6</v>
      </c>
      <c r="Z40" s="224">
        <f t="shared" si="21"/>
        <v>-2</v>
      </c>
      <c r="AA40" s="225">
        <f t="shared" si="6"/>
        <v>7</v>
      </c>
      <c r="AB40" s="226">
        <f t="shared" si="22"/>
        <v>-2</v>
      </c>
      <c r="AC40" s="344">
        <v>2</v>
      </c>
      <c r="AD40" s="360">
        <f t="shared" si="23"/>
        <v>0</v>
      </c>
      <c r="AE40" s="361">
        <v>0</v>
      </c>
      <c r="AF40" s="363">
        <f t="shared" si="24"/>
        <v>-2</v>
      </c>
      <c r="AG40" s="362">
        <v>2</v>
      </c>
      <c r="AH40" s="343">
        <f t="shared" si="25"/>
        <v>2</v>
      </c>
      <c r="AI40" s="229">
        <v>0</v>
      </c>
      <c r="AJ40" s="224">
        <f t="shared" si="26"/>
        <v>8</v>
      </c>
      <c r="AK40" s="224">
        <f t="shared" si="27"/>
        <v>13</v>
      </c>
      <c r="AL40" s="224">
        <f t="shared" si="28"/>
        <v>11</v>
      </c>
      <c r="AM40" s="229">
        <f t="shared" si="32"/>
        <v>4</v>
      </c>
      <c r="AN40" s="396">
        <f>(F40+3)*(2+V40)</f>
        <v>4</v>
      </c>
      <c r="AO40" s="368" t="s">
        <v>804</v>
      </c>
      <c r="AP40" s="410" t="s">
        <v>687</v>
      </c>
      <c r="AQ40" s="411" t="s">
        <v>811</v>
      </c>
      <c r="AR40" s="227" t="s">
        <v>696</v>
      </c>
      <c r="AS40" s="220" t="s">
        <v>786</v>
      </c>
      <c r="AT40" s="262">
        <f t="shared" si="31"/>
        <v>3</v>
      </c>
      <c r="AU40" s="228" t="s">
        <v>1214</v>
      </c>
    </row>
    <row r="41" spans="1:47" ht="46.8" x14ac:dyDescent="0.3">
      <c r="A41" s="230" t="s">
        <v>887</v>
      </c>
      <c r="B41" s="230" t="s">
        <v>888</v>
      </c>
      <c r="C41" s="195" t="s">
        <v>1088</v>
      </c>
      <c r="D41" s="195" t="s">
        <v>684</v>
      </c>
      <c r="E41" s="392" t="s">
        <v>806</v>
      </c>
      <c r="F41" s="221">
        <v>1</v>
      </c>
      <c r="G41" s="220" t="s">
        <v>672</v>
      </c>
      <c r="H41" s="220">
        <v>24</v>
      </c>
      <c r="I41" s="195" t="s">
        <v>673</v>
      </c>
      <c r="J41" s="227" t="s">
        <v>781</v>
      </c>
      <c r="K41" s="220" t="s">
        <v>751</v>
      </c>
      <c r="L41" s="262" t="s">
        <v>891</v>
      </c>
      <c r="M41" s="262" t="s">
        <v>1109</v>
      </c>
      <c r="N41" s="228" t="s">
        <v>752</v>
      </c>
      <c r="O41" s="222">
        <v>4</v>
      </c>
      <c r="P41" s="223">
        <f t="shared" si="16"/>
        <v>-3</v>
      </c>
      <c r="Q41" s="223">
        <v>8</v>
      </c>
      <c r="R41" s="223">
        <f t="shared" si="17"/>
        <v>-1</v>
      </c>
      <c r="S41" s="223">
        <v>4</v>
      </c>
      <c r="T41" s="223">
        <f t="shared" si="18"/>
        <v>-3</v>
      </c>
      <c r="U41" s="223">
        <v>8</v>
      </c>
      <c r="V41" s="223">
        <f t="shared" si="19"/>
        <v>-1</v>
      </c>
      <c r="W41" s="223">
        <v>10</v>
      </c>
      <c r="X41" s="223" t="str">
        <f t="shared" si="20"/>
        <v>+0</v>
      </c>
      <c r="Y41" s="224">
        <v>8</v>
      </c>
      <c r="Z41" s="224">
        <f t="shared" si="21"/>
        <v>-1</v>
      </c>
      <c r="AA41" s="225">
        <f t="shared" si="6"/>
        <v>7</v>
      </c>
      <c r="AB41" s="226">
        <f t="shared" si="22"/>
        <v>-1</v>
      </c>
      <c r="AC41" s="344">
        <v>2</v>
      </c>
      <c r="AD41" s="360">
        <f t="shared" si="23"/>
        <v>-1</v>
      </c>
      <c r="AE41" s="361">
        <v>0</v>
      </c>
      <c r="AF41" s="363">
        <f t="shared" si="24"/>
        <v>-1</v>
      </c>
      <c r="AG41" s="362">
        <v>2</v>
      </c>
      <c r="AH41" s="343">
        <f t="shared" si="25"/>
        <v>2</v>
      </c>
      <c r="AI41" s="229">
        <v>0</v>
      </c>
      <c r="AJ41" s="224">
        <f t="shared" si="26"/>
        <v>9</v>
      </c>
      <c r="AK41" s="224">
        <f t="shared" si="27"/>
        <v>13</v>
      </c>
      <c r="AL41" s="224">
        <f t="shared" si="28"/>
        <v>12</v>
      </c>
      <c r="AM41" s="229">
        <f t="shared" si="32"/>
        <v>3</v>
      </c>
      <c r="AN41" s="396">
        <f>(F41+3)*(2+V41)</f>
        <v>4</v>
      </c>
      <c r="AO41" s="368" t="s">
        <v>804</v>
      </c>
      <c r="AP41" s="410" t="s">
        <v>687</v>
      </c>
      <c r="AQ41" s="411" t="s">
        <v>811</v>
      </c>
      <c r="AR41" s="227" t="s">
        <v>696</v>
      </c>
      <c r="AS41" s="220" t="s">
        <v>786</v>
      </c>
      <c r="AT41" s="262">
        <f t="shared" si="31"/>
        <v>3</v>
      </c>
      <c r="AU41" s="228" t="s">
        <v>1214</v>
      </c>
    </row>
    <row r="42" spans="1:47" x14ac:dyDescent="0.3">
      <c r="E42" s="398"/>
      <c r="I42" s="399"/>
      <c r="J42" s="400"/>
      <c r="K42" s="400"/>
      <c r="L42" s="400"/>
      <c r="M42" s="400"/>
      <c r="N42" s="400"/>
      <c r="O42" s="401"/>
      <c r="P42" s="401"/>
      <c r="Q42" s="401"/>
      <c r="R42" s="401"/>
      <c r="S42" s="401"/>
      <c r="T42" s="401"/>
      <c r="U42" s="401"/>
      <c r="V42" s="401"/>
      <c r="W42" s="401"/>
      <c r="X42" s="401"/>
      <c r="Y42" s="401"/>
      <c r="Z42" s="401"/>
      <c r="AA42" s="402"/>
      <c r="AB42" s="401"/>
      <c r="AC42" s="403"/>
      <c r="AD42" s="404"/>
      <c r="AE42" s="403"/>
      <c r="AF42" s="405"/>
      <c r="AG42" s="403"/>
      <c r="AH42" s="406"/>
      <c r="AI42" s="407"/>
      <c r="AJ42" s="401"/>
      <c r="AK42" s="401"/>
      <c r="AL42" s="401"/>
      <c r="AM42" s="407"/>
      <c r="AN42" s="407"/>
      <c r="AO42" s="408"/>
      <c r="AP42" s="413"/>
      <c r="AQ42" s="413"/>
      <c r="AR42" s="400"/>
      <c r="AS42" s="400"/>
      <c r="AT42" s="400"/>
      <c r="AU42" s="400"/>
    </row>
    <row r="43" spans="1:47" x14ac:dyDescent="0.3">
      <c r="A43" s="260" t="s">
        <v>474</v>
      </c>
      <c r="B43" s="260"/>
      <c r="C43" s="260"/>
      <c r="D43" s="261"/>
      <c r="F43" s="414" t="s">
        <v>785</v>
      </c>
      <c r="G43" s="417" t="s">
        <v>481</v>
      </c>
      <c r="H43" s="417" t="s">
        <v>482</v>
      </c>
      <c r="I43" s="417" t="s">
        <v>1090</v>
      </c>
    </row>
    <row r="44" spans="1:47" x14ac:dyDescent="0.3">
      <c r="A44" s="231" t="s">
        <v>352</v>
      </c>
      <c r="D44" s="219">
        <f>SUM('Personal File'!$E$3:$E$5)</f>
        <v>15</v>
      </c>
      <c r="F44" s="414" t="s">
        <v>478</v>
      </c>
      <c r="G44" s="415">
        <v>35</v>
      </c>
      <c r="H44" s="415">
        <f>COUNTIF($F$2:$F$41,1)</f>
        <v>35</v>
      </c>
      <c r="I44" s="415">
        <f t="shared" ref="I44:I48" si="33">G44-H44</f>
        <v>0</v>
      </c>
    </row>
    <row r="45" spans="1:47" x14ac:dyDescent="0.3">
      <c r="A45" s="231" t="s">
        <v>1091</v>
      </c>
      <c r="D45" s="257">
        <f>0+'Personal File'!$C$16</f>
        <v>4</v>
      </c>
      <c r="F45" s="414" t="s">
        <v>479</v>
      </c>
      <c r="G45" s="415">
        <v>3</v>
      </c>
      <c r="H45" s="415">
        <f>COUNTIF($F$2:$F$41,2)</f>
        <v>3</v>
      </c>
      <c r="I45" s="415">
        <f t="shared" si="33"/>
        <v>0</v>
      </c>
    </row>
    <row r="46" spans="1:47" x14ac:dyDescent="0.3">
      <c r="A46" s="231" t="s">
        <v>475</v>
      </c>
      <c r="D46" s="219">
        <v>2</v>
      </c>
      <c r="F46" s="414" t="s">
        <v>480</v>
      </c>
      <c r="G46" s="415">
        <v>1</v>
      </c>
      <c r="H46" s="415">
        <f>COUNTIF($F$2:$F$41,3)</f>
        <v>1</v>
      </c>
      <c r="I46" s="415">
        <f t="shared" si="33"/>
        <v>0</v>
      </c>
    </row>
    <row r="47" spans="1:47" x14ac:dyDescent="0.3">
      <c r="A47" s="258" t="s">
        <v>666</v>
      </c>
      <c r="B47" s="258"/>
      <c r="C47" s="258"/>
      <c r="D47" s="259">
        <v>1</v>
      </c>
      <c r="F47" s="414" t="s">
        <v>1089</v>
      </c>
      <c r="G47" s="415">
        <v>1</v>
      </c>
      <c r="H47" s="415">
        <f>COUNTIF($F$2:$F$41,4)</f>
        <v>1</v>
      </c>
      <c r="I47" s="415">
        <f t="shared" si="33"/>
        <v>0</v>
      </c>
    </row>
    <row r="48" spans="1:47" x14ac:dyDescent="0.3">
      <c r="A48" s="258" t="s">
        <v>476</v>
      </c>
      <c r="B48" s="258"/>
      <c r="C48" s="258"/>
      <c r="D48" s="498">
        <f>SUM(D44:D47)</f>
        <v>22</v>
      </c>
      <c r="F48" s="414" t="s">
        <v>57</v>
      </c>
      <c r="G48" s="415">
        <f>SUM(G44:G47)</f>
        <v>40</v>
      </c>
      <c r="H48" s="415">
        <f>SUM(H44:H46)</f>
        <v>39</v>
      </c>
      <c r="I48" s="415">
        <f t="shared" si="33"/>
        <v>1</v>
      </c>
    </row>
    <row r="50" spans="6:7" x14ac:dyDescent="0.3">
      <c r="F50" s="414" t="s">
        <v>477</v>
      </c>
      <c r="G50" s="415">
        <v>11</v>
      </c>
    </row>
  </sheetData>
  <sortState xmlns:xlrd2="http://schemas.microsoft.com/office/spreadsheetml/2017/richdata2" ref="A2:AU42">
    <sortCondition ref="C2:C42"/>
    <sortCondition descending="1" ref="F2:F42"/>
  </sortState>
  <pageMargins left="0.15" right="0.75" top="0.32" bottom="0.33" header="0.25" footer="0.25"/>
  <pageSetup orientation="landscape" horizontalDpi="4294967293"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61"/>
  <sheetViews>
    <sheetView showGridLines="0" zoomScaleNormal="100" workbookViewId="0">
      <pane xSplit="1" ySplit="1" topLeftCell="B2" activePane="bottomRight" state="frozen"/>
      <selection pane="topRight" activeCell="B1" sqref="B1"/>
      <selection pane="bottomLeft" activeCell="A2" sqref="A2"/>
      <selection pane="bottomRight" activeCell="B2" sqref="B2"/>
    </sheetView>
  </sheetViews>
  <sheetFormatPr defaultColWidth="13" defaultRowHeight="15.6" x14ac:dyDescent="0.3"/>
  <cols>
    <col min="1" max="1" width="31.296875" style="419" bestFit="1" customWidth="1"/>
    <col min="2" max="2" width="7.59765625" style="419" bestFit="1" customWidth="1"/>
    <col min="3" max="3" width="12.09765625" style="419" bestFit="1" customWidth="1"/>
    <col min="4" max="4" width="6.5" style="419" bestFit="1" customWidth="1"/>
    <col min="5" max="5" width="5.8984375" style="419" bestFit="1" customWidth="1"/>
    <col min="6" max="6" width="8.296875" style="419" bestFit="1" customWidth="1"/>
    <col min="7" max="7" width="11.3984375" style="419" bestFit="1" customWidth="1"/>
    <col min="8" max="8" width="8.19921875" style="419" bestFit="1" customWidth="1"/>
    <col min="9" max="9" width="9" style="419" bestFit="1" customWidth="1"/>
    <col min="10" max="10" width="7.59765625" style="419" bestFit="1" customWidth="1"/>
    <col min="11" max="11" width="8.796875" style="419" bestFit="1" customWidth="1"/>
    <col min="12" max="12" width="17.796875" style="419" bestFit="1" customWidth="1"/>
    <col min="13" max="13" width="9.5" style="419" bestFit="1" customWidth="1"/>
    <col min="14" max="14" width="11.59765625" style="421" hidden="1" customWidth="1"/>
    <col min="15" max="15" width="6" style="421" hidden="1" customWidth="1"/>
    <col min="16" max="16" width="9.59765625" style="421" hidden="1" customWidth="1"/>
    <col min="17" max="17" width="6.796875" style="421" bestFit="1" customWidth="1"/>
    <col min="18" max="18" width="5.8984375" style="420" bestFit="1" customWidth="1"/>
    <col min="19" max="19" width="4.8984375" style="420" bestFit="1" customWidth="1"/>
    <col min="20" max="20" width="6.8984375" style="420" bestFit="1" customWidth="1"/>
    <col min="21" max="21" width="6.19921875" style="419" bestFit="1" customWidth="1"/>
    <col min="22" max="22" width="5.796875" style="418" customWidth="1"/>
    <col min="23" max="23" width="17.19921875" style="418" bestFit="1" customWidth="1"/>
    <col min="24" max="16384" width="13" style="418"/>
  </cols>
  <sheetData>
    <row r="1" spans="1:23" s="470" customFormat="1" ht="34.799999999999997" thickTop="1" thickBot="1" x14ac:dyDescent="0.35">
      <c r="A1" s="491" t="s">
        <v>163</v>
      </c>
      <c r="B1" s="494" t="s">
        <v>875</v>
      </c>
      <c r="C1" s="494" t="s">
        <v>879</v>
      </c>
      <c r="D1" s="494" t="s">
        <v>861</v>
      </c>
      <c r="E1" s="493" t="s">
        <v>841</v>
      </c>
      <c r="F1" s="493" t="s">
        <v>843</v>
      </c>
      <c r="G1" s="493" t="s">
        <v>849</v>
      </c>
      <c r="H1" s="492" t="s">
        <v>853</v>
      </c>
      <c r="I1" s="493" t="s">
        <v>837</v>
      </c>
      <c r="J1" s="494" t="s">
        <v>847</v>
      </c>
      <c r="K1" s="493" t="s">
        <v>863</v>
      </c>
      <c r="L1" s="493" t="s">
        <v>682</v>
      </c>
      <c r="M1" s="493" t="s">
        <v>883</v>
      </c>
      <c r="N1" s="490" t="s">
        <v>30</v>
      </c>
      <c r="O1" s="490" t="s">
        <v>22</v>
      </c>
      <c r="P1" s="489" t="s">
        <v>55</v>
      </c>
      <c r="Q1" s="489" t="s">
        <v>31</v>
      </c>
      <c r="R1" s="488" t="s">
        <v>57</v>
      </c>
      <c r="S1" s="487" t="s">
        <v>162</v>
      </c>
      <c r="T1" s="486" t="s">
        <v>87</v>
      </c>
      <c r="U1" s="485" t="s">
        <v>85</v>
      </c>
      <c r="W1" s="484" t="s">
        <v>909</v>
      </c>
    </row>
    <row r="2" spans="1:23" s="470" customFormat="1" ht="17.399999999999999" thickBot="1" x14ac:dyDescent="0.35">
      <c r="A2" s="483" t="s">
        <v>60</v>
      </c>
      <c r="B2" s="479">
        <f>VLOOKUP(B$1,Leadership!$A$2:$AH$41,34,FALSE)</f>
        <v>1</v>
      </c>
      <c r="C2" s="479">
        <f>VLOOKUP(C$1,Leadership!$A$2:$AH$41,34,FALSE)</f>
        <v>1</v>
      </c>
      <c r="D2" s="479">
        <f>VLOOKUP(D$1,Leadership!$A$2:$AH$41,34,FALSE)</f>
        <v>1</v>
      </c>
      <c r="E2" s="479">
        <f>VLOOKUP(E$1,Leadership!$A$2:$AH$41,34,FALSE)</f>
        <v>5</v>
      </c>
      <c r="F2" s="479">
        <f>VLOOKUP(F$1,Leadership!$A$2:$AH$41,34,FALSE)</f>
        <v>5</v>
      </c>
      <c r="G2" s="479">
        <f>VLOOKUP(G$1,Leadership!$A$2:$AH$41,34,FALSE)</f>
        <v>4</v>
      </c>
      <c r="H2" s="479">
        <f>VLOOKUP(H$1,Leadership!$A$2:$AH$41,34,FALSE)</f>
        <v>3</v>
      </c>
      <c r="I2" s="479">
        <f>VLOOKUP(I$1,Leadership!$A$2:$AH$41,34,FALSE)</f>
        <v>5</v>
      </c>
      <c r="J2" s="479">
        <f>VLOOKUP(J$1,Leadership!$A$2:$AH$41,34,FALSE)</f>
        <v>2</v>
      </c>
      <c r="K2" s="479">
        <f>VLOOKUP(K$1,Leadership!$A$2:$AH$41,34,FALSE)</f>
        <v>4</v>
      </c>
      <c r="L2" s="479">
        <f>VLOOKUP(L$1,Leadership!$A$2:$AH$41,34,FALSE)</f>
        <v>3</v>
      </c>
      <c r="M2" s="479">
        <f>VLOOKUP(M$1,Leadership!$A$2:$AH$41,34,FALSE)</f>
        <v>3</v>
      </c>
      <c r="N2" s="479" t="s">
        <v>816</v>
      </c>
      <c r="O2" s="479" t="str">
        <f>INDEX(Leadership!$P$2:$Z$41,MATCH($W$2,Leadership!$A$2:$A$41,0),MATCH(N2,Leadership!$P$1:$Z$1,0))</f>
        <v>+0</v>
      </c>
      <c r="P2" s="482" t="str">
        <f t="shared" ref="P2:P49" si="0">CONCATENATE(LEFT(N2,3)," (",O2,")")</f>
        <v>Con (+0)</v>
      </c>
      <c r="Q2" s="478">
        <v>0</v>
      </c>
      <c r="R2" s="477">
        <f t="shared" ref="R2:R49" si="1">O2+HLOOKUP($W$2,$B$1:$M$49,MATCH(A2,$A$1:$A$49,0),FALSE)</f>
        <v>5</v>
      </c>
      <c r="S2" s="438">
        <f t="shared" ref="S2:S49" ca="1" si="2">RANDBETWEEN(1,20)</f>
        <v>13</v>
      </c>
      <c r="T2" s="477">
        <f t="shared" ref="T2:T49" ca="1" si="3">SUM(R2:S2)</f>
        <v>18</v>
      </c>
      <c r="U2" s="436"/>
      <c r="V2" s="418"/>
      <c r="W2" s="481" t="s">
        <v>837</v>
      </c>
    </row>
    <row r="3" spans="1:23" s="470" customFormat="1" ht="17.399999999999999" thickTop="1" x14ac:dyDescent="0.3">
      <c r="A3" s="480" t="s">
        <v>61</v>
      </c>
      <c r="B3" s="479">
        <f>VLOOKUP(B$1,Leadership!$A$2:$AH$41,32,FALSE)</f>
        <v>1</v>
      </c>
      <c r="C3" s="479">
        <f>VLOOKUP(C$1,Leadership!$A$2:$AH$41,32,FALSE)</f>
        <v>3</v>
      </c>
      <c r="D3" s="479">
        <f>VLOOKUP(D$1,Leadership!$A$2:$AH$41,32,FALSE)</f>
        <v>2</v>
      </c>
      <c r="E3" s="479">
        <f>VLOOKUP(E$1,Leadership!$A$2:$AH$41,32,FALSE)</f>
        <v>0</v>
      </c>
      <c r="F3" s="479">
        <f>VLOOKUP(F$1,Leadership!$A$2:$AH$41,32,FALSE)</f>
        <v>2</v>
      </c>
      <c r="G3" s="479">
        <f>VLOOKUP(G$1,Leadership!$A$2:$AH$41,32,FALSE)</f>
        <v>0</v>
      </c>
      <c r="H3" s="479">
        <f>VLOOKUP(H$1,Leadership!$A$2:$AH$41,32,FALSE)</f>
        <v>0</v>
      </c>
      <c r="I3" s="479">
        <f>VLOOKUP(I$1,Leadership!$A$2:$AH$41,32,FALSE)</f>
        <v>1</v>
      </c>
      <c r="J3" s="479">
        <f>VLOOKUP(J$1,Leadership!$A$2:$AH$41,32,FALSE)</f>
        <v>4</v>
      </c>
      <c r="K3" s="479">
        <f>VLOOKUP(K$1,Leadership!$A$2:$AH$41,32,FALSE)</f>
        <v>-1</v>
      </c>
      <c r="L3" s="479">
        <f>VLOOKUP(L$1,Leadership!$A$2:$AH$41,32,FALSE)</f>
        <v>-1</v>
      </c>
      <c r="M3" s="479">
        <f>VLOOKUP(M$1,Leadership!$A$2:$AH$41,32,FALSE)</f>
        <v>-1</v>
      </c>
      <c r="N3" s="479" t="s">
        <v>820</v>
      </c>
      <c r="O3" s="479" t="str">
        <f>INDEX(Leadership!$P$2:$Z$41,MATCH($W$2,Leadership!$A$2:$A$41,0),MATCH(N3,Leadership!$P$1:$Z$1,0))</f>
        <v>+0</v>
      </c>
      <c r="P3" s="444" t="str">
        <f t="shared" si="0"/>
        <v>Dex (+0)</v>
      </c>
      <c r="Q3" s="478">
        <v>0</v>
      </c>
      <c r="R3" s="477">
        <f t="shared" si="1"/>
        <v>1</v>
      </c>
      <c r="S3" s="438">
        <f t="shared" ca="1" si="2"/>
        <v>12</v>
      </c>
      <c r="T3" s="477">
        <f t="shared" ca="1" si="3"/>
        <v>13</v>
      </c>
      <c r="U3" s="436"/>
      <c r="V3" s="418"/>
    </row>
    <row r="4" spans="1:23" s="470" customFormat="1" ht="16.8" x14ac:dyDescent="0.3">
      <c r="A4" s="476" t="s">
        <v>62</v>
      </c>
      <c r="B4" s="475">
        <f>VLOOKUP(B$1,Leadership!$A$2:$AH$41,30,FALSE)</f>
        <v>-1</v>
      </c>
      <c r="C4" s="475">
        <f>VLOOKUP(C$1,Leadership!$A$2:$AH$41,30,FALSE)</f>
        <v>-2</v>
      </c>
      <c r="D4" s="475">
        <f>VLOOKUP(D$1,Leadership!$A$2:$AH$41,30,FALSE)</f>
        <v>-1</v>
      </c>
      <c r="E4" s="475">
        <f>VLOOKUP(E$1,Leadership!$A$2:$AH$41,30,FALSE)</f>
        <v>3</v>
      </c>
      <c r="F4" s="475">
        <f>VLOOKUP(F$1,Leadership!$A$2:$AH$41,30,FALSE)</f>
        <v>1</v>
      </c>
      <c r="G4" s="475">
        <f>VLOOKUP(G$1,Leadership!$A$2:$AH$41,30,FALSE)</f>
        <v>2</v>
      </c>
      <c r="H4" s="475">
        <f>VLOOKUP(H$1,Leadership!$A$2:$AH$41,30,FALSE)</f>
        <v>1</v>
      </c>
      <c r="I4" s="475">
        <f>VLOOKUP(I$1,Leadership!$A$2:$AH$41,30,FALSE)</f>
        <v>3</v>
      </c>
      <c r="J4" s="475">
        <f>VLOOKUP(J$1,Leadership!$A$2:$AH$41,30,FALSE)</f>
        <v>-1</v>
      </c>
      <c r="K4" s="475">
        <f>VLOOKUP(K$1,Leadership!$A$2:$AH$41,30,FALSE)</f>
        <v>1</v>
      </c>
      <c r="L4" s="475">
        <f>VLOOKUP(L$1,Leadership!$A$2:$AH$41,30,FALSE)</f>
        <v>1</v>
      </c>
      <c r="M4" s="475">
        <f>VLOOKUP(M$1,Leadership!$A$2:$AH$41,30,FALSE)</f>
        <v>1</v>
      </c>
      <c r="N4" s="475" t="s">
        <v>819</v>
      </c>
      <c r="O4" s="475" t="str">
        <f>INDEX(Leadership!$P$2:$Z$41,MATCH($W$2,Leadership!$A$2:$A$41,0),MATCH(N4,Leadership!$P$1:$Z$1,0))</f>
        <v>+2</v>
      </c>
      <c r="P4" s="474" t="str">
        <f t="shared" si="0"/>
        <v>Wis (+2)</v>
      </c>
      <c r="Q4" s="473">
        <v>0</v>
      </c>
      <c r="R4" s="472">
        <f t="shared" si="1"/>
        <v>5</v>
      </c>
      <c r="S4" s="438">
        <f t="shared" ca="1" si="2"/>
        <v>1</v>
      </c>
      <c r="T4" s="472">
        <f t="shared" ca="1" si="3"/>
        <v>6</v>
      </c>
      <c r="U4" s="471"/>
      <c r="V4" s="418"/>
    </row>
    <row r="5" spans="1:23" s="462" customFormat="1" ht="16.8" x14ac:dyDescent="0.3">
      <c r="A5" s="459" t="s">
        <v>32</v>
      </c>
      <c r="B5" s="442"/>
      <c r="C5" s="442">
        <v>1</v>
      </c>
      <c r="D5" s="442"/>
      <c r="E5" s="442"/>
      <c r="F5" s="442"/>
      <c r="G5" s="442"/>
      <c r="H5" s="442"/>
      <c r="I5" s="442"/>
      <c r="J5" s="442"/>
      <c r="K5" s="442"/>
      <c r="L5" s="442"/>
      <c r="M5" s="442"/>
      <c r="N5" s="458" t="s">
        <v>818</v>
      </c>
      <c r="O5" s="457" t="str">
        <f>INDEX(Leadership!$P$2:$Z$41,MATCH($W$2,Leadership!$A$2:$A$41,0),MATCH(N5,Leadership!$P$1:$Z$1,0))</f>
        <v>+0</v>
      </c>
      <c r="P5" s="456" t="str">
        <f t="shared" si="0"/>
        <v>Int (+0)</v>
      </c>
      <c r="Q5" s="469" t="s">
        <v>56</v>
      </c>
      <c r="R5" s="437">
        <f t="shared" si="1"/>
        <v>0</v>
      </c>
      <c r="S5" s="438">
        <f t="shared" ca="1" si="2"/>
        <v>5</v>
      </c>
      <c r="T5" s="437">
        <f t="shared" ca="1" si="3"/>
        <v>5</v>
      </c>
      <c r="U5" s="436"/>
      <c r="V5" s="418"/>
    </row>
    <row r="6" spans="1:23" s="460" customFormat="1" ht="16.8" x14ac:dyDescent="0.3">
      <c r="A6" s="447" t="s">
        <v>33</v>
      </c>
      <c r="B6" s="442"/>
      <c r="C6" s="442"/>
      <c r="D6" s="442"/>
      <c r="E6" s="442"/>
      <c r="F6" s="442"/>
      <c r="G6" s="442"/>
      <c r="H6" s="442"/>
      <c r="I6" s="442"/>
      <c r="J6" s="442"/>
      <c r="K6" s="442"/>
      <c r="L6" s="442"/>
      <c r="M6" s="442"/>
      <c r="N6" s="446" t="s">
        <v>820</v>
      </c>
      <c r="O6" s="445" t="str">
        <f>INDEX(Leadership!$P$2:$Z$41,MATCH($W$2,Leadership!$A$2:$A$41,0),MATCH(N6,Leadership!$P$1:$Z$1,0))</f>
        <v>+0</v>
      </c>
      <c r="P6" s="444" t="str">
        <f t="shared" si="0"/>
        <v>Dex (+0)</v>
      </c>
      <c r="Q6" s="437" t="s">
        <v>56</v>
      </c>
      <c r="R6" s="437">
        <f t="shared" si="1"/>
        <v>0</v>
      </c>
      <c r="S6" s="438">
        <f t="shared" ca="1" si="2"/>
        <v>17</v>
      </c>
      <c r="T6" s="437">
        <f t="shared" ca="1" si="3"/>
        <v>17</v>
      </c>
      <c r="U6" s="436"/>
      <c r="V6" s="418"/>
    </row>
    <row r="7" spans="1:23" s="468" customFormat="1" ht="16.8" x14ac:dyDescent="0.3">
      <c r="A7" s="443" t="s">
        <v>34</v>
      </c>
      <c r="B7" s="442"/>
      <c r="C7" s="442"/>
      <c r="D7" s="442">
        <v>1</v>
      </c>
      <c r="E7" s="442"/>
      <c r="F7" s="442"/>
      <c r="G7" s="442"/>
      <c r="H7" s="442"/>
      <c r="I7" s="442"/>
      <c r="J7" s="442">
        <v>0</v>
      </c>
      <c r="K7" s="442"/>
      <c r="L7" s="442"/>
      <c r="M7" s="442"/>
      <c r="N7" s="441" t="s">
        <v>817</v>
      </c>
      <c r="O7" s="440" t="str">
        <f>INDEX(Leadership!$P$2:$Z$41,MATCH($W$2,Leadership!$A$2:$A$41,0),MATCH(N7,Leadership!$P$1:$Z$1,0))</f>
        <v>+0</v>
      </c>
      <c r="P7" s="439" t="str">
        <f t="shared" si="0"/>
        <v>Cha (+0)</v>
      </c>
      <c r="Q7" s="437" t="s">
        <v>56</v>
      </c>
      <c r="R7" s="437">
        <f t="shared" si="1"/>
        <v>0</v>
      </c>
      <c r="S7" s="438">
        <f t="shared" ca="1" si="2"/>
        <v>12</v>
      </c>
      <c r="T7" s="437">
        <f t="shared" ca="1" si="3"/>
        <v>12</v>
      </c>
      <c r="U7" s="436"/>
      <c r="V7" s="418"/>
    </row>
    <row r="8" spans="1:23" s="463" customFormat="1" ht="16.8" x14ac:dyDescent="0.3">
      <c r="A8" s="451" t="s">
        <v>35</v>
      </c>
      <c r="B8" s="442"/>
      <c r="C8" s="442"/>
      <c r="D8" s="442"/>
      <c r="E8" s="442">
        <v>0</v>
      </c>
      <c r="F8" s="442">
        <v>1</v>
      </c>
      <c r="G8" s="442">
        <v>0</v>
      </c>
      <c r="H8" s="442">
        <v>2</v>
      </c>
      <c r="I8" s="442">
        <v>0</v>
      </c>
      <c r="J8" s="442"/>
      <c r="K8" s="442">
        <v>0</v>
      </c>
      <c r="L8" s="442">
        <v>1</v>
      </c>
      <c r="M8" s="442">
        <v>0</v>
      </c>
      <c r="N8" s="450" t="s">
        <v>821</v>
      </c>
      <c r="O8" s="449" t="str">
        <f>INDEX(Leadership!$P$2:$Z$41,MATCH($W$2,Leadership!$A$2:$A$41,0),MATCH(N8,Leadership!$P$1:$Z$1,0))</f>
        <v>+1</v>
      </c>
      <c r="P8" s="448" t="str">
        <f t="shared" si="0"/>
        <v>Str (+1)</v>
      </c>
      <c r="Q8" s="437" t="s">
        <v>56</v>
      </c>
      <c r="R8" s="437">
        <f t="shared" si="1"/>
        <v>1</v>
      </c>
      <c r="S8" s="438">
        <f t="shared" ca="1" si="2"/>
        <v>1</v>
      </c>
      <c r="T8" s="437">
        <f t="shared" ca="1" si="3"/>
        <v>2</v>
      </c>
      <c r="U8" s="436"/>
      <c r="V8" s="418"/>
    </row>
    <row r="9" spans="1:23" s="463" customFormat="1" ht="16.8" x14ac:dyDescent="0.3">
      <c r="A9" s="467" t="s">
        <v>8</v>
      </c>
      <c r="B9" s="442"/>
      <c r="C9" s="442"/>
      <c r="D9" s="442"/>
      <c r="E9" s="442">
        <v>2</v>
      </c>
      <c r="F9" s="442">
        <v>1</v>
      </c>
      <c r="G9" s="442">
        <v>0</v>
      </c>
      <c r="H9" s="442">
        <v>0</v>
      </c>
      <c r="I9" s="442">
        <v>1</v>
      </c>
      <c r="J9" s="442"/>
      <c r="K9" s="442">
        <v>4</v>
      </c>
      <c r="L9" s="442">
        <v>0</v>
      </c>
      <c r="M9" s="442">
        <v>1</v>
      </c>
      <c r="N9" s="466" t="s">
        <v>816</v>
      </c>
      <c r="O9" s="465" t="str">
        <f>INDEX(Leadership!$P$2:$Z$41,MATCH($W$2,Leadership!$A$2:$A$41,0),MATCH(N9,Leadership!$P$1:$Z$1,0))</f>
        <v>+0</v>
      </c>
      <c r="P9" s="464" t="str">
        <f t="shared" si="0"/>
        <v>Con (+0)</v>
      </c>
      <c r="Q9" s="437" t="s">
        <v>56</v>
      </c>
      <c r="R9" s="437">
        <f t="shared" si="1"/>
        <v>1</v>
      </c>
      <c r="S9" s="438">
        <f t="shared" ca="1" si="2"/>
        <v>18</v>
      </c>
      <c r="T9" s="437">
        <f t="shared" ca="1" si="3"/>
        <v>19</v>
      </c>
      <c r="U9" s="436"/>
      <c r="V9" s="418"/>
    </row>
    <row r="10" spans="1:23" s="462" customFormat="1" ht="16.8" x14ac:dyDescent="0.3">
      <c r="A10" s="459" t="s">
        <v>919</v>
      </c>
      <c r="B10" s="442"/>
      <c r="C10" s="442"/>
      <c r="D10" s="442"/>
      <c r="E10" s="442"/>
      <c r="F10" s="442"/>
      <c r="G10" s="442"/>
      <c r="H10" s="442"/>
      <c r="I10" s="442"/>
      <c r="J10" s="442"/>
      <c r="K10" s="442"/>
      <c r="L10" s="442"/>
      <c r="M10" s="442"/>
      <c r="N10" s="458" t="s">
        <v>818</v>
      </c>
      <c r="O10" s="457" t="str">
        <f>INDEX(Leadership!$P$2:$Z$41,MATCH($W$2,Leadership!$A$2:$A$41,0),MATCH(N10,Leadership!$P$1:$Z$1,0))</f>
        <v>+0</v>
      </c>
      <c r="P10" s="456" t="str">
        <f t="shared" si="0"/>
        <v>Int (+0)</v>
      </c>
      <c r="Q10" s="437" t="s">
        <v>56</v>
      </c>
      <c r="R10" s="437">
        <f t="shared" si="1"/>
        <v>0</v>
      </c>
      <c r="S10" s="438">
        <f t="shared" ca="1" si="2"/>
        <v>8</v>
      </c>
      <c r="T10" s="437">
        <f t="shared" ca="1" si="3"/>
        <v>8</v>
      </c>
      <c r="U10" s="436"/>
      <c r="V10" s="418"/>
    </row>
    <row r="11" spans="1:23" s="461" customFormat="1" ht="16.8" x14ac:dyDescent="0.3">
      <c r="A11" s="459" t="s">
        <v>36</v>
      </c>
      <c r="B11" s="442"/>
      <c r="C11" s="442"/>
      <c r="D11" s="442"/>
      <c r="E11" s="442"/>
      <c r="F11" s="442"/>
      <c r="G11" s="442"/>
      <c r="H11" s="442"/>
      <c r="I11" s="442"/>
      <c r="J11" s="442"/>
      <c r="K11" s="442"/>
      <c r="L11" s="442"/>
      <c r="M11" s="442"/>
      <c r="N11" s="458" t="s">
        <v>818</v>
      </c>
      <c r="O11" s="457" t="str">
        <f>INDEX(Leadership!$P$2:$Z$41,MATCH($W$2,Leadership!$A$2:$A$41,0),MATCH(N11,Leadership!$P$1:$Z$1,0))</f>
        <v>+0</v>
      </c>
      <c r="P11" s="456" t="str">
        <f t="shared" si="0"/>
        <v>Int (+0)</v>
      </c>
      <c r="Q11" s="437" t="s">
        <v>56</v>
      </c>
      <c r="R11" s="437">
        <f t="shared" si="1"/>
        <v>0</v>
      </c>
      <c r="S11" s="438">
        <f t="shared" ca="1" si="2"/>
        <v>8</v>
      </c>
      <c r="T11" s="437">
        <f t="shared" ca="1" si="3"/>
        <v>8</v>
      </c>
      <c r="U11" s="436"/>
    </row>
    <row r="12" spans="1:23" s="460" customFormat="1" ht="16.8" x14ac:dyDescent="0.3">
      <c r="A12" s="443" t="s">
        <v>37</v>
      </c>
      <c r="B12" s="442"/>
      <c r="C12" s="442"/>
      <c r="D12" s="442">
        <v>1</v>
      </c>
      <c r="E12" s="442">
        <v>1</v>
      </c>
      <c r="F12" s="442">
        <v>0</v>
      </c>
      <c r="G12" s="442">
        <v>0</v>
      </c>
      <c r="H12" s="442">
        <v>0</v>
      </c>
      <c r="I12" s="442">
        <v>2</v>
      </c>
      <c r="J12" s="442">
        <v>0</v>
      </c>
      <c r="K12" s="442">
        <v>0</v>
      </c>
      <c r="L12" s="442">
        <v>0</v>
      </c>
      <c r="M12" s="442">
        <v>0</v>
      </c>
      <c r="N12" s="441" t="s">
        <v>817</v>
      </c>
      <c r="O12" s="440" t="str">
        <f>INDEX(Leadership!$P$2:$Z$41,MATCH($W$2,Leadership!$A$2:$A$41,0),MATCH(N12,Leadership!$P$1:$Z$1,0))</f>
        <v>+0</v>
      </c>
      <c r="P12" s="439" t="str">
        <f t="shared" si="0"/>
        <v>Cha (+0)</v>
      </c>
      <c r="Q12" s="437" t="s">
        <v>56</v>
      </c>
      <c r="R12" s="437">
        <f t="shared" si="1"/>
        <v>2</v>
      </c>
      <c r="S12" s="438">
        <f t="shared" ca="1" si="2"/>
        <v>19</v>
      </c>
      <c r="T12" s="437">
        <f t="shared" ca="1" si="3"/>
        <v>21</v>
      </c>
      <c r="U12" s="436"/>
    </row>
    <row r="13" spans="1:23" s="460" customFormat="1" ht="16.8" x14ac:dyDescent="0.3">
      <c r="A13" s="459" t="s">
        <v>38</v>
      </c>
      <c r="B13" s="442">
        <v>1</v>
      </c>
      <c r="C13" s="442">
        <v>0</v>
      </c>
      <c r="D13" s="442">
        <v>0</v>
      </c>
      <c r="E13" s="442"/>
      <c r="F13" s="442"/>
      <c r="G13" s="442"/>
      <c r="H13" s="442"/>
      <c r="I13" s="442"/>
      <c r="J13" s="442">
        <v>0</v>
      </c>
      <c r="K13" s="442"/>
      <c r="L13" s="442"/>
      <c r="M13" s="442"/>
      <c r="N13" s="458" t="s">
        <v>818</v>
      </c>
      <c r="O13" s="457" t="str">
        <f>INDEX(Leadership!$P$2:$Z$41,MATCH($W$2,Leadership!$A$2:$A$41,0),MATCH(N13,Leadership!$P$1:$Z$1,0))</f>
        <v>+0</v>
      </c>
      <c r="P13" s="456" t="str">
        <f t="shared" si="0"/>
        <v>Int (+0)</v>
      </c>
      <c r="Q13" s="437" t="s">
        <v>56</v>
      </c>
      <c r="R13" s="437">
        <f t="shared" si="1"/>
        <v>0</v>
      </c>
      <c r="S13" s="438">
        <f t="shared" ca="1" si="2"/>
        <v>3</v>
      </c>
      <c r="T13" s="437">
        <f t="shared" ca="1" si="3"/>
        <v>3</v>
      </c>
      <c r="U13" s="436"/>
    </row>
    <row r="14" spans="1:23" s="460" customFormat="1" ht="16.8" x14ac:dyDescent="0.3">
      <c r="A14" s="443" t="s">
        <v>39</v>
      </c>
      <c r="B14" s="442"/>
      <c r="C14" s="442">
        <v>1</v>
      </c>
      <c r="D14" s="442"/>
      <c r="E14" s="442"/>
      <c r="F14" s="442"/>
      <c r="G14" s="442"/>
      <c r="H14" s="442"/>
      <c r="I14" s="442"/>
      <c r="J14" s="442"/>
      <c r="K14" s="442"/>
      <c r="L14" s="442"/>
      <c r="M14" s="442"/>
      <c r="N14" s="441" t="s">
        <v>817</v>
      </c>
      <c r="O14" s="440" t="str">
        <f>INDEX(Leadership!$P$2:$Z$41,MATCH($W$2,Leadership!$A$2:$A$41,0),MATCH(N14,Leadership!$P$1:$Z$1,0))</f>
        <v>+0</v>
      </c>
      <c r="P14" s="439" t="str">
        <f t="shared" si="0"/>
        <v>Cha (+0)</v>
      </c>
      <c r="Q14" s="437" t="s">
        <v>56</v>
      </c>
      <c r="R14" s="437">
        <f t="shared" si="1"/>
        <v>0</v>
      </c>
      <c r="S14" s="438">
        <f t="shared" ca="1" si="2"/>
        <v>19</v>
      </c>
      <c r="T14" s="437">
        <f t="shared" ca="1" si="3"/>
        <v>19</v>
      </c>
      <c r="U14" s="436"/>
    </row>
    <row r="15" spans="1:23" s="460" customFormat="1" ht="16.8" x14ac:dyDescent="0.3">
      <c r="A15" s="447" t="s">
        <v>40</v>
      </c>
      <c r="B15" s="442"/>
      <c r="C15" s="442"/>
      <c r="D15" s="442">
        <v>1</v>
      </c>
      <c r="E15" s="442"/>
      <c r="F15" s="442"/>
      <c r="G15" s="442"/>
      <c r="H15" s="442"/>
      <c r="I15" s="442"/>
      <c r="J15" s="442">
        <v>3</v>
      </c>
      <c r="K15" s="442"/>
      <c r="L15" s="442"/>
      <c r="M15" s="442"/>
      <c r="N15" s="446" t="s">
        <v>820</v>
      </c>
      <c r="O15" s="445" t="str">
        <f>INDEX(Leadership!$P$2:$Z$41,MATCH($W$2,Leadership!$A$2:$A$41,0),MATCH(N15,Leadership!$P$1:$Z$1,0))</f>
        <v>+0</v>
      </c>
      <c r="P15" s="444" t="str">
        <f t="shared" si="0"/>
        <v>Dex (+0)</v>
      </c>
      <c r="Q15" s="437" t="s">
        <v>56</v>
      </c>
      <c r="R15" s="437">
        <f t="shared" si="1"/>
        <v>0</v>
      </c>
      <c r="S15" s="438">
        <f t="shared" ca="1" si="2"/>
        <v>6</v>
      </c>
      <c r="T15" s="437">
        <f t="shared" ca="1" si="3"/>
        <v>6</v>
      </c>
      <c r="U15" s="436"/>
    </row>
    <row r="16" spans="1:23" s="460" customFormat="1" ht="16.8" x14ac:dyDescent="0.3">
      <c r="A16" s="459" t="s">
        <v>41</v>
      </c>
      <c r="B16" s="442">
        <v>1</v>
      </c>
      <c r="C16" s="442">
        <v>0</v>
      </c>
      <c r="D16" s="442">
        <v>0</v>
      </c>
      <c r="E16" s="442"/>
      <c r="F16" s="442"/>
      <c r="G16" s="442"/>
      <c r="H16" s="442"/>
      <c r="I16" s="442"/>
      <c r="J16" s="442">
        <v>0</v>
      </c>
      <c r="K16" s="442"/>
      <c r="L16" s="442"/>
      <c r="M16" s="442"/>
      <c r="N16" s="458" t="s">
        <v>818</v>
      </c>
      <c r="O16" s="457" t="str">
        <f>INDEX(Leadership!$P$2:$Z$41,MATCH($W$2,Leadership!$A$2:$A$41,0),MATCH(N16,Leadership!$P$1:$Z$1,0))</f>
        <v>+0</v>
      </c>
      <c r="P16" s="456" t="str">
        <f t="shared" si="0"/>
        <v>Int (+0)</v>
      </c>
      <c r="Q16" s="437" t="s">
        <v>56</v>
      </c>
      <c r="R16" s="437">
        <f t="shared" si="1"/>
        <v>0</v>
      </c>
      <c r="S16" s="438">
        <f t="shared" ca="1" si="2"/>
        <v>1</v>
      </c>
      <c r="T16" s="437">
        <f t="shared" ca="1" si="3"/>
        <v>1</v>
      </c>
      <c r="U16" s="436"/>
    </row>
    <row r="17" spans="1:21" s="460" customFormat="1" ht="16.8" x14ac:dyDescent="0.3">
      <c r="A17" s="443" t="s">
        <v>42</v>
      </c>
      <c r="B17" s="442"/>
      <c r="C17" s="442"/>
      <c r="D17" s="442">
        <v>1</v>
      </c>
      <c r="E17" s="442"/>
      <c r="F17" s="442"/>
      <c r="G17" s="442"/>
      <c r="H17" s="442"/>
      <c r="I17" s="442"/>
      <c r="J17" s="442">
        <v>0</v>
      </c>
      <c r="K17" s="442"/>
      <c r="L17" s="442"/>
      <c r="M17" s="442"/>
      <c r="N17" s="441" t="s">
        <v>817</v>
      </c>
      <c r="O17" s="440" t="str">
        <f>INDEX(Leadership!$P$2:$Z$41,MATCH($W$2,Leadership!$A$2:$A$41,0),MATCH(N17,Leadership!$P$1:$Z$1,0))</f>
        <v>+0</v>
      </c>
      <c r="P17" s="439" t="str">
        <f t="shared" si="0"/>
        <v>Cha (+0)</v>
      </c>
      <c r="Q17" s="437" t="s">
        <v>56</v>
      </c>
      <c r="R17" s="437">
        <f t="shared" si="1"/>
        <v>0</v>
      </c>
      <c r="S17" s="438">
        <f t="shared" ca="1" si="2"/>
        <v>14</v>
      </c>
      <c r="T17" s="437">
        <f t="shared" ca="1" si="3"/>
        <v>14</v>
      </c>
      <c r="U17" s="436"/>
    </row>
    <row r="18" spans="1:21" s="460" customFormat="1" ht="16.8" x14ac:dyDescent="0.3">
      <c r="A18" s="443" t="s">
        <v>10</v>
      </c>
      <c r="B18" s="442">
        <v>0</v>
      </c>
      <c r="C18" s="442">
        <v>2</v>
      </c>
      <c r="D18" s="442">
        <v>0</v>
      </c>
      <c r="E18" s="442"/>
      <c r="F18" s="442"/>
      <c r="G18" s="442"/>
      <c r="H18" s="442">
        <v>4</v>
      </c>
      <c r="I18" s="442"/>
      <c r="J18" s="442">
        <v>0</v>
      </c>
      <c r="K18" s="442"/>
      <c r="L18" s="442"/>
      <c r="M18" s="442"/>
      <c r="N18" s="441" t="s">
        <v>817</v>
      </c>
      <c r="O18" s="440" t="str">
        <f>INDEX(Leadership!$P$2:$Z$41,MATCH($W$2,Leadership!$A$2:$A$41,0),MATCH(N18,Leadership!$P$1:$Z$1,0))</f>
        <v>+0</v>
      </c>
      <c r="P18" s="439" t="str">
        <f t="shared" si="0"/>
        <v>Cha (+0)</v>
      </c>
      <c r="Q18" s="437" t="s">
        <v>56</v>
      </c>
      <c r="R18" s="437">
        <f t="shared" si="1"/>
        <v>0</v>
      </c>
      <c r="S18" s="438">
        <f t="shared" ca="1" si="2"/>
        <v>20</v>
      </c>
      <c r="T18" s="437">
        <f t="shared" ca="1" si="3"/>
        <v>20</v>
      </c>
      <c r="U18" s="436"/>
    </row>
    <row r="19" spans="1:21" s="460" customFormat="1" ht="16.8" x14ac:dyDescent="0.3">
      <c r="A19" s="455" t="s">
        <v>43</v>
      </c>
      <c r="B19" s="442">
        <v>0</v>
      </c>
      <c r="C19" s="442">
        <v>2</v>
      </c>
      <c r="D19" s="442">
        <v>0</v>
      </c>
      <c r="E19" s="442">
        <v>1</v>
      </c>
      <c r="F19" s="442">
        <v>0</v>
      </c>
      <c r="G19" s="442">
        <v>1</v>
      </c>
      <c r="H19" s="442">
        <v>0</v>
      </c>
      <c r="I19" s="442">
        <v>1</v>
      </c>
      <c r="J19" s="442">
        <v>0</v>
      </c>
      <c r="K19" s="442">
        <v>0</v>
      </c>
      <c r="L19" s="442">
        <v>0</v>
      </c>
      <c r="M19" s="442">
        <v>0</v>
      </c>
      <c r="N19" s="454" t="s">
        <v>819</v>
      </c>
      <c r="O19" s="453" t="str">
        <f>INDEX(Leadership!$P$2:$Z$41,MATCH($W$2,Leadership!$A$2:$A$41,0),MATCH(N19,Leadership!$P$1:$Z$1,0))</f>
        <v>+2</v>
      </c>
      <c r="P19" s="452" t="str">
        <f t="shared" si="0"/>
        <v>Wis (+2)</v>
      </c>
      <c r="Q19" s="437" t="s">
        <v>56</v>
      </c>
      <c r="R19" s="437">
        <f t="shared" si="1"/>
        <v>3</v>
      </c>
      <c r="S19" s="438">
        <f t="shared" ca="1" si="2"/>
        <v>17</v>
      </c>
      <c r="T19" s="437">
        <f t="shared" ca="1" si="3"/>
        <v>20</v>
      </c>
      <c r="U19" s="436"/>
    </row>
    <row r="20" spans="1:21" s="460" customFormat="1" ht="16.8" x14ac:dyDescent="0.3">
      <c r="A20" s="447" t="s">
        <v>44</v>
      </c>
      <c r="B20" s="442"/>
      <c r="C20" s="442"/>
      <c r="D20" s="442"/>
      <c r="E20" s="442"/>
      <c r="F20" s="442"/>
      <c r="G20" s="442"/>
      <c r="H20" s="442"/>
      <c r="I20" s="442"/>
      <c r="J20" s="442"/>
      <c r="K20" s="442"/>
      <c r="L20" s="442"/>
      <c r="M20" s="442"/>
      <c r="N20" s="446" t="s">
        <v>820</v>
      </c>
      <c r="O20" s="445" t="str">
        <f>INDEX(Leadership!$P$2:$Z$41,MATCH($W$2,Leadership!$A$2:$A$41,0),MATCH(N20,Leadership!$P$1:$Z$1,0))</f>
        <v>+0</v>
      </c>
      <c r="P20" s="444" t="str">
        <f t="shared" si="0"/>
        <v>Dex (+0)</v>
      </c>
      <c r="Q20" s="437" t="s">
        <v>56</v>
      </c>
      <c r="R20" s="437">
        <f t="shared" si="1"/>
        <v>0</v>
      </c>
      <c r="S20" s="438">
        <f t="shared" ca="1" si="2"/>
        <v>20</v>
      </c>
      <c r="T20" s="437">
        <f t="shared" ca="1" si="3"/>
        <v>20</v>
      </c>
      <c r="U20" s="436"/>
    </row>
    <row r="21" spans="1:21" s="460" customFormat="1" ht="16.8" x14ac:dyDescent="0.3">
      <c r="A21" s="443" t="s">
        <v>45</v>
      </c>
      <c r="B21" s="442">
        <v>0</v>
      </c>
      <c r="C21" s="442">
        <v>0</v>
      </c>
      <c r="D21" s="442">
        <v>1</v>
      </c>
      <c r="E21" s="442"/>
      <c r="F21" s="442"/>
      <c r="G21" s="442"/>
      <c r="H21" s="442"/>
      <c r="I21" s="442"/>
      <c r="J21" s="442">
        <v>0</v>
      </c>
      <c r="K21" s="442"/>
      <c r="L21" s="442"/>
      <c r="M21" s="442"/>
      <c r="N21" s="441" t="s">
        <v>817</v>
      </c>
      <c r="O21" s="440" t="str">
        <f>INDEX(Leadership!$P$2:$Z$41,MATCH($W$2,Leadership!$A$2:$A$41,0),MATCH(N21,Leadership!$P$1:$Z$1,0))</f>
        <v>+0</v>
      </c>
      <c r="P21" s="439" t="str">
        <f t="shared" si="0"/>
        <v>Cha (+0)</v>
      </c>
      <c r="Q21" s="437" t="s">
        <v>56</v>
      </c>
      <c r="R21" s="437">
        <f t="shared" si="1"/>
        <v>0</v>
      </c>
      <c r="S21" s="438">
        <f t="shared" ca="1" si="2"/>
        <v>19</v>
      </c>
      <c r="T21" s="437">
        <f t="shared" ca="1" si="3"/>
        <v>19</v>
      </c>
      <c r="U21" s="436"/>
    </row>
    <row r="22" spans="1:21" s="460" customFormat="1" ht="16.8" x14ac:dyDescent="0.3">
      <c r="A22" s="451" t="s">
        <v>46</v>
      </c>
      <c r="B22" s="442"/>
      <c r="C22" s="442"/>
      <c r="D22" s="442"/>
      <c r="E22" s="442"/>
      <c r="F22" s="442"/>
      <c r="G22" s="442"/>
      <c r="H22" s="442"/>
      <c r="I22" s="442"/>
      <c r="J22" s="442"/>
      <c r="K22" s="442"/>
      <c r="L22" s="442"/>
      <c r="M22" s="442"/>
      <c r="N22" s="450" t="s">
        <v>821</v>
      </c>
      <c r="O22" s="449" t="str">
        <f>INDEX(Leadership!$P$2:$Z$41,MATCH($W$2,Leadership!$A$2:$A$41,0),MATCH(N22,Leadership!$P$1:$Z$1,0))</f>
        <v>+1</v>
      </c>
      <c r="P22" s="448" t="str">
        <f t="shared" si="0"/>
        <v>Str (+1)</v>
      </c>
      <c r="Q22" s="437" t="s">
        <v>56</v>
      </c>
      <c r="R22" s="437">
        <f t="shared" si="1"/>
        <v>1</v>
      </c>
      <c r="S22" s="438">
        <f t="shared" ca="1" si="2"/>
        <v>12</v>
      </c>
      <c r="T22" s="437">
        <f t="shared" ca="1" si="3"/>
        <v>13</v>
      </c>
      <c r="U22" s="436"/>
    </row>
    <row r="23" spans="1:21" s="460" customFormat="1" ht="16.8" x14ac:dyDescent="0.3">
      <c r="A23" s="459" t="s">
        <v>283</v>
      </c>
      <c r="B23" s="442">
        <v>1</v>
      </c>
      <c r="C23" s="442"/>
      <c r="D23" s="442"/>
      <c r="E23" s="442">
        <v>0</v>
      </c>
      <c r="F23" s="442">
        <v>1</v>
      </c>
      <c r="G23" s="442">
        <v>0</v>
      </c>
      <c r="H23" s="442"/>
      <c r="I23" s="442">
        <v>0</v>
      </c>
      <c r="J23" s="442"/>
      <c r="K23" s="442">
        <v>4</v>
      </c>
      <c r="L23" s="442">
        <v>0</v>
      </c>
      <c r="M23" s="442">
        <v>0</v>
      </c>
      <c r="N23" s="458" t="s">
        <v>818</v>
      </c>
      <c r="O23" s="457" t="str">
        <f>INDEX(Leadership!$P$2:$Z$41,MATCH($W$2,Leadership!$A$2:$A$41,0),MATCH(N23,Leadership!$P$1:$Z$1,0))</f>
        <v>+0</v>
      </c>
      <c r="P23" s="456" t="str">
        <f t="shared" si="0"/>
        <v>Int (+0)</v>
      </c>
      <c r="Q23" s="437" t="s">
        <v>56</v>
      </c>
      <c r="R23" s="437">
        <f t="shared" si="1"/>
        <v>0</v>
      </c>
      <c r="S23" s="438">
        <f t="shared" ca="1" si="2"/>
        <v>18</v>
      </c>
      <c r="T23" s="437">
        <f t="shared" ca="1" si="3"/>
        <v>18</v>
      </c>
      <c r="U23" s="436"/>
    </row>
    <row r="24" spans="1:21" s="460" customFormat="1" ht="16.8" x14ac:dyDescent="0.3">
      <c r="A24" s="459" t="s">
        <v>910</v>
      </c>
      <c r="B24" s="442">
        <v>0</v>
      </c>
      <c r="C24" s="442">
        <v>1</v>
      </c>
      <c r="D24" s="442">
        <v>1</v>
      </c>
      <c r="E24" s="442"/>
      <c r="F24" s="442"/>
      <c r="G24" s="442"/>
      <c r="H24" s="442"/>
      <c r="I24" s="442"/>
      <c r="J24" s="442">
        <v>0</v>
      </c>
      <c r="K24" s="442"/>
      <c r="L24" s="442"/>
      <c r="M24" s="442"/>
      <c r="N24" s="458" t="s">
        <v>818</v>
      </c>
      <c r="O24" s="457" t="str">
        <f>INDEX(Leadership!$P$2:$Z$41,MATCH($W$2,Leadership!$A$2:$A$41,0),MATCH(N24,Leadership!$P$1:$Z$1,0))</f>
        <v>+0</v>
      </c>
      <c r="P24" s="456" t="str">
        <f t="shared" ref="P24" si="4">CONCATENATE(LEFT(N24,3)," (",O24,")")</f>
        <v>Int (+0)</v>
      </c>
      <c r="Q24" s="437" t="s">
        <v>56</v>
      </c>
      <c r="R24" s="437">
        <f t="shared" si="1"/>
        <v>0</v>
      </c>
      <c r="S24" s="438">
        <f t="shared" ca="1" si="2"/>
        <v>4</v>
      </c>
      <c r="T24" s="437">
        <f t="shared" ref="T24" ca="1" si="5">SUM(R24:S24)</f>
        <v>4</v>
      </c>
      <c r="U24" s="436"/>
    </row>
    <row r="25" spans="1:21" s="460" customFormat="1" ht="16.8" x14ac:dyDescent="0.3">
      <c r="A25" s="459" t="s">
        <v>911</v>
      </c>
      <c r="B25" s="442">
        <v>1</v>
      </c>
      <c r="C25" s="442">
        <v>0</v>
      </c>
      <c r="D25" s="442">
        <v>1</v>
      </c>
      <c r="E25" s="442"/>
      <c r="F25" s="442"/>
      <c r="G25" s="442"/>
      <c r="H25" s="442"/>
      <c r="I25" s="442"/>
      <c r="J25" s="442">
        <v>0</v>
      </c>
      <c r="K25" s="442"/>
      <c r="L25" s="442"/>
      <c r="M25" s="442"/>
      <c r="N25" s="458" t="s">
        <v>818</v>
      </c>
      <c r="O25" s="457" t="str">
        <f>INDEX(Leadership!$P$2:$Z$41,MATCH($W$2,Leadership!$A$2:$A$41,0),MATCH(N25,Leadership!$P$1:$Z$1,0))</f>
        <v>+0</v>
      </c>
      <c r="P25" s="456" t="str">
        <f t="shared" ref="P25:P31" si="6">CONCATENATE(LEFT(N25,3)," (",O25,")")</f>
        <v>Int (+0)</v>
      </c>
      <c r="Q25" s="437" t="s">
        <v>56</v>
      </c>
      <c r="R25" s="437">
        <f t="shared" si="1"/>
        <v>0</v>
      </c>
      <c r="S25" s="438">
        <f t="shared" ca="1" si="2"/>
        <v>2</v>
      </c>
      <c r="T25" s="437">
        <f t="shared" ref="T25:T31" ca="1" si="7">SUM(R25:S25)</f>
        <v>2</v>
      </c>
      <c r="U25" s="436"/>
    </row>
    <row r="26" spans="1:21" s="460" customFormat="1" ht="16.8" x14ac:dyDescent="0.3">
      <c r="A26" s="459" t="s">
        <v>912</v>
      </c>
      <c r="B26" s="442">
        <v>0</v>
      </c>
      <c r="C26" s="442">
        <v>1</v>
      </c>
      <c r="D26" s="442">
        <v>1</v>
      </c>
      <c r="E26" s="442"/>
      <c r="F26" s="442"/>
      <c r="G26" s="442"/>
      <c r="H26" s="442"/>
      <c r="I26" s="442"/>
      <c r="J26" s="442">
        <v>0</v>
      </c>
      <c r="K26" s="442"/>
      <c r="L26" s="442"/>
      <c r="M26" s="442"/>
      <c r="N26" s="458" t="s">
        <v>818</v>
      </c>
      <c r="O26" s="457" t="str">
        <f>INDEX(Leadership!$P$2:$Z$41,MATCH($W$2,Leadership!$A$2:$A$41,0),MATCH(N26,Leadership!$P$1:$Z$1,0))</f>
        <v>+0</v>
      </c>
      <c r="P26" s="456" t="str">
        <f t="shared" si="6"/>
        <v>Int (+0)</v>
      </c>
      <c r="Q26" s="437" t="s">
        <v>56</v>
      </c>
      <c r="R26" s="437">
        <f t="shared" si="1"/>
        <v>0</v>
      </c>
      <c r="S26" s="438">
        <f t="shared" ca="1" si="2"/>
        <v>8</v>
      </c>
      <c r="T26" s="437">
        <f t="shared" ca="1" si="7"/>
        <v>8</v>
      </c>
      <c r="U26" s="436"/>
    </row>
    <row r="27" spans="1:21" s="460" customFormat="1" ht="16.8" x14ac:dyDescent="0.3">
      <c r="A27" s="459" t="s">
        <v>913</v>
      </c>
      <c r="B27" s="442">
        <v>0</v>
      </c>
      <c r="C27" s="442">
        <v>1</v>
      </c>
      <c r="D27" s="442">
        <v>1</v>
      </c>
      <c r="E27" s="442">
        <v>1</v>
      </c>
      <c r="F27" s="442">
        <v>0</v>
      </c>
      <c r="G27" s="442">
        <v>1</v>
      </c>
      <c r="H27" s="442"/>
      <c r="I27" s="442">
        <v>1</v>
      </c>
      <c r="J27" s="442">
        <v>0</v>
      </c>
      <c r="K27" s="442">
        <v>0</v>
      </c>
      <c r="L27" s="442">
        <v>0</v>
      </c>
      <c r="M27" s="442">
        <v>0</v>
      </c>
      <c r="N27" s="458" t="s">
        <v>818</v>
      </c>
      <c r="O27" s="457" t="str">
        <f>INDEX(Leadership!$P$2:$Z$41,MATCH($W$2,Leadership!$A$2:$A$41,0),MATCH(N27,Leadership!$P$1:$Z$1,0))</f>
        <v>+0</v>
      </c>
      <c r="P27" s="456" t="str">
        <f t="shared" si="6"/>
        <v>Int (+0)</v>
      </c>
      <c r="Q27" s="437" t="s">
        <v>56</v>
      </c>
      <c r="R27" s="437">
        <f t="shared" si="1"/>
        <v>1</v>
      </c>
      <c r="S27" s="438">
        <f t="shared" ca="1" si="2"/>
        <v>13</v>
      </c>
      <c r="T27" s="437">
        <f t="shared" ca="1" si="7"/>
        <v>14</v>
      </c>
      <c r="U27" s="436"/>
    </row>
    <row r="28" spans="1:21" s="460" customFormat="1" ht="16.8" x14ac:dyDescent="0.3">
      <c r="A28" s="459" t="s">
        <v>914</v>
      </c>
      <c r="B28" s="442">
        <v>1</v>
      </c>
      <c r="C28" s="442">
        <v>0</v>
      </c>
      <c r="D28" s="442">
        <v>1</v>
      </c>
      <c r="E28" s="442"/>
      <c r="F28" s="442"/>
      <c r="G28" s="442"/>
      <c r="H28" s="442"/>
      <c r="I28" s="442"/>
      <c r="J28" s="442">
        <v>0</v>
      </c>
      <c r="K28" s="442"/>
      <c r="L28" s="442"/>
      <c r="M28" s="442"/>
      <c r="N28" s="458" t="s">
        <v>818</v>
      </c>
      <c r="O28" s="457" t="str">
        <f>INDEX(Leadership!$P$2:$Z$41,MATCH($W$2,Leadership!$A$2:$A$41,0),MATCH(N28,Leadership!$P$1:$Z$1,0))</f>
        <v>+0</v>
      </c>
      <c r="P28" s="456" t="str">
        <f t="shared" si="6"/>
        <v>Int (+0)</v>
      </c>
      <c r="Q28" s="437" t="s">
        <v>56</v>
      </c>
      <c r="R28" s="437">
        <f t="shared" si="1"/>
        <v>0</v>
      </c>
      <c r="S28" s="438">
        <f t="shared" ca="1" si="2"/>
        <v>20</v>
      </c>
      <c r="T28" s="437">
        <f t="shared" ca="1" si="7"/>
        <v>20</v>
      </c>
      <c r="U28" s="436"/>
    </row>
    <row r="29" spans="1:21" s="460" customFormat="1" ht="16.8" x14ac:dyDescent="0.3">
      <c r="A29" s="459" t="s">
        <v>915</v>
      </c>
      <c r="B29" s="442">
        <v>0</v>
      </c>
      <c r="C29" s="442">
        <v>1</v>
      </c>
      <c r="D29" s="442">
        <v>1</v>
      </c>
      <c r="E29" s="442"/>
      <c r="F29" s="442"/>
      <c r="G29" s="442"/>
      <c r="H29" s="442">
        <v>1</v>
      </c>
      <c r="I29" s="442"/>
      <c r="J29" s="442">
        <v>0</v>
      </c>
      <c r="K29" s="442"/>
      <c r="L29" s="442"/>
      <c r="M29" s="442"/>
      <c r="N29" s="458" t="s">
        <v>818</v>
      </c>
      <c r="O29" s="457" t="str">
        <f>INDEX(Leadership!$P$2:$Z$41,MATCH($W$2,Leadership!$A$2:$A$41,0),MATCH(N29,Leadership!$P$1:$Z$1,0))</f>
        <v>+0</v>
      </c>
      <c r="P29" s="456" t="str">
        <f t="shared" si="6"/>
        <v>Int (+0)</v>
      </c>
      <c r="Q29" s="437" t="s">
        <v>56</v>
      </c>
      <c r="R29" s="437">
        <f t="shared" si="1"/>
        <v>0</v>
      </c>
      <c r="S29" s="438">
        <f t="shared" ca="1" si="2"/>
        <v>20</v>
      </c>
      <c r="T29" s="437">
        <f t="shared" ca="1" si="7"/>
        <v>20</v>
      </c>
      <c r="U29" s="436"/>
    </row>
    <row r="30" spans="1:21" s="460" customFormat="1" ht="16.8" x14ac:dyDescent="0.3">
      <c r="A30" s="459" t="s">
        <v>916</v>
      </c>
      <c r="B30" s="442">
        <v>1</v>
      </c>
      <c r="C30" s="442">
        <v>0</v>
      </c>
      <c r="D30" s="442">
        <v>1</v>
      </c>
      <c r="E30" s="442"/>
      <c r="F30" s="442"/>
      <c r="G30" s="442"/>
      <c r="H30" s="442"/>
      <c r="I30" s="442"/>
      <c r="J30" s="442">
        <v>0</v>
      </c>
      <c r="K30" s="442"/>
      <c r="L30" s="442"/>
      <c r="M30" s="442"/>
      <c r="N30" s="458" t="s">
        <v>818</v>
      </c>
      <c r="O30" s="457" t="str">
        <f>INDEX(Leadership!$P$2:$Z$41,MATCH($W$2,Leadership!$A$2:$A$41,0),MATCH(N30,Leadership!$P$1:$Z$1,0))</f>
        <v>+0</v>
      </c>
      <c r="P30" s="456" t="str">
        <f t="shared" si="6"/>
        <v>Int (+0)</v>
      </c>
      <c r="Q30" s="437" t="s">
        <v>56</v>
      </c>
      <c r="R30" s="437">
        <f t="shared" si="1"/>
        <v>0</v>
      </c>
      <c r="S30" s="438">
        <f t="shared" ca="1" si="2"/>
        <v>7</v>
      </c>
      <c r="T30" s="437">
        <f t="shared" ca="1" si="7"/>
        <v>7</v>
      </c>
      <c r="U30" s="436"/>
    </row>
    <row r="31" spans="1:21" s="460" customFormat="1" ht="16.8" x14ac:dyDescent="0.3">
      <c r="A31" s="459" t="s">
        <v>252</v>
      </c>
      <c r="B31" s="442">
        <v>1</v>
      </c>
      <c r="C31" s="442">
        <v>1</v>
      </c>
      <c r="D31" s="442">
        <v>1</v>
      </c>
      <c r="E31" s="442">
        <v>2</v>
      </c>
      <c r="F31" s="442">
        <v>1</v>
      </c>
      <c r="G31" s="442">
        <v>2</v>
      </c>
      <c r="H31" s="442">
        <v>1</v>
      </c>
      <c r="I31" s="442">
        <v>1</v>
      </c>
      <c r="J31" s="442">
        <v>0</v>
      </c>
      <c r="K31" s="442">
        <v>1</v>
      </c>
      <c r="L31" s="442">
        <v>2</v>
      </c>
      <c r="M31" s="442">
        <v>2</v>
      </c>
      <c r="N31" s="458" t="s">
        <v>818</v>
      </c>
      <c r="O31" s="457" t="str">
        <f>INDEX(Leadership!$P$2:$Z$41,MATCH($W$2,Leadership!$A$2:$A$41,0),MATCH(N31,Leadership!$P$1:$Z$1,0))</f>
        <v>+0</v>
      </c>
      <c r="P31" s="456" t="str">
        <f t="shared" si="6"/>
        <v>Int (+0)</v>
      </c>
      <c r="Q31" s="437" t="s">
        <v>56</v>
      </c>
      <c r="R31" s="437">
        <f t="shared" si="1"/>
        <v>1</v>
      </c>
      <c r="S31" s="438">
        <f t="shared" ca="1" si="2"/>
        <v>15</v>
      </c>
      <c r="T31" s="437">
        <f t="shared" ca="1" si="7"/>
        <v>16</v>
      </c>
      <c r="U31" s="436"/>
    </row>
    <row r="32" spans="1:21" s="460" customFormat="1" ht="16.8" x14ac:dyDescent="0.3">
      <c r="A32" s="459" t="s">
        <v>284</v>
      </c>
      <c r="B32" s="442">
        <v>0</v>
      </c>
      <c r="C32" s="442">
        <v>0</v>
      </c>
      <c r="D32" s="442">
        <v>1</v>
      </c>
      <c r="E32" s="442">
        <v>1</v>
      </c>
      <c r="F32" s="442">
        <v>0</v>
      </c>
      <c r="G32" s="442">
        <v>0</v>
      </c>
      <c r="H32" s="442"/>
      <c r="I32" s="442">
        <v>1</v>
      </c>
      <c r="J32" s="442">
        <v>0</v>
      </c>
      <c r="K32" s="442">
        <v>0</v>
      </c>
      <c r="L32" s="442">
        <v>0</v>
      </c>
      <c r="M32" s="442">
        <v>0</v>
      </c>
      <c r="N32" s="458" t="s">
        <v>818</v>
      </c>
      <c r="O32" s="457" t="str">
        <f>INDEX(Leadership!$P$2:$Z$41,MATCH($W$2,Leadership!$A$2:$A$41,0),MATCH(N32,Leadership!$P$1:$Z$1,0))</f>
        <v>+0</v>
      </c>
      <c r="P32" s="456" t="str">
        <f t="shared" ref="P32" si="8">CONCATENATE(LEFT(N32,3)," (",O32,")")</f>
        <v>Int (+0)</v>
      </c>
      <c r="Q32" s="437" t="s">
        <v>56</v>
      </c>
      <c r="R32" s="437">
        <f t="shared" si="1"/>
        <v>1</v>
      </c>
      <c r="S32" s="438">
        <f t="shared" ca="1" si="2"/>
        <v>5</v>
      </c>
      <c r="T32" s="437">
        <f t="shared" ref="T32" ca="1" si="9">SUM(R32:S32)</f>
        <v>6</v>
      </c>
      <c r="U32" s="436"/>
    </row>
    <row r="33" spans="1:21" s="460" customFormat="1" ht="16.8" x14ac:dyDescent="0.3">
      <c r="A33" s="455" t="s">
        <v>47</v>
      </c>
      <c r="B33" s="442">
        <v>2</v>
      </c>
      <c r="C33" s="442">
        <v>1</v>
      </c>
      <c r="D33" s="442">
        <v>1</v>
      </c>
      <c r="E33" s="442"/>
      <c r="F33" s="442"/>
      <c r="G33" s="442"/>
      <c r="H33" s="442">
        <v>0</v>
      </c>
      <c r="I33" s="442"/>
      <c r="J33" s="442"/>
      <c r="K33" s="442"/>
      <c r="L33" s="442"/>
      <c r="M33" s="442"/>
      <c r="N33" s="454" t="s">
        <v>819</v>
      </c>
      <c r="O33" s="453" t="str">
        <f>INDEX(Leadership!$P$2:$Z$41,MATCH($W$2,Leadership!$A$2:$A$41,0),MATCH(N33,Leadership!$P$1:$Z$1,0))</f>
        <v>+2</v>
      </c>
      <c r="P33" s="452" t="str">
        <f t="shared" si="0"/>
        <v>Wis (+2)</v>
      </c>
      <c r="Q33" s="437" t="s">
        <v>56</v>
      </c>
      <c r="R33" s="437">
        <f t="shared" si="1"/>
        <v>2</v>
      </c>
      <c r="S33" s="438">
        <f t="shared" ca="1" si="2"/>
        <v>17</v>
      </c>
      <c r="T33" s="437">
        <f t="shared" ca="1" si="3"/>
        <v>19</v>
      </c>
      <c r="U33" s="436"/>
    </row>
    <row r="34" spans="1:21" s="460" customFormat="1" ht="16.8" x14ac:dyDescent="0.3">
      <c r="A34" s="447" t="s">
        <v>11</v>
      </c>
      <c r="B34" s="442"/>
      <c r="C34" s="442"/>
      <c r="D34" s="442"/>
      <c r="E34" s="442"/>
      <c r="F34" s="442"/>
      <c r="G34" s="442"/>
      <c r="H34" s="442"/>
      <c r="I34" s="442"/>
      <c r="J34" s="442"/>
      <c r="K34" s="442"/>
      <c r="L34" s="442"/>
      <c r="M34" s="442"/>
      <c r="N34" s="446" t="s">
        <v>820</v>
      </c>
      <c r="O34" s="445" t="str">
        <f>INDEX(Leadership!$P$2:$Z$41,MATCH($W$2,Leadership!$A$2:$A$41,0),MATCH(N34,Leadership!$P$1:$Z$1,0))</f>
        <v>+0</v>
      </c>
      <c r="P34" s="444" t="str">
        <f t="shared" si="0"/>
        <v>Dex (+0)</v>
      </c>
      <c r="Q34" s="437" t="s">
        <v>56</v>
      </c>
      <c r="R34" s="437">
        <f t="shared" si="1"/>
        <v>0</v>
      </c>
      <c r="S34" s="438">
        <f t="shared" ca="1" si="2"/>
        <v>7</v>
      </c>
      <c r="T34" s="437">
        <f t="shared" ca="1" si="3"/>
        <v>7</v>
      </c>
      <c r="U34" s="436"/>
    </row>
    <row r="35" spans="1:21" s="460" customFormat="1" ht="16.8" x14ac:dyDescent="0.3">
      <c r="A35" s="447" t="s">
        <v>48</v>
      </c>
      <c r="B35" s="442"/>
      <c r="C35" s="442">
        <v>1</v>
      </c>
      <c r="D35" s="442"/>
      <c r="E35" s="442"/>
      <c r="F35" s="442"/>
      <c r="G35" s="442"/>
      <c r="H35" s="442"/>
      <c r="I35" s="442"/>
      <c r="J35" s="442"/>
      <c r="K35" s="442"/>
      <c r="L35" s="442"/>
      <c r="M35" s="442"/>
      <c r="N35" s="446" t="s">
        <v>820</v>
      </c>
      <c r="O35" s="445" t="str">
        <f>INDEX(Leadership!$P$2:$Z$41,MATCH($W$2,Leadership!$A$2:$A$41,0),MATCH(N35,Leadership!$P$1:$Z$1,0))</f>
        <v>+0</v>
      </c>
      <c r="P35" s="444" t="str">
        <f t="shared" si="0"/>
        <v>Dex (+0)</v>
      </c>
      <c r="Q35" s="437" t="s">
        <v>56</v>
      </c>
      <c r="R35" s="437">
        <f t="shared" si="1"/>
        <v>0</v>
      </c>
      <c r="S35" s="438">
        <f t="shared" ca="1" si="2"/>
        <v>11</v>
      </c>
      <c r="T35" s="437">
        <f t="shared" ca="1" si="3"/>
        <v>11</v>
      </c>
      <c r="U35" s="436"/>
    </row>
    <row r="36" spans="1:21" ht="16.8" x14ac:dyDescent="0.3">
      <c r="A36" s="443" t="s">
        <v>918</v>
      </c>
      <c r="B36" s="442">
        <v>1</v>
      </c>
      <c r="C36" s="442">
        <v>1</v>
      </c>
      <c r="D36" s="442">
        <v>1</v>
      </c>
      <c r="E36" s="442"/>
      <c r="F36" s="442"/>
      <c r="G36" s="442"/>
      <c r="H36" s="442"/>
      <c r="I36" s="442"/>
      <c r="J36" s="442">
        <v>1</v>
      </c>
      <c r="K36" s="442"/>
      <c r="L36" s="442"/>
      <c r="M36" s="442"/>
      <c r="N36" s="441" t="s">
        <v>817</v>
      </c>
      <c r="O36" s="440" t="str">
        <f>INDEX(Leadership!$P$2:$Z$41,MATCH($W$2,Leadership!$A$2:$A$41,0),MATCH(N36,Leadership!$P$1:$Z$1,0))</f>
        <v>+0</v>
      </c>
      <c r="P36" s="439" t="str">
        <f t="shared" si="0"/>
        <v>Cha (+0)</v>
      </c>
      <c r="Q36" s="437" t="s">
        <v>56</v>
      </c>
      <c r="R36" s="437">
        <f t="shared" si="1"/>
        <v>0</v>
      </c>
      <c r="S36" s="438">
        <f t="shared" ca="1" si="2"/>
        <v>12</v>
      </c>
      <c r="T36" s="437">
        <f t="shared" ca="1" si="3"/>
        <v>12</v>
      </c>
      <c r="U36" s="436"/>
    </row>
    <row r="37" spans="1:21" ht="16.8" x14ac:dyDescent="0.3">
      <c r="A37" s="443" t="s">
        <v>917</v>
      </c>
      <c r="B37" s="442"/>
      <c r="C37" s="442"/>
      <c r="D37" s="442"/>
      <c r="E37" s="442">
        <v>2</v>
      </c>
      <c r="F37" s="442">
        <v>1</v>
      </c>
      <c r="G37" s="442">
        <v>4</v>
      </c>
      <c r="H37" s="442">
        <v>0</v>
      </c>
      <c r="I37" s="442">
        <v>1</v>
      </c>
      <c r="J37" s="442"/>
      <c r="K37" s="442">
        <v>1</v>
      </c>
      <c r="L37" s="442">
        <v>1</v>
      </c>
      <c r="M37" s="442">
        <v>1</v>
      </c>
      <c r="N37" s="454" t="s">
        <v>819</v>
      </c>
      <c r="O37" s="453" t="str">
        <f>INDEX(Leadership!$P$2:$Z$41,MATCH($W$2,Leadership!$A$2:$A$41,0),MATCH(N37,Leadership!$P$1:$Z$1,0))</f>
        <v>+2</v>
      </c>
      <c r="P37" s="452" t="str">
        <f t="shared" si="0"/>
        <v>Wis (+2)</v>
      </c>
      <c r="Q37" s="437" t="s">
        <v>56</v>
      </c>
      <c r="R37" s="437">
        <f t="shared" si="1"/>
        <v>3</v>
      </c>
      <c r="S37" s="438">
        <f t="shared" ca="1" si="2"/>
        <v>11</v>
      </c>
      <c r="T37" s="437">
        <f t="shared" ca="1" si="3"/>
        <v>14</v>
      </c>
      <c r="U37" s="436"/>
    </row>
    <row r="38" spans="1:21" ht="16.8" x14ac:dyDescent="0.3">
      <c r="A38" s="447" t="s">
        <v>12</v>
      </c>
      <c r="B38" s="442">
        <v>1</v>
      </c>
      <c r="C38" s="442">
        <v>2</v>
      </c>
      <c r="D38" s="442">
        <v>1</v>
      </c>
      <c r="E38" s="442"/>
      <c r="F38" s="442"/>
      <c r="G38" s="442"/>
      <c r="H38" s="442">
        <v>1</v>
      </c>
      <c r="I38" s="442"/>
      <c r="J38" s="442">
        <v>0</v>
      </c>
      <c r="K38" s="442"/>
      <c r="L38" s="442"/>
      <c r="M38" s="442"/>
      <c r="N38" s="446" t="s">
        <v>820</v>
      </c>
      <c r="O38" s="445" t="str">
        <f>INDEX(Leadership!$P$2:$Z$41,MATCH($W$2,Leadership!$A$2:$A$41,0),MATCH(N38,Leadership!$P$1:$Z$1,0))</f>
        <v>+0</v>
      </c>
      <c r="P38" s="444" t="str">
        <f t="shared" si="0"/>
        <v>Dex (+0)</v>
      </c>
      <c r="Q38" s="437" t="s">
        <v>56</v>
      </c>
      <c r="R38" s="437">
        <f t="shared" si="1"/>
        <v>0</v>
      </c>
      <c r="S38" s="438">
        <f t="shared" ca="1" si="2"/>
        <v>12</v>
      </c>
      <c r="T38" s="437">
        <f t="shared" ca="1" si="3"/>
        <v>12</v>
      </c>
      <c r="U38" s="436"/>
    </row>
    <row r="39" spans="1:21" ht="16.8" x14ac:dyDescent="0.3">
      <c r="A39" s="459" t="s">
        <v>13</v>
      </c>
      <c r="B39" s="442">
        <v>3</v>
      </c>
      <c r="C39" s="442">
        <v>1</v>
      </c>
      <c r="D39" s="442">
        <v>3</v>
      </c>
      <c r="E39" s="442"/>
      <c r="F39" s="442"/>
      <c r="G39" s="442"/>
      <c r="H39" s="442"/>
      <c r="I39" s="442"/>
      <c r="J39" s="442">
        <v>0</v>
      </c>
      <c r="K39" s="442"/>
      <c r="L39" s="442"/>
      <c r="M39" s="442"/>
      <c r="N39" s="458" t="s">
        <v>818</v>
      </c>
      <c r="O39" s="457" t="str">
        <f>INDEX(Leadership!$P$2:$Z$41,MATCH($W$2,Leadership!$A$2:$A$41,0),MATCH(N39,Leadership!$P$1:$Z$1,0))</f>
        <v>+0</v>
      </c>
      <c r="P39" s="456" t="str">
        <f t="shared" si="0"/>
        <v>Int (+0)</v>
      </c>
      <c r="Q39" s="437" t="s">
        <v>56</v>
      </c>
      <c r="R39" s="437">
        <f t="shared" si="1"/>
        <v>0</v>
      </c>
      <c r="S39" s="438">
        <f t="shared" ca="1" si="2"/>
        <v>8</v>
      </c>
      <c r="T39" s="437">
        <f t="shared" ca="1" si="3"/>
        <v>8</v>
      </c>
      <c r="U39" s="436"/>
    </row>
    <row r="40" spans="1:21" ht="16.8" x14ac:dyDescent="0.3">
      <c r="A40" s="455" t="s">
        <v>49</v>
      </c>
      <c r="B40" s="442">
        <v>3</v>
      </c>
      <c r="C40" s="442"/>
      <c r="D40" s="442">
        <v>4</v>
      </c>
      <c r="E40" s="442"/>
      <c r="F40" s="442"/>
      <c r="G40" s="442"/>
      <c r="H40" s="442"/>
      <c r="I40" s="442"/>
      <c r="J40" s="442"/>
      <c r="K40" s="442"/>
      <c r="L40" s="442"/>
      <c r="M40" s="442"/>
      <c r="N40" s="454" t="s">
        <v>819</v>
      </c>
      <c r="O40" s="453" t="str">
        <f>INDEX(Leadership!$P$2:$Z$41,MATCH($W$2,Leadership!$A$2:$A$41,0),MATCH(N40,Leadership!$P$1:$Z$1,0))</f>
        <v>+2</v>
      </c>
      <c r="P40" s="452" t="str">
        <f t="shared" si="0"/>
        <v>Wis (+2)</v>
      </c>
      <c r="Q40" s="437" t="s">
        <v>56</v>
      </c>
      <c r="R40" s="437">
        <f t="shared" si="1"/>
        <v>2</v>
      </c>
      <c r="S40" s="438">
        <f t="shared" ca="1" si="2"/>
        <v>3</v>
      </c>
      <c r="T40" s="437">
        <f t="shared" ca="1" si="3"/>
        <v>5</v>
      </c>
      <c r="U40" s="436"/>
    </row>
    <row r="41" spans="1:21" ht="16.8" x14ac:dyDescent="0.3">
      <c r="A41" s="447" t="s">
        <v>101</v>
      </c>
      <c r="B41" s="442"/>
      <c r="C41" s="442">
        <v>1</v>
      </c>
      <c r="D41" s="442"/>
      <c r="E41" s="442"/>
      <c r="F41" s="442"/>
      <c r="G41" s="442"/>
      <c r="H41" s="442"/>
      <c r="I41" s="442"/>
      <c r="J41" s="442"/>
      <c r="K41" s="442"/>
      <c r="L41" s="442"/>
      <c r="M41" s="442"/>
      <c r="N41" s="446" t="s">
        <v>820</v>
      </c>
      <c r="O41" s="445" t="str">
        <f>INDEX(Leadership!$P$2:$Z$41,MATCH($W$2,Leadership!$A$2:$A$41,0),MATCH(N41,Leadership!$P$1:$Z$1,0))</f>
        <v>+0</v>
      </c>
      <c r="P41" s="444" t="str">
        <f t="shared" si="0"/>
        <v>Dex (+0)</v>
      </c>
      <c r="Q41" s="437" t="s">
        <v>56</v>
      </c>
      <c r="R41" s="437">
        <f t="shared" si="1"/>
        <v>0</v>
      </c>
      <c r="S41" s="438">
        <f t="shared" ca="1" si="2"/>
        <v>13</v>
      </c>
      <c r="T41" s="437">
        <f t="shared" ca="1" si="3"/>
        <v>13</v>
      </c>
      <c r="U41" s="436"/>
    </row>
    <row r="42" spans="1:21" ht="16.8" x14ac:dyDescent="0.3">
      <c r="A42" s="459" t="s">
        <v>91</v>
      </c>
      <c r="B42" s="442"/>
      <c r="C42" s="442"/>
      <c r="D42" s="442"/>
      <c r="E42" s="442"/>
      <c r="F42" s="442"/>
      <c r="G42" s="442"/>
      <c r="H42" s="442"/>
      <c r="I42" s="442"/>
      <c r="J42" s="442"/>
      <c r="K42" s="442"/>
      <c r="L42" s="442"/>
      <c r="M42" s="442"/>
      <c r="N42" s="458" t="s">
        <v>818</v>
      </c>
      <c r="O42" s="457" t="str">
        <f>INDEX(Leadership!$P$2:$Z$41,MATCH($W$2,Leadership!$A$2:$A$41,0),MATCH(N42,Leadership!$P$1:$Z$1,0))</f>
        <v>+0</v>
      </c>
      <c r="P42" s="456" t="str">
        <f t="shared" si="0"/>
        <v>Int (+0)</v>
      </c>
      <c r="Q42" s="437" t="s">
        <v>56</v>
      </c>
      <c r="R42" s="437">
        <f t="shared" si="1"/>
        <v>0</v>
      </c>
      <c r="S42" s="438">
        <f t="shared" ca="1" si="2"/>
        <v>6</v>
      </c>
      <c r="T42" s="437">
        <f t="shared" ca="1" si="3"/>
        <v>6</v>
      </c>
      <c r="U42" s="436"/>
    </row>
    <row r="43" spans="1:21" ht="16.8" x14ac:dyDescent="0.3">
      <c r="A43" s="459" t="s">
        <v>50</v>
      </c>
      <c r="B43" s="442">
        <v>1</v>
      </c>
      <c r="C43" s="442"/>
      <c r="D43" s="442"/>
      <c r="E43" s="442">
        <v>0</v>
      </c>
      <c r="F43" s="442">
        <v>3</v>
      </c>
      <c r="G43" s="442">
        <v>0</v>
      </c>
      <c r="H43" s="442">
        <v>0</v>
      </c>
      <c r="I43" s="442">
        <v>0</v>
      </c>
      <c r="J43" s="442"/>
      <c r="K43" s="442">
        <v>2</v>
      </c>
      <c r="L43" s="442">
        <v>0</v>
      </c>
      <c r="M43" s="442">
        <v>0</v>
      </c>
      <c r="N43" s="458" t="s">
        <v>818</v>
      </c>
      <c r="O43" s="457" t="str">
        <f>INDEX(Leadership!$P$2:$Z$41,MATCH($W$2,Leadership!$A$2:$A$41,0),MATCH(N43,Leadership!$P$1:$Z$1,0))</f>
        <v>+0</v>
      </c>
      <c r="P43" s="456" t="str">
        <f t="shared" si="0"/>
        <v>Int (+0)</v>
      </c>
      <c r="Q43" s="437" t="s">
        <v>56</v>
      </c>
      <c r="R43" s="437">
        <f t="shared" si="1"/>
        <v>0</v>
      </c>
      <c r="S43" s="438">
        <f t="shared" ca="1" si="2"/>
        <v>14</v>
      </c>
      <c r="T43" s="437">
        <f t="shared" ca="1" si="3"/>
        <v>14</v>
      </c>
      <c r="U43" s="436"/>
    </row>
    <row r="44" spans="1:21" ht="16.8" x14ac:dyDescent="0.3">
      <c r="A44" s="455" t="s">
        <v>51</v>
      </c>
      <c r="B44" s="442">
        <v>4</v>
      </c>
      <c r="C44" s="442">
        <v>2</v>
      </c>
      <c r="D44" s="442">
        <v>2</v>
      </c>
      <c r="E44" s="442"/>
      <c r="F44" s="442"/>
      <c r="G44" s="442"/>
      <c r="H44" s="442">
        <v>1</v>
      </c>
      <c r="I44" s="442"/>
      <c r="J44" s="442">
        <v>0</v>
      </c>
      <c r="K44" s="442"/>
      <c r="L44" s="442"/>
      <c r="M44" s="442"/>
      <c r="N44" s="454" t="s">
        <v>819</v>
      </c>
      <c r="O44" s="453" t="str">
        <f>INDEX(Leadership!$P$2:$Z$41,MATCH($W$2,Leadership!$A$2:$A$41,0),MATCH(N44,Leadership!$P$1:$Z$1,0))</f>
        <v>+2</v>
      </c>
      <c r="P44" s="452" t="str">
        <f t="shared" si="0"/>
        <v>Wis (+2)</v>
      </c>
      <c r="Q44" s="437" t="s">
        <v>56</v>
      </c>
      <c r="R44" s="437">
        <f t="shared" si="1"/>
        <v>2</v>
      </c>
      <c r="S44" s="438">
        <f t="shared" ca="1" si="2"/>
        <v>4</v>
      </c>
      <c r="T44" s="437">
        <f t="shared" ca="1" si="3"/>
        <v>6</v>
      </c>
      <c r="U44" s="436"/>
    </row>
    <row r="45" spans="1:21" ht="16.8" x14ac:dyDescent="0.3">
      <c r="A45" s="455" t="s">
        <v>102</v>
      </c>
      <c r="B45" s="442">
        <v>1</v>
      </c>
      <c r="C45" s="442">
        <v>3</v>
      </c>
      <c r="D45" s="442">
        <v>0</v>
      </c>
      <c r="E45" s="442"/>
      <c r="F45" s="442"/>
      <c r="G45" s="442"/>
      <c r="H45" s="442">
        <v>1</v>
      </c>
      <c r="I45" s="442"/>
      <c r="J45" s="442">
        <v>0</v>
      </c>
      <c r="K45" s="442"/>
      <c r="L45" s="442"/>
      <c r="M45" s="442"/>
      <c r="N45" s="454" t="s">
        <v>819</v>
      </c>
      <c r="O45" s="453" t="str">
        <f>INDEX(Leadership!$P$2:$Z$41,MATCH($W$2,Leadership!$A$2:$A$41,0),MATCH(N45,Leadership!$P$1:$Z$1,0))</f>
        <v>+2</v>
      </c>
      <c r="P45" s="452" t="str">
        <f t="shared" si="0"/>
        <v>Wis (+2)</v>
      </c>
      <c r="Q45" s="437" t="s">
        <v>56</v>
      </c>
      <c r="R45" s="437">
        <f t="shared" si="1"/>
        <v>2</v>
      </c>
      <c r="S45" s="438">
        <f t="shared" ca="1" si="2"/>
        <v>2</v>
      </c>
      <c r="T45" s="437">
        <f t="shared" ca="1" si="3"/>
        <v>4</v>
      </c>
      <c r="U45" s="436"/>
    </row>
    <row r="46" spans="1:21" ht="16.8" x14ac:dyDescent="0.3">
      <c r="A46" s="451" t="s">
        <v>14</v>
      </c>
      <c r="B46" s="442"/>
      <c r="C46" s="442"/>
      <c r="D46" s="442"/>
      <c r="E46" s="442"/>
      <c r="F46" s="442"/>
      <c r="G46" s="442"/>
      <c r="H46" s="442">
        <v>1</v>
      </c>
      <c r="I46" s="442"/>
      <c r="J46" s="442"/>
      <c r="K46" s="442"/>
      <c r="L46" s="442"/>
      <c r="M46" s="442"/>
      <c r="N46" s="450" t="s">
        <v>821</v>
      </c>
      <c r="O46" s="449" t="str">
        <f>INDEX(Leadership!$P$2:$Z$41,MATCH($W$2,Leadership!$A$2:$A$41,0),MATCH(N46,Leadership!$P$1:$Z$1,0))</f>
        <v>+1</v>
      </c>
      <c r="P46" s="448" t="str">
        <f t="shared" si="0"/>
        <v>Str (+1)</v>
      </c>
      <c r="Q46" s="437" t="s">
        <v>56</v>
      </c>
      <c r="R46" s="437">
        <f t="shared" si="1"/>
        <v>1</v>
      </c>
      <c r="S46" s="438">
        <f t="shared" ca="1" si="2"/>
        <v>11</v>
      </c>
      <c r="T46" s="437">
        <f t="shared" ca="1" si="3"/>
        <v>12</v>
      </c>
      <c r="U46" s="436"/>
    </row>
    <row r="47" spans="1:21" ht="16.8" x14ac:dyDescent="0.3">
      <c r="A47" s="447" t="s">
        <v>52</v>
      </c>
      <c r="B47" s="442"/>
      <c r="C47" s="442"/>
      <c r="D47" s="442">
        <v>1</v>
      </c>
      <c r="E47" s="442"/>
      <c r="F47" s="442"/>
      <c r="G47" s="442"/>
      <c r="H47" s="442"/>
      <c r="I47" s="442"/>
      <c r="J47" s="442">
        <v>4</v>
      </c>
      <c r="K47" s="442"/>
      <c r="L47" s="442"/>
      <c r="M47" s="442"/>
      <c r="N47" s="446" t="s">
        <v>820</v>
      </c>
      <c r="O47" s="445" t="str">
        <f>INDEX(Leadership!$P$2:$Z$41,MATCH($W$2,Leadership!$A$2:$A$41,0),MATCH(N47,Leadership!$P$1:$Z$1,0))</f>
        <v>+0</v>
      </c>
      <c r="P47" s="444" t="str">
        <f t="shared" si="0"/>
        <v>Dex (+0)</v>
      </c>
      <c r="Q47" s="437" t="s">
        <v>56</v>
      </c>
      <c r="R47" s="437">
        <f t="shared" si="1"/>
        <v>0</v>
      </c>
      <c r="S47" s="438">
        <f t="shared" ca="1" si="2"/>
        <v>8</v>
      </c>
      <c r="T47" s="437">
        <f t="shared" ca="1" si="3"/>
        <v>8</v>
      </c>
      <c r="U47" s="436"/>
    </row>
    <row r="48" spans="1:21" ht="16.8" x14ac:dyDescent="0.3">
      <c r="A48" s="443" t="s">
        <v>53</v>
      </c>
      <c r="B48" s="442"/>
      <c r="C48" s="442">
        <v>1</v>
      </c>
      <c r="D48" s="442"/>
      <c r="E48" s="442"/>
      <c r="F48" s="442"/>
      <c r="G48" s="442"/>
      <c r="H48" s="442"/>
      <c r="I48" s="442"/>
      <c r="J48" s="442"/>
      <c r="K48" s="442"/>
      <c r="L48" s="442"/>
      <c r="M48" s="442"/>
      <c r="N48" s="441" t="s">
        <v>817</v>
      </c>
      <c r="O48" s="440" t="str">
        <f>INDEX(Leadership!$P$2:$Z$41,MATCH($W$2,Leadership!$A$2:$A$41,0),MATCH(N48,Leadership!$P$1:$Z$1,0))</f>
        <v>+0</v>
      </c>
      <c r="P48" s="439" t="str">
        <f t="shared" si="0"/>
        <v>Cha (+0)</v>
      </c>
      <c r="Q48" s="437" t="s">
        <v>56</v>
      </c>
      <c r="R48" s="437">
        <f t="shared" si="1"/>
        <v>0</v>
      </c>
      <c r="S48" s="438">
        <f t="shared" ca="1" si="2"/>
        <v>5</v>
      </c>
      <c r="T48" s="437">
        <f t="shared" ca="1" si="3"/>
        <v>5</v>
      </c>
      <c r="U48" s="436"/>
    </row>
    <row r="49" spans="1:21" ht="17.399999999999999" thickBot="1" x14ac:dyDescent="0.35">
      <c r="A49" s="435" t="s">
        <v>54</v>
      </c>
      <c r="B49" s="434">
        <v>1</v>
      </c>
      <c r="C49" s="434">
        <v>0</v>
      </c>
      <c r="D49" s="434">
        <v>1</v>
      </c>
      <c r="E49" s="434"/>
      <c r="F49" s="434"/>
      <c r="G49" s="434"/>
      <c r="H49" s="434"/>
      <c r="I49" s="434"/>
      <c r="J49" s="434">
        <v>4</v>
      </c>
      <c r="K49" s="434"/>
      <c r="L49" s="434"/>
      <c r="M49" s="434"/>
      <c r="N49" s="433" t="s">
        <v>820</v>
      </c>
      <c r="O49" s="432" t="str">
        <f>INDEX(Leadership!$P$2:$Z$41,MATCH($W$2,Leadership!$A$2:$A$41,0),MATCH(N49,Leadership!$P$1:$Z$1,0))</f>
        <v>+0</v>
      </c>
      <c r="P49" s="431" t="str">
        <f t="shared" si="0"/>
        <v>Dex (+0)</v>
      </c>
      <c r="Q49" s="429" t="s">
        <v>56</v>
      </c>
      <c r="R49" s="429">
        <f t="shared" si="1"/>
        <v>0</v>
      </c>
      <c r="S49" s="430">
        <f t="shared" ca="1" si="2"/>
        <v>14</v>
      </c>
      <c r="T49" s="429">
        <f t="shared" ca="1" si="3"/>
        <v>14</v>
      </c>
      <c r="U49" s="428"/>
    </row>
    <row r="50" spans="1:21" ht="16.2" thickTop="1" x14ac:dyDescent="0.3">
      <c r="A50" s="423" t="s">
        <v>57</v>
      </c>
      <c r="B50" s="426">
        <f>SUM(B5:B49)</f>
        <v>24</v>
      </c>
      <c r="C50" s="426">
        <f>SUM(C5:C49)</f>
        <v>24</v>
      </c>
      <c r="D50" s="426">
        <f>SUM(D5:D49)</f>
        <v>28</v>
      </c>
      <c r="E50" s="426">
        <f t="shared" ref="E50" si="10">SUM(E5:E49)</f>
        <v>10</v>
      </c>
      <c r="F50" s="426">
        <f t="shared" ref="F50" si="11">SUM(F5:F49)</f>
        <v>8</v>
      </c>
      <c r="G50" s="426">
        <f t="shared" ref="G50" si="12">SUM(G5:G49)</f>
        <v>8</v>
      </c>
      <c r="H50" s="426">
        <f>SUM(H5:H49)</f>
        <v>12</v>
      </c>
      <c r="I50" s="426">
        <f t="shared" ref="I50:M50" si="13">SUM(I5:I49)</f>
        <v>8</v>
      </c>
      <c r="J50" s="426">
        <f t="shared" si="13"/>
        <v>12</v>
      </c>
      <c r="K50" s="426">
        <f t="shared" si="13"/>
        <v>12</v>
      </c>
      <c r="L50" s="426">
        <f t="shared" si="13"/>
        <v>4</v>
      </c>
      <c r="M50" s="426">
        <f t="shared" si="13"/>
        <v>4</v>
      </c>
      <c r="N50" s="427"/>
      <c r="O50" s="427"/>
      <c r="P50" s="426"/>
      <c r="Q50" s="425"/>
      <c r="R50" s="424"/>
      <c r="S50" s="424"/>
      <c r="T50" s="424"/>
      <c r="U50" s="423"/>
    </row>
    <row r="51" spans="1:21" x14ac:dyDescent="0.3">
      <c r="A51" s="419" t="s">
        <v>481</v>
      </c>
      <c r="B51" s="422">
        <v>24</v>
      </c>
      <c r="C51" s="422">
        <v>24</v>
      </c>
      <c r="D51" s="422">
        <v>28</v>
      </c>
      <c r="E51" s="422">
        <v>10</v>
      </c>
      <c r="F51" s="422">
        <v>8</v>
      </c>
      <c r="G51" s="422">
        <v>8</v>
      </c>
      <c r="H51" s="422">
        <v>12</v>
      </c>
      <c r="I51" s="422">
        <v>12</v>
      </c>
      <c r="J51" s="422">
        <v>12</v>
      </c>
      <c r="K51" s="422">
        <v>12</v>
      </c>
      <c r="L51" s="422">
        <v>4</v>
      </c>
      <c r="M51" s="422">
        <v>4</v>
      </c>
      <c r="P51" s="422"/>
    </row>
    <row r="52" spans="1:21" x14ac:dyDescent="0.3">
      <c r="B52" s="470"/>
      <c r="P52" s="422"/>
    </row>
    <row r="53" spans="1:21" x14ac:dyDescent="0.3">
      <c r="P53" s="422"/>
    </row>
    <row r="54" spans="1:21" x14ac:dyDescent="0.3">
      <c r="P54" s="422"/>
    </row>
    <row r="55" spans="1:21" x14ac:dyDescent="0.3">
      <c r="P55" s="422"/>
    </row>
    <row r="56" spans="1:21" x14ac:dyDescent="0.3">
      <c r="P56" s="422"/>
    </row>
    <row r="57" spans="1:21" x14ac:dyDescent="0.3">
      <c r="P57" s="422"/>
    </row>
    <row r="58" spans="1:21" x14ac:dyDescent="0.3">
      <c r="P58" s="422"/>
    </row>
    <row r="59" spans="1:21" x14ac:dyDescent="0.3">
      <c r="P59" s="422"/>
    </row>
    <row r="60" spans="1:21" x14ac:dyDescent="0.3">
      <c r="P60" s="422"/>
    </row>
    <row r="61" spans="1:21" x14ac:dyDescent="0.3">
      <c r="P61" s="422"/>
    </row>
  </sheetData>
  <conditionalFormatting sqref="B1:M1">
    <cfRule type="cellIs" dxfId="0" priority="15" operator="equal">
      <formula>$W$2</formula>
    </cfRule>
  </conditionalFormatting>
  <dataValidations disablePrompts="1" count="1">
    <dataValidation type="list" allowBlank="1" showInputMessage="1" showErrorMessage="1" sqref="W2" xr:uid="{00000000-0002-0000-0800-000000000000}">
      <formula1>$B$1:$M$1</formula1>
    </dataValidation>
  </dataValidations>
  <printOptions gridLinesSet="0"/>
  <pageMargins left="0.62" right="0.33" top="0.5" bottom="0.63" header="0.5" footer="0.5"/>
  <pageSetup orientation="portrait" horizontalDpi="120" verticalDpi="14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Personal File</vt:lpstr>
      <vt:lpstr>Skills</vt:lpstr>
      <vt:lpstr>RedKnight</vt:lpstr>
      <vt:lpstr>Spells</vt:lpstr>
      <vt:lpstr>Feats</vt:lpstr>
      <vt:lpstr>Martial</vt:lpstr>
      <vt:lpstr>Equipment</vt:lpstr>
      <vt:lpstr>Leadership</vt:lpstr>
      <vt:lpstr>Skills (Followers)</vt:lpstr>
      <vt:lpstr>'Personal File'!Print_Area</vt:lpstr>
      <vt:lpstr>RedKnight!Print_Area</vt:lpstr>
      <vt:lpstr>Skills!Print_Area</vt:lpstr>
      <vt:lpstr>'Skills (Followers)'!Print_Area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2022-02-05T11:53:36Z</dcterms:modified>
</cp:coreProperties>
</file>