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NPCs\"/>
    </mc:Choice>
  </mc:AlternateContent>
  <xr:revisionPtr revIDLastSave="0" documentId="13_ncr:1_{6ED55EBA-8270-4DAD-9680-B5198FCC60D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File'!$A$1:$H$26</definedName>
    <definedName name="_xlnm.Print_Area" localSheetId="1">Skills!$A$1:$K$29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6" l="1"/>
  <c r="J12" i="6" s="1"/>
  <c r="H12" i="6"/>
  <c r="I11" i="6"/>
  <c r="I10" i="6"/>
  <c r="J10" i="6" s="1"/>
  <c r="H10" i="6"/>
  <c r="H11" i="6" s="1"/>
  <c r="B12" i="4"/>
  <c r="B11" i="4"/>
  <c r="B4" i="15"/>
  <c r="B3" i="15"/>
  <c r="B8" i="4"/>
  <c r="B5" i="15"/>
  <c r="E13" i="4"/>
  <c r="E10" i="4"/>
  <c r="J11" i="6" l="1"/>
  <c r="F41" i="15"/>
  <c r="F24" i="15"/>
  <c r="I3" i="6" l="1"/>
  <c r="H3" i="15" l="1"/>
  <c r="F4" i="15"/>
  <c r="H4" i="15"/>
  <c r="F5" i="15"/>
  <c r="H5" i="15"/>
  <c r="H6" i="15"/>
  <c r="H7" i="15"/>
  <c r="H8" i="15"/>
  <c r="H9" i="15"/>
  <c r="H10" i="15"/>
  <c r="H11" i="15"/>
  <c r="H12" i="15"/>
  <c r="H13" i="15"/>
  <c r="H14" i="15"/>
  <c r="H15" i="15"/>
  <c r="F16" i="15"/>
  <c r="H16" i="15"/>
  <c r="H17" i="15"/>
  <c r="H18" i="15"/>
  <c r="H19" i="15"/>
  <c r="H20" i="15"/>
  <c r="H21" i="15"/>
  <c r="H22" i="15"/>
  <c r="H23" i="15"/>
  <c r="H24" i="15"/>
  <c r="H25" i="15"/>
  <c r="H26" i="15"/>
  <c r="H27" i="15"/>
  <c r="H28" i="15"/>
  <c r="F29" i="15"/>
  <c r="H29" i="15"/>
  <c r="H30" i="15"/>
  <c r="H31" i="15"/>
  <c r="H32" i="15"/>
  <c r="H33" i="15"/>
  <c r="H34" i="15"/>
  <c r="F35" i="15"/>
  <c r="H35" i="15"/>
  <c r="I4" i="6" l="1"/>
  <c r="I18" i="6" l="1"/>
  <c r="G35" i="6" l="1"/>
  <c r="G34" i="6"/>
  <c r="A14" i="20" l="1"/>
  <c r="B13" i="4" l="1"/>
  <c r="I23" i="6" l="1"/>
  <c r="I24" i="6"/>
  <c r="I25" i="6"/>
  <c r="B14" i="4" l="1"/>
  <c r="M39" i="6" l="1"/>
  <c r="I19" i="6" l="1"/>
  <c r="I20" i="6"/>
  <c r="I21" i="6"/>
  <c r="I26" i="6"/>
  <c r="I5" i="6"/>
  <c r="I7" i="6"/>
  <c r="I8" i="6"/>
  <c r="I9" i="6"/>
  <c r="I13" i="6"/>
  <c r="I14" i="6"/>
  <c r="I15" i="6"/>
  <c r="M29" i="6" l="1"/>
  <c r="H42" i="15" l="1"/>
  <c r="H41" i="15"/>
  <c r="G47" i="19" l="1"/>
  <c r="C47" i="19"/>
  <c r="H38" i="15" l="1"/>
  <c r="G24" i="19" l="1"/>
  <c r="G23" i="19"/>
  <c r="G51" i="19" s="1"/>
  <c r="C34" i="19" l="1"/>
  <c r="C23" i="19" l="1"/>
  <c r="C24" i="19"/>
  <c r="C19" i="19"/>
  <c r="C25" i="19"/>
  <c r="C46" i="19" l="1"/>
  <c r="C44" i="19"/>
  <c r="C35" i="19"/>
  <c r="C21" i="19"/>
  <c r="H37" i="15" l="1"/>
  <c r="E12" i="4" l="1"/>
  <c r="H43" i="15" l="1"/>
  <c r="H40" i="15"/>
  <c r="H39" i="15"/>
  <c r="H36" i="15"/>
  <c r="C13" i="4" l="1"/>
  <c r="D10" i="15" l="1"/>
  <c r="D3" i="15"/>
  <c r="C11" i="4"/>
  <c r="C12" i="4"/>
  <c r="C14" i="4"/>
  <c r="C15" i="4"/>
  <c r="C16" i="4"/>
  <c r="D14" i="15" l="1"/>
  <c r="D23" i="15"/>
  <c r="D19" i="15"/>
  <c r="D8" i="15"/>
  <c r="D16" i="15"/>
  <c r="D20" i="15"/>
  <c r="D30" i="15"/>
  <c r="D27" i="15"/>
  <c r="D31" i="15"/>
  <c r="D34" i="15"/>
  <c r="D5" i="15"/>
  <c r="D21" i="15"/>
  <c r="D18" i="15"/>
  <c r="D6" i="15"/>
  <c r="D11" i="15"/>
  <c r="D15" i="15"/>
  <c r="D33" i="15"/>
  <c r="D12" i="15"/>
  <c r="D25" i="15"/>
  <c r="D13" i="15"/>
  <c r="D26" i="15"/>
  <c r="E3" i="15"/>
  <c r="G3" i="15"/>
  <c r="I3" i="15" s="1"/>
  <c r="G10" i="15"/>
  <c r="I10" i="15" s="1"/>
  <c r="E10" i="15"/>
  <c r="H18" i="6"/>
  <c r="J18" i="6" s="1"/>
  <c r="D35" i="15"/>
  <c r="D22" i="15"/>
  <c r="D4" i="15"/>
  <c r="D29" i="15"/>
  <c r="D7" i="15"/>
  <c r="D17" i="15"/>
  <c r="D32" i="15"/>
  <c r="D28" i="15"/>
  <c r="D24" i="15"/>
  <c r="D9" i="15"/>
  <c r="D36" i="15"/>
  <c r="E36" i="15" s="1"/>
  <c r="D37" i="15"/>
  <c r="E37" i="15" s="1"/>
  <c r="E14" i="4"/>
  <c r="E16" i="4" s="1"/>
  <c r="E15" i="4" s="1"/>
  <c r="D43" i="15"/>
  <c r="E43" i="15" s="1"/>
  <c r="D41" i="15"/>
  <c r="E41" i="15" s="1"/>
  <c r="H23" i="6"/>
  <c r="H25" i="6"/>
  <c r="J25" i="6" s="1"/>
  <c r="J15" i="6"/>
  <c r="H9" i="6"/>
  <c r="J9" i="6" s="1"/>
  <c r="D40" i="15"/>
  <c r="E40" i="15" s="1"/>
  <c r="D42" i="15"/>
  <c r="E42" i="15" s="1"/>
  <c r="D38" i="15"/>
  <c r="E38" i="15" s="1"/>
  <c r="D39" i="15"/>
  <c r="E39" i="15" s="1"/>
  <c r="E51" i="15"/>
  <c r="H21" i="6"/>
  <c r="J21" i="6" s="1"/>
  <c r="H5" i="6"/>
  <c r="J5" i="6" s="1"/>
  <c r="B9" i="4"/>
  <c r="H7" i="6"/>
  <c r="H8" i="6" s="1"/>
  <c r="H19" i="6"/>
  <c r="H20" i="6" s="1"/>
  <c r="J20" i="6" s="1"/>
  <c r="H3" i="6"/>
  <c r="H26" i="6"/>
  <c r="J26" i="6" s="1"/>
  <c r="E50" i="15"/>
  <c r="E49" i="15"/>
  <c r="E47" i="15"/>
  <c r="E45" i="15"/>
  <c r="E48" i="15"/>
  <c r="E46" i="15"/>
  <c r="E15" i="15" l="1"/>
  <c r="G15" i="15"/>
  <c r="I15" i="15" s="1"/>
  <c r="G27" i="15"/>
  <c r="I27" i="15" s="1"/>
  <c r="E27" i="15"/>
  <c r="E11" i="15"/>
  <c r="G11" i="15"/>
  <c r="I11" i="15" s="1"/>
  <c r="G30" i="15"/>
  <c r="I30" i="15" s="1"/>
  <c r="E30" i="15"/>
  <c r="E6" i="15"/>
  <c r="G6" i="15"/>
  <c r="I6" i="15" s="1"/>
  <c r="G20" i="15"/>
  <c r="I20" i="15" s="1"/>
  <c r="E20" i="15"/>
  <c r="E26" i="15"/>
  <c r="G26" i="15"/>
  <c r="I26" i="15" s="1"/>
  <c r="E18" i="15"/>
  <c r="G18" i="15"/>
  <c r="I18" i="15" s="1"/>
  <c r="G16" i="15"/>
  <c r="I16" i="15" s="1"/>
  <c r="E16" i="15"/>
  <c r="E13" i="15"/>
  <c r="G13" i="15"/>
  <c r="I13" i="15" s="1"/>
  <c r="G21" i="15"/>
  <c r="I21" i="15" s="1"/>
  <c r="E21" i="15"/>
  <c r="G8" i="15"/>
  <c r="I8" i="15" s="1"/>
  <c r="E8" i="15"/>
  <c r="E25" i="15"/>
  <c r="G25" i="15"/>
  <c r="I25" i="15" s="1"/>
  <c r="E5" i="15"/>
  <c r="G5" i="15"/>
  <c r="I5" i="15" s="1"/>
  <c r="G19" i="15"/>
  <c r="I19" i="15" s="1"/>
  <c r="E19" i="15"/>
  <c r="E12" i="15"/>
  <c r="G12" i="15"/>
  <c r="I12" i="15" s="1"/>
  <c r="G34" i="15"/>
  <c r="I34" i="15" s="1"/>
  <c r="E34" i="15"/>
  <c r="G23" i="15"/>
  <c r="I23" i="15" s="1"/>
  <c r="E23" i="15"/>
  <c r="G33" i="15"/>
  <c r="I33" i="15" s="1"/>
  <c r="E33" i="15"/>
  <c r="G31" i="15"/>
  <c r="I31" i="15" s="1"/>
  <c r="E31" i="15"/>
  <c r="E14" i="15"/>
  <c r="G14" i="15"/>
  <c r="I14" i="15" s="1"/>
  <c r="E44" i="15"/>
  <c r="E17" i="15"/>
  <c r="G17" i="15"/>
  <c r="I17" i="15" s="1"/>
  <c r="G32" i="15"/>
  <c r="I32" i="15" s="1"/>
  <c r="E32" i="15"/>
  <c r="E7" i="15"/>
  <c r="G7" i="15"/>
  <c r="I7" i="15" s="1"/>
  <c r="E29" i="15"/>
  <c r="G29" i="15"/>
  <c r="I29" i="15" s="1"/>
  <c r="E4" i="15"/>
  <c r="G4" i="15"/>
  <c r="I4" i="15" s="1"/>
  <c r="E22" i="15"/>
  <c r="G22" i="15"/>
  <c r="I22" i="15" s="1"/>
  <c r="E35" i="15"/>
  <c r="G35" i="15"/>
  <c r="I35" i="15" s="1"/>
  <c r="G28" i="15"/>
  <c r="I28" i="15" s="1"/>
  <c r="E28" i="15"/>
  <c r="G9" i="15"/>
  <c r="I9" i="15" s="1"/>
  <c r="E9" i="15"/>
  <c r="E24" i="15"/>
  <c r="G24" i="15"/>
  <c r="I24" i="15" s="1"/>
  <c r="H24" i="6"/>
  <c r="J24" i="6" s="1"/>
  <c r="J23" i="6"/>
  <c r="J13" i="6"/>
  <c r="J14" i="6"/>
  <c r="J19" i="6"/>
  <c r="J8" i="6"/>
  <c r="J7" i="6"/>
  <c r="H4" i="6"/>
  <c r="J4" i="6" s="1"/>
  <c r="J3" i="6"/>
  <c r="B44" i="15" l="1"/>
  <c r="G42" i="15" l="1"/>
  <c r="G41" i="15"/>
  <c r="G37" i="15"/>
  <c r="G40" i="15"/>
  <c r="G36" i="15"/>
  <c r="G43" i="15"/>
  <c r="G38" i="15"/>
  <c r="G39" i="15"/>
  <c r="I40" i="15" l="1"/>
  <c r="I38" i="15"/>
  <c r="I43" i="15"/>
  <c r="I37" i="15"/>
  <c r="I39" i="15"/>
  <c r="I36" i="15"/>
  <c r="I41" i="15"/>
  <c r="I4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aid +1
haste +1    Shaken -2</t>
        </r>
      </text>
    </comment>
    <comment ref="C10" authorId="0" shapeId="0" xr:uid="{186C8596-6935-4CF8-9701-04C29E6DB978}">
      <text>
        <r>
          <rPr>
            <sz val="12"/>
            <color indexed="81"/>
            <rFont val="Times New Roman"/>
            <family val="1"/>
          </rPr>
          <t>Next level at 153,000 XPs</t>
        </r>
      </text>
    </comment>
    <comment ref="E10" authorId="0" shapeId="0" xr:uid="{00000000-0006-0000-0000-000003000000}">
      <text>
        <r>
          <rPr>
            <sz val="12"/>
            <color indexed="81"/>
            <rFont val="Times New Roman"/>
            <family val="1"/>
          </rPr>
          <t>ECL + 1 (Cha) + 2 (Great Renown)
+1 (Fairness &amp; Generosity)</t>
        </r>
      </text>
    </comment>
    <comment ref="E11" authorId="0" shapeId="0" xr:uid="{00000000-0006-0000-0000-000004000000}">
      <text>
        <r>
          <rPr>
            <sz val="12"/>
            <color indexed="81"/>
            <rFont val="Times New Roman"/>
            <family val="1"/>
          </rPr>
          <t>See PHB 162</t>
        </r>
      </text>
    </comment>
    <comment ref="E13" authorId="0" shapeId="0" xr:uid="{00000000-0006-0000-0000-000005000000}">
      <text>
        <r>
          <rPr>
            <sz val="12"/>
            <color indexed="81"/>
            <rFont val="Times New Roman"/>
            <family val="1"/>
          </rPr>
          <t>[(4 * 6 Rogue) * 75%] + 
(3 * 6 Combat Trapsmith) * 75%] +
(7 * 1 Con)</t>
        </r>
      </text>
    </comment>
    <comment ref="E14" authorId="0" shapeId="0" xr:uid="{00000000-0006-0000-0000-000006000000}">
      <text>
        <r>
          <rPr>
            <sz val="12"/>
            <color indexed="81"/>
            <rFont val="Times New Roman"/>
            <family val="1"/>
          </rPr>
          <t xml:space="preserve">+1 vs. Traps
+2 </t>
        </r>
        <r>
          <rPr>
            <i/>
            <sz val="12"/>
            <color indexed="81"/>
            <rFont val="Times New Roman"/>
            <family val="1"/>
          </rPr>
          <t>shield of faith
+1 haste</t>
        </r>
      </text>
    </comment>
    <comment ref="E15" authorId="0" shapeId="0" xr:uid="{00000000-0006-0000-0000-000007000000}">
      <text>
        <r>
          <rPr>
            <sz val="12"/>
            <color indexed="81"/>
            <rFont val="Times New Roman"/>
            <family val="1"/>
          </rPr>
          <t>Uncanny Dodge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mass conviction +3</t>
        </r>
      </text>
    </comment>
    <comment ref="F4" authorId="0" shapeId="0" xr:uid="{00000000-0006-0000-0100-000002000000}">
      <text>
        <r>
          <rPr>
            <i/>
            <sz val="12"/>
            <color indexed="81"/>
            <rFont val="Times New Roman"/>
            <family val="1"/>
          </rPr>
          <t>Armor of Agility +1
mass conviction +3</t>
        </r>
      </text>
    </comment>
    <comment ref="F5" authorId="0" shapeId="0" xr:uid="{00000000-0006-0000-0100-000003000000}">
      <text>
        <r>
          <rPr>
            <i/>
            <sz val="12"/>
            <color indexed="81"/>
            <rFont val="Times New Roman"/>
            <family val="1"/>
          </rPr>
          <t>+1 vs. mind-affecting spells
mass conviction +3</t>
        </r>
      </text>
    </comment>
    <comment ref="F7" authorId="0" shapeId="0" xr:uid="{00000000-0006-0000-0100-000004000000}">
      <text>
        <r>
          <rPr>
            <sz val="12"/>
            <color indexed="81"/>
            <rFont val="Times New Roman"/>
            <family val="1"/>
          </rPr>
          <t>Tumble Synergy</t>
        </r>
      </text>
    </comment>
    <comment ref="F9" authorId="0" shapeId="0" xr:uid="{00000000-0006-0000-0100-000005000000}">
      <text>
        <r>
          <rPr>
            <sz val="12"/>
            <color indexed="81"/>
            <rFont val="Times New Roman"/>
            <family val="1"/>
          </rPr>
          <t>Climbing Kit +2</t>
        </r>
      </text>
    </comment>
    <comment ref="F12" authorId="0" shapeId="0" xr:uid="{00000000-0006-0000-0100-000006000000}">
      <text>
        <r>
          <rPr>
            <sz val="12"/>
            <color indexed="81"/>
            <rFont val="Times New Roman"/>
            <family val="1"/>
          </rPr>
          <t>Skill Focus +2</t>
        </r>
      </text>
    </comment>
    <comment ref="F14" authorId="0" shapeId="0" xr:uid="{00000000-0006-0000-0100-000007000000}">
      <text>
        <r>
          <rPr>
            <sz val="12"/>
            <color indexed="81"/>
            <rFont val="Times New Roman"/>
            <family val="1"/>
          </rPr>
          <t>Synergy +2</t>
        </r>
      </text>
    </comment>
    <comment ref="F15" authorId="0" shapeId="0" xr:uid="{00000000-0006-0000-0100-000008000000}">
      <text>
        <r>
          <rPr>
            <sz val="12"/>
            <color indexed="81"/>
            <rFont val="Times New Roman"/>
            <family val="1"/>
          </rPr>
          <t>MW lockpick</t>
        </r>
      </text>
    </comment>
    <comment ref="F16" authorId="0" shapeId="0" xr:uid="{00000000-0006-0000-0100-000009000000}">
      <text>
        <r>
          <rPr>
            <sz val="12"/>
            <color indexed="81"/>
            <rFont val="Times New Roman"/>
            <family val="1"/>
          </rPr>
          <t xml:space="preserve">+10 when </t>
        </r>
        <r>
          <rPr>
            <i/>
            <sz val="12"/>
            <color indexed="81"/>
            <rFont val="Times New Roman"/>
            <family val="1"/>
          </rPr>
          <t>shapechanged</t>
        </r>
        <r>
          <rPr>
            <sz val="12"/>
            <color indexed="81"/>
            <rFont val="Times New Roman"/>
            <family val="1"/>
          </rPr>
          <t xml:space="preserve">
Bluff Synergy +2</t>
        </r>
      </text>
    </comment>
    <comment ref="F19" authorId="0" shapeId="0" xr:uid="{00000000-0006-0000-0100-00000A000000}">
      <text>
        <r>
          <rPr>
            <sz val="12"/>
            <color indexed="81"/>
            <rFont val="Times New Roman"/>
            <family val="1"/>
          </rPr>
          <t>Synergy +2</t>
        </r>
      </text>
    </comment>
    <comment ref="F23" authorId="0" shapeId="0" xr:uid="{00000000-0006-0000-0100-00000B000000}">
      <text>
        <r>
          <rPr>
            <sz val="12"/>
            <color indexed="81"/>
            <rFont val="Times New Roman"/>
            <family val="1"/>
          </rPr>
          <t>Synergy +2</t>
        </r>
      </text>
    </comment>
    <comment ref="F24" authorId="0" shapeId="0" xr:uid="{EE8F9A94-54C6-4970-845C-EEBA560ED439}">
      <text>
        <r>
          <rPr>
            <sz val="12"/>
            <color indexed="81"/>
            <rFont val="Times New Roman"/>
            <family val="1"/>
          </rPr>
          <t>Tumble synergy +2
Leaps &amp; Bounds +6</t>
        </r>
      </text>
    </comment>
    <comment ref="F29" authorId="0" shapeId="0" xr:uid="{00000000-0006-0000-0100-00000D000000}">
      <text>
        <r>
          <rPr>
            <sz val="12"/>
            <color indexed="81"/>
            <rFont val="Times New Roman"/>
            <family val="1"/>
          </rPr>
          <t>MW lockpick</t>
        </r>
      </text>
    </comment>
    <comment ref="F35" authorId="0" shapeId="0" xr:uid="{00000000-0006-0000-0100-00000E000000}">
      <text>
        <r>
          <rPr>
            <sz val="12"/>
            <color indexed="81"/>
            <rFont val="Times New Roman"/>
            <family val="1"/>
          </rPr>
          <t>Synergy +2
Deft Hands +2</t>
        </r>
      </text>
    </comment>
    <comment ref="F38" authorId="0" shapeId="0" xr:uid="{00000000-0006-0000-0100-00000F000000}">
      <text>
        <r>
          <rPr>
            <sz val="12"/>
            <color indexed="81"/>
            <rFont val="Times New Roman"/>
            <family val="1"/>
          </rPr>
          <t>Scout’s Headband +2</t>
        </r>
      </text>
    </comment>
    <comment ref="F41" authorId="0" shapeId="0" xr:uid="{00000000-0006-0000-0100-000010000000}">
      <text>
        <r>
          <rPr>
            <sz val="12"/>
            <color indexed="81"/>
            <rFont val="Times New Roman"/>
            <family val="1"/>
          </rPr>
          <t>Acrobat Boots +2
Leaps and Bounds +6</t>
        </r>
      </text>
    </comment>
    <comment ref="F43" authorId="0" shapeId="0" xr:uid="{00000000-0006-0000-0100-000011000000}">
      <text>
        <r>
          <rPr>
            <sz val="12"/>
            <color indexed="81"/>
            <rFont val="Times New Roman"/>
            <family val="1"/>
          </rPr>
          <t>Deft Hands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The winds of fortune guide your hands when you most need luck.
</t>
        </r>
        <r>
          <rPr>
            <b/>
            <sz val="12"/>
            <color indexed="81"/>
            <rFont val="Times New Roman"/>
            <family val="1"/>
          </rPr>
          <t xml:space="preserve">Benefit:  </t>
        </r>
        <r>
          <rPr>
            <sz val="12"/>
            <color indexed="81"/>
            <rFont val="Times New Roman"/>
            <family val="1"/>
          </rPr>
          <t>You can expend one luck reroll as an immediate action to reroll a Disable Device, Open Lock, or Sleight of Hand check.
You gain one luck reroll per day.
Complete Scoundrel 79</t>
        </r>
      </text>
    </comment>
    <comment ref="A3" authorId="0" shapeId="0" xr:uid="{00000000-0006-0000-0300-000002000000}">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A4" authorId="0" shapeId="0" xr:uid="{00000000-0006-0000-0300-000003000000}">
      <text>
        <r>
          <rPr>
            <sz val="12"/>
            <color indexed="81"/>
            <rFont val="Times New Roman"/>
            <family val="1"/>
          </rPr>
          <t>As Leadership (DMG 106), but no followers.</t>
        </r>
      </text>
    </comment>
    <comment ref="A5" authorId="0" shapeId="0" xr:uid="{00000000-0006-0000-0300-000004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6" authorId="0" shapeId="0" xr:uid="{00000000-0006-0000-0300-000005000000}">
      <text>
        <r>
          <rPr>
            <sz val="12"/>
            <color indexed="81"/>
            <rFont val="Times New Roman"/>
            <family val="1"/>
          </rPr>
          <t xml:space="preserve">You have exceptional manual dexterity.
</t>
        </r>
        <r>
          <rPr>
            <b/>
            <sz val="12"/>
            <color indexed="81"/>
            <rFont val="Times New Roman"/>
            <family val="1"/>
          </rPr>
          <t xml:space="preserve">Benefit:  </t>
        </r>
        <r>
          <rPr>
            <sz val="12"/>
            <color indexed="81"/>
            <rFont val="Times New Roman"/>
            <family val="1"/>
          </rPr>
          <t>You get a +2 bonus on all Sleight of Hand checks and
Use Rope checks.
PHB 93</t>
        </r>
      </text>
    </comment>
    <comment ref="A7" authorId="0" shapeId="0" xr:uid="{00000000-0006-0000-0300-000006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A8" authorId="0" shapeId="0" xr:uid="{00000000-0006-0000-0300-000007000000}">
      <text>
        <r>
          <rPr>
            <sz val="12"/>
            <color indexed="81"/>
            <rFont val="Times New Roman"/>
            <family val="1"/>
          </rPr>
          <t xml:space="preserve">When you strike an opponent’s vital areas, you draw on your ability to land crippling blows to make the most of your attack.
</t>
        </r>
        <r>
          <rPr>
            <b/>
            <sz val="12"/>
            <color indexed="81"/>
            <rFont val="Times New Roman"/>
            <family val="1"/>
          </rPr>
          <t xml:space="preserve">Prerequisite:  </t>
        </r>
        <r>
          <rPr>
            <sz val="12"/>
            <color indexed="81"/>
            <rFont val="Times New Roman"/>
            <family val="1"/>
          </rPr>
          <t xml:space="preserve">Skirmish or sneak attack ability.
</t>
        </r>
        <r>
          <rPr>
            <b/>
            <sz val="12"/>
            <color indexed="81"/>
            <rFont val="Times New Roman"/>
            <family val="1"/>
          </rPr>
          <t xml:space="preserve">Benefit:  </t>
        </r>
        <r>
          <rPr>
            <sz val="12"/>
            <color indexed="81"/>
            <rFont val="Times New Roman"/>
            <family val="1"/>
          </rPr>
          <t>When you score a critical hit against a target, you deal your skirmish or sneak attack damage in addition to the damage from your critical hit. Your critical multiplier applies only to your normal damage, not your skirmish or sneak attack damage. This benefit affects both melee and ranged attacks.
PHB II 83</t>
        </r>
      </text>
    </comment>
    <comment ref="A9" authorId="0" shapeId="0" xr:uid="{00000000-0006-0000-0300-000008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12" authorId="0" shapeId="0" xr:uid="{00000000-0006-0000-0300-000009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4" authorId="0" shapeId="0" xr:uid="{00000000-0006-0000-0300-00000A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15" authorId="0" shapeId="0" xr:uid="{00000000-0006-0000-0300-00000B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6" authorId="0" shapeId="0" xr:uid="{00000000-0006-0000-0300-00000C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 ref="D16" authorId="0" shapeId="0" xr:uid="{00000000-0006-0000-0300-00000F000000}">
      <text>
        <r>
          <rPr>
            <sz val="12"/>
            <color indexed="81"/>
            <rFont val="Times New Roman"/>
            <family val="1"/>
          </rPr>
          <t>Hand crossbow, rapier, sap, shortbow, and short sword.
PHB 50</t>
        </r>
      </text>
    </comment>
    <comment ref="A17" authorId="0" shapeId="0" xr:uid="{00000000-0006-0000-0300-00000D000000}">
      <text>
        <r>
          <rPr>
            <sz val="12"/>
            <color indexed="81"/>
            <rFont val="Times New Roman"/>
            <family val="1"/>
          </rPr>
          <t>A rogue of 8th level or higher can no longer be flanked; she can react to opponents on opposite sides of her as easily as she can react to a single attacker.  This defense denies another rogue the ability to sneak attack the character by flanking her, unless the attacker has at least four more rogue levels than the target does.
If a character already has uncanny dodge (see above) from a second class, the character automatically gains improved uncanny dodge instead, and the levels from the classes that grant uncanny dodge stack to determine the minimum rogue level required to flank the character.
PHB 50</t>
        </r>
      </text>
    </comment>
    <comment ref="A18" authorId="0" shapeId="0" xr:uid="{00000000-0006-0000-0300-00000E000000}">
      <text>
        <r>
          <rPr>
            <sz val="12"/>
            <color indexed="81"/>
            <rFont val="Times New Roman"/>
            <family val="1"/>
          </rPr>
          <t>Can craft and set traps without provoking AoO</t>
        </r>
      </text>
    </comment>
    <comment ref="A19" authorId="0" shapeId="0" xr:uid="{00000000-0006-0000-0300-000010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21" authorId="0" shapeId="0" xr:uid="{4DB2DA0D-108E-43D2-8907-6A44EA0CCE30}">
      <text>
        <r>
          <rPr>
            <sz val="12"/>
            <color indexed="81"/>
            <rFont val="Times New Roman"/>
            <family val="1"/>
          </rPr>
          <t xml:space="preserve">You strike with devastating accuracy more often.
</t>
        </r>
        <r>
          <rPr>
            <b/>
            <sz val="12"/>
            <color indexed="81"/>
            <rFont val="Times New Roman"/>
            <family val="1"/>
          </rPr>
          <t xml:space="preserve">Benefit:  </t>
        </r>
        <r>
          <rPr>
            <sz val="12"/>
            <color indexed="81"/>
            <rFont val="Times New Roman"/>
            <family val="1"/>
          </rPr>
          <t>You can expend one luck reroll as a swift action to reroll a critical threat confirmation roll.
You gain one luck reroll per day.
Complete Scoundrel 82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400-000001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Complete Adventurer 127
This ability doubles the threat range of a weapon.  For instance, if it is placed on a longsword (which has a normal threat range of 19–20), the keen longsword scores a threat on a 17–20.  Only piercing or slashing weapons can be keen.  (If you roll this property randomly for an inappropriate weapon, reroll.) This benefit doesn’t stack with any other effect that expands the threat range of a weapon (such as the keen edge spell or the Improved Critical feat).
DMG 225</t>
        </r>
      </text>
    </comment>
    <comment ref="A10" authorId="0" shapeId="0" xr:uid="{F8F68927-8A52-4111-ABDD-9FBE2B1E9B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Melee weapon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This weapon, which is decorated with a wing motif, vibrates slightly, as though with excitement.
An eager weapon can be drawn as a free action.  While wielding it, you gain a +2 bonus on initiative checks and a +2 bonus on damage rolls made during a surprise round and the first round of combat.
MIC 34</t>
        </r>
      </text>
    </comment>
    <comment ref="A13" authorId="0" shapeId="0" xr:uid="{495E4641-2986-42B4-ADC2-0FBF59CCE6F6}">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Five times per day, you can reach into this pouch and pull out a handful of caltrops (enough to cover a 5-foot square).  In addition to the activation cost, filling a 5-foot square with caltrops by hand requires a standard action.  The caltrops produced are not magical and follow all the rules for normal caltrops (PH 126).
</t>
        </r>
        <r>
          <rPr>
            <b/>
            <sz val="12"/>
            <color indexed="81"/>
            <rFont val="Times New Roman"/>
            <family val="1"/>
          </rPr>
          <t xml:space="preserve">Prerequisites: </t>
        </r>
        <r>
          <rPr>
            <sz val="12"/>
            <color indexed="81"/>
            <rFont val="Times New Roman"/>
            <family val="1"/>
          </rPr>
          <t xml:space="preserve"> Craft Wondrous Item,Leomund’s secret chest.
Cost to Create: 400 gp, 32 XP, 1 day.
MIC 151</t>
        </r>
      </text>
    </comment>
    <comment ref="A18" authorId="0" shapeId="0" xr:uid="{CB940808-6B13-44E9-B055-E03F4B4EB2D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A19" authorId="0" shapeId="0" xr:uid="{00000000-0006-0000-0400-000003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A23" authorId="0" shapeId="0" xr:uid="{00000000-0006-0000-0400-000004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28" authorId="0" shapeId="0" xr:uid="{00000000-0006-0000-0400-000005000000}">
      <text>
        <r>
          <rPr>
            <sz val="12"/>
            <color indexed="81"/>
            <rFont val="Times New Roman"/>
            <family val="1"/>
          </rPr>
          <t>Balance, Climb, Escape Artist, Hide, Jump, Move Silently, Sleight of Hand, Tumble.</t>
        </r>
      </text>
    </comment>
    <comment ref="A29" authorId="0" shapeId="0" xr:uid="{00000000-0006-0000-0400-00000600000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10 lb.
This delicate-looking chain shirt is forged from a silver-white mithral alloy that gleams like starlight.
Up to seven times per day, you can activate this +1 mithral shirt to fill your space with a billowing silver mist.  This gleaming fog grants you concealment against attacks but does not interfere with your vision.
The mist lasts for 1 minute per activation, and it remains in the space where you activated the effect (it doesn’t move with you if you leave that space).
MIC 20</t>
        </r>
      </text>
    </comment>
    <comment ref="A30" authorId="0" shapeId="0" xr:uid="{00000000-0006-0000-0400-00000700000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2 lb.
Each of these black steel bracers is marked with an etching of crossed swords.  When activated, deathstrike bracers allow you to use melee weapons to deal extra damage from critical hits and sneak attacks to constructs, elementals, oozes, plants, and undead as if they were not immune to such extra damage.  You must still roll a critical threat and confirm it as a critical hit or qualify to deliver sneak attack damage to gain any benefit from the bracers.  This effect does not allow you to overcome any other immunity or resistance to extra damage from sneak attacks or critical hits (such as the fortification armor property).
This effect lasts for 1 round.  This ability functions three times per day.
MIC 93</t>
        </r>
      </text>
    </comment>
    <comment ref="A31" authorId="0" shapeId="0" xr:uid="{00000000-0006-0000-0400-000008000000}">
      <text>
        <r>
          <rPr>
            <b/>
            <sz val="12"/>
            <color indexed="81"/>
            <rFont val="Times New Roman"/>
            <family val="1"/>
          </rPr>
          <t xml:space="preserve">Price (Item Level):  </t>
        </r>
        <r>
          <rPr>
            <sz val="12"/>
            <color indexed="81"/>
            <rFont val="Times New Roman"/>
            <family val="1"/>
          </rPr>
          <t xml:space="preserve">500 gp (3rd) (least), 4,000 gp (8th) (lesser), or 10,000 gp (12th)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
This crystal is black as a clouded night sky.  A crystal of mind cloaking protects you against mental infiltration.
</t>
        </r>
        <r>
          <rPr>
            <b/>
            <sz val="12"/>
            <color indexed="81"/>
            <rFont val="Times New Roman"/>
            <family val="1"/>
          </rPr>
          <t xml:space="preserve">Least:  </t>
        </r>
        <r>
          <rPr>
            <sz val="12"/>
            <color indexed="81"/>
            <rFont val="Times New Roman"/>
            <family val="1"/>
          </rPr>
          <t xml:space="preserve">This augment crystal grants you a +1 competence bonus on saving throws against mind-affecting spells and abilities.
</t>
        </r>
        <r>
          <rPr>
            <b/>
            <sz val="12"/>
            <color indexed="81"/>
            <rFont val="Times New Roman"/>
            <family val="1"/>
          </rPr>
          <t xml:space="preserve">Lesser:  </t>
        </r>
        <r>
          <rPr>
            <sz val="12"/>
            <color indexed="81"/>
            <rFont val="Times New Roman"/>
            <family val="1"/>
          </rPr>
          <t xml:space="preserve">As above, except the crystal grants a +3 competence bonus.
</t>
        </r>
        <r>
          <rPr>
            <b/>
            <sz val="12"/>
            <color indexed="81"/>
            <rFont val="Times New Roman"/>
            <family val="1"/>
          </rPr>
          <t xml:space="preserve">Greater:  </t>
        </r>
        <r>
          <rPr>
            <sz val="12"/>
            <color indexed="81"/>
            <rFont val="Times New Roman"/>
            <family val="1"/>
          </rPr>
          <t xml:space="preserve">As above, except the crystal grants a +5 competence bonus. In addition, if you fail a save against a mind-affecting spell or ability, you can choose to reroll the save as an immediate (mental) action.
This ability functions once per day.
</t>
        </r>
        <r>
          <rPr>
            <b/>
            <sz val="12"/>
            <color indexed="81"/>
            <rFont val="Times New Roman"/>
            <family val="1"/>
          </rPr>
          <t xml:space="preserve">Prerequisites:  </t>
        </r>
        <r>
          <rPr>
            <sz val="12"/>
            <color indexed="81"/>
            <rFont val="Times New Roman"/>
            <family val="1"/>
          </rPr>
          <t>Craft Magic Arms and Armor, resistance.
Cost to Create: 250 gp, 20 XP, 1 day (least); 2,000 gp, 160 XP, 4 days (lesser); 5,000 gp,
400 XP, 10 days (greater).
MIC 25</t>
        </r>
      </text>
    </comment>
    <comment ref="G40" authorId="0" shapeId="0" xr:uid="{00000000-0006-0000-0400-000009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 ref="G41" authorId="0" shapeId="0" xr:uid="{00000000-0006-0000-0400-00000A000000}">
      <text>
        <r>
          <rPr>
            <b/>
            <sz val="12"/>
            <color indexed="81"/>
            <rFont val="Times New Roman"/>
            <family val="1"/>
          </rPr>
          <t xml:space="preserve">Price (Item Level):  </t>
        </r>
        <r>
          <rPr>
            <sz val="12"/>
            <color indexed="81"/>
            <rFont val="Times New Roman"/>
            <family val="1"/>
          </rPr>
          <t xml:space="preserve">See table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See table
</t>
        </r>
        <r>
          <rPr>
            <b/>
            <sz val="12"/>
            <color indexed="81"/>
            <rFont val="Times New Roman"/>
            <family val="1"/>
          </rPr>
          <t xml:space="preserve">Aura:  </t>
        </r>
        <r>
          <rPr>
            <sz val="12"/>
            <color indexed="81"/>
            <rFont val="Times New Roman"/>
            <family val="1"/>
          </rPr>
          <t xml:space="preserve">Faint; (see table) school of spell contained in eternal wand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t>
        </r>
        <r>
          <rPr>
            <b/>
            <sz val="12"/>
            <color indexed="81"/>
            <rFont val="Times New Roman"/>
            <family val="1"/>
          </rPr>
          <t xml:space="preserve">Lore:  </t>
        </r>
        <r>
          <rPr>
            <sz val="12"/>
            <color indexed="81"/>
            <rFont val="Times New Roman"/>
            <family val="1"/>
          </rPr>
          <t>During the final years of the last great war, the artificers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159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500-000001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 xml:space="preserve">5 lb.
This otherwise plain-looking set of clothing seems to have gossamer threads woven randomly into the fabric.
When you activate shiftweave, it changes your garb to resemble any of five specific outfits designated during its creation.
Shiftweave has no effect on any armor you wear (nor can it mimic armor) and does not change the effect of any magical clothing you wear.
</t>
        </r>
        <r>
          <rPr>
            <b/>
            <sz val="12"/>
            <color indexed="81"/>
            <rFont val="Times New Roman"/>
            <family val="1"/>
          </rPr>
          <t xml:space="preserve">Lore: </t>
        </r>
        <r>
          <rPr>
            <sz val="12"/>
            <color indexed="81"/>
            <rFont val="Times New Roman"/>
            <family val="1"/>
          </rPr>
          <t xml:space="preserve"> Though originally created for wealthy socialites who wanted to avoid wearing the same gown to the gala, shiftweave is also useful to spies and assassins (Knowledge [nobility and royalty] DC 10).
</t>
        </r>
        <r>
          <rPr>
            <b/>
            <sz val="12"/>
            <color indexed="81"/>
            <rFont val="Times New Roman"/>
            <family val="1"/>
          </rPr>
          <t xml:space="preserve">Prerequisites:  </t>
        </r>
        <r>
          <rPr>
            <sz val="12"/>
            <color indexed="81"/>
            <rFont val="Times New Roman"/>
            <family val="1"/>
          </rPr>
          <t xml:space="preserve">Craft Wondrous Item, disguise self.
</t>
        </r>
        <r>
          <rPr>
            <b/>
            <sz val="12"/>
            <color indexed="81"/>
            <rFont val="Times New Roman"/>
            <family val="1"/>
          </rPr>
          <t xml:space="preserve">Cost to Create:  </t>
        </r>
        <r>
          <rPr>
            <sz val="12"/>
            <color indexed="81"/>
            <rFont val="Times New Roman"/>
            <family val="1"/>
          </rPr>
          <t>250 gp, 20 XP, 1 day.
MIC 133</t>
        </r>
      </text>
    </comment>
    <comment ref="A5" authorId="0" shapeId="0" xr:uid="{00000000-0006-0000-0500-00000200000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Standard (mental)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1 charge:  You become invisible for 4 rounds.
2 charges:  You and one adjacent ally become invisible for 3 rounds.
3 charges:  You and up to three adjacent allies become invisible for 2 rounds.
MIC 145</t>
        </r>
      </text>
    </comment>
    <comment ref="A6" authorId="0" shapeId="0" xr:uid="{7230FEFA-6433-4512-895A-9941A7C5A48F}">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7" authorId="0" shapeId="0" xr:uid="{00000000-0006-0000-0500-000004000000}">
      <text>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abjuration
</t>
        </r>
        <r>
          <rPr>
            <b/>
            <sz val="12"/>
            <color indexed="81"/>
            <rFont val="Times New Roman"/>
            <family val="1"/>
          </rPr>
          <t xml:space="preserve">Activation:  </t>
        </r>
        <r>
          <rPr>
            <sz val="12"/>
            <color indexed="81"/>
            <rFont val="Times New Roman"/>
            <family val="1"/>
          </rPr>
          <t>— and immediate (command)
This circular, coin-shaped talisman is half flame red and half ice blue.
An enduring amulet protects you from extremes of temperature, as if by the endure elements spell.  This is a continuous effect and requires no activation.
In addition, the amulet has 3 charges, which are renewed each day at dawn.
Spending 1 or more charges grants you resistance to cold and fire for 1 round.
1 charge:  Resistance to cold 10 and fire 10.
2 charges:  Resistance to cold 15 and fire 15.
3 charges:  Resistance to cold 20 and fire 20.
MIC 97</t>
        </r>
      </text>
    </comment>
    <comment ref="A8" authorId="0" shapeId="0" xr:uid="{00000000-0006-0000-0500-000005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convex lens of crystal dangles from a chain carved from blue glass.  Activating a talisman of the disk creates a Tenser’s floating disk (PH 294).  The disk can hold 300 pounds and lasts for up to 3 hours (or until dismissed with another standard action).  The disk’s maximum range from you is 30 feet.
If you are also wearing a magic item that provides an enhancement bonus to Strength, the disk’s carrying capacityincreases by 100 pounds per point of bonus granted by the item.
</t>
        </r>
        <r>
          <rPr>
            <b/>
            <sz val="12"/>
            <color indexed="81"/>
            <rFont val="Times New Roman"/>
            <family val="1"/>
          </rPr>
          <t xml:space="preserve">Prerequisites:  </t>
        </r>
        <r>
          <rPr>
            <sz val="12"/>
            <color indexed="81"/>
            <rFont val="Times New Roman"/>
            <family val="1"/>
          </rPr>
          <t xml:space="preserve">Craft Wondrous Item, bull’s strength, Tenser’s fl oating disk.
</t>
        </r>
        <r>
          <rPr>
            <b/>
            <sz val="12"/>
            <color indexed="81"/>
            <rFont val="Times New Roman"/>
            <family val="1"/>
          </rPr>
          <t xml:space="preserve">Cost to Create:  </t>
        </r>
        <r>
          <rPr>
            <sz val="12"/>
            <color indexed="81"/>
            <rFont val="Times New Roman"/>
            <family val="1"/>
          </rPr>
          <t>250 gp, 20 XP, 1 day.
MIC 188</t>
        </r>
      </text>
    </comment>
    <comment ref="A9" authorId="0" shapeId="0" xr:uid="{00000000-0006-0000-0500-000006000000}">
      <text>
        <r>
          <rPr>
            <b/>
            <sz val="12"/>
            <color indexed="81"/>
            <rFont val="Times New Roman"/>
            <family val="1"/>
          </rPr>
          <t xml:space="preserve">Price (Item Level): </t>
        </r>
        <r>
          <rPr>
            <sz val="12"/>
            <color indexed="81"/>
            <rFont val="Times New Roman"/>
            <family val="1"/>
          </rPr>
          <t xml:space="preserve">2,100 gp (6th)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pulsing green glow shines from this crystal.
A third eye surge has 3 charges, which are renewed each day at dawn. Spending 1 or more charges grants you an insight bonus on Strength checks, Dexterity checks, Strength- and Dexterity-based skill checks, and weapon damage rolls for 1 round.
</t>
        </r>
        <r>
          <rPr>
            <b/>
            <sz val="12"/>
            <color indexed="81"/>
            <rFont val="Times New Roman"/>
            <family val="1"/>
          </rPr>
          <t xml:space="preserve">1 charge: </t>
        </r>
        <r>
          <rPr>
            <sz val="12"/>
            <color indexed="81"/>
            <rFont val="Times New Roman"/>
            <family val="1"/>
          </rPr>
          <t xml:space="preserve">+2 insight bonus.
</t>
        </r>
        <r>
          <rPr>
            <b/>
            <sz val="12"/>
            <color indexed="81"/>
            <rFont val="Times New Roman"/>
            <family val="1"/>
          </rPr>
          <t xml:space="preserve">2 charges: </t>
        </r>
        <r>
          <rPr>
            <sz val="12"/>
            <color indexed="81"/>
            <rFont val="Times New Roman"/>
            <family val="1"/>
          </rPr>
          <t xml:space="preserve">+3 insight bonus.
</t>
        </r>
        <r>
          <rPr>
            <b/>
            <sz val="12"/>
            <color indexed="81"/>
            <rFont val="Times New Roman"/>
            <family val="1"/>
          </rPr>
          <t xml:space="preserve">3 charges: </t>
        </r>
        <r>
          <rPr>
            <sz val="12"/>
            <color indexed="81"/>
            <rFont val="Times New Roman"/>
            <family val="1"/>
          </rPr>
          <t xml:space="preserve">+4 insight bonus.
</t>
        </r>
        <r>
          <rPr>
            <b/>
            <sz val="12"/>
            <color indexed="81"/>
            <rFont val="Times New Roman"/>
            <family val="1"/>
          </rPr>
          <t xml:space="preserve">Prerequisites: </t>
        </r>
        <r>
          <rPr>
            <sz val="12"/>
            <color indexed="81"/>
            <rFont val="Times New Roman"/>
            <family val="1"/>
          </rPr>
          <t>Craft Wondrous
MIC 143</t>
        </r>
      </text>
    </comment>
    <comment ref="A10" authorId="0" shapeId="0" xr:uid="{00000000-0006-0000-0500-000008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1 lb.
Multiple brass buckles run from the ankle to the top of the calf on these fi 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1 charge: +10-foot enhancement bonus.
2 charges: +15-foot enhancement bonus.
3 charges: +20-foot enhancement bonus.
MIC 67</t>
        </r>
      </text>
    </comment>
    <comment ref="A11" authorId="0" shapeId="0" xr:uid="{00000000-0006-0000-0500-000009000000}">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standard (manipulation)
</t>
        </r>
        <r>
          <rPr>
            <b/>
            <sz val="12"/>
            <color indexed="81"/>
            <rFont val="Times New Roman"/>
            <family val="1"/>
          </rPr>
          <t xml:space="preserve">Weight:  </t>
        </r>
        <r>
          <rPr>
            <sz val="12"/>
            <color indexed="81"/>
            <rFont val="Times New Roman"/>
            <family val="1"/>
          </rPr>
          <t xml:space="preserve">—
This large ring is set with a faceted ruby.  Closer inspection reveals a tiny trigger near the base of the stone.  Hidden below the stone in this ring is a set of tiny prongs, wires, and other small devices that spring out when the trigger is depressed.
Using a lockpicking ring grants you a +5 competence bonus on Open Lock checks.  This is a continuous effect and requires no activation.  In addition, you can activate the ring once per day to use </t>
        </r>
        <r>
          <rPr>
            <i/>
            <sz val="12"/>
            <color indexed="81"/>
            <rFont val="Times New Roman"/>
            <family val="1"/>
          </rPr>
          <t>knock</t>
        </r>
        <r>
          <rPr>
            <sz val="12"/>
            <color indexed="81"/>
            <rFont val="Times New Roman"/>
            <family val="1"/>
          </rPr>
          <t xml:space="preserve">.  You must touch the ring to the portal you want to open.
</t>
        </r>
        <r>
          <rPr>
            <b/>
            <sz val="12"/>
            <color indexed="81"/>
            <rFont val="Times New Roman"/>
            <family val="1"/>
          </rPr>
          <t xml:space="preserve">Prerequisites:  </t>
        </r>
        <r>
          <rPr>
            <sz val="12"/>
            <color indexed="81"/>
            <rFont val="Times New Roman"/>
            <family val="1"/>
          </rPr>
          <t xml:space="preserve">Forge Ring, knock.
</t>
        </r>
        <r>
          <rPr>
            <b/>
            <sz val="12"/>
            <color indexed="81"/>
            <rFont val="Times New Roman"/>
            <family val="1"/>
          </rPr>
          <t xml:space="preserve">Cost to Create:  </t>
        </r>
        <r>
          <rPr>
            <sz val="12"/>
            <color indexed="81"/>
            <rFont val="Times New Roman"/>
            <family val="1"/>
          </rPr>
          <t>1,750 gp, 140 XP, 4 days.
MIC 114</t>
        </r>
      </text>
    </comment>
    <comment ref="A27" authorId="0" shapeId="0" xr:uid="{00000000-0006-0000-0500-00000B000000}">
      <text>
        <r>
          <rPr>
            <sz val="12"/>
            <color indexed="81"/>
            <rFont val="Times New Roman"/>
            <family val="1"/>
          </rPr>
          <t>All Gray Hand enforcers are given a small token, usually a clasp, ring, or brooch in the shape of a human hand, fingers together and palm out.  Civic officials of Waterdeep (including Lords, magistrates, and Watch and Guard officers) know the token by sight.  You gain a +5 bonus on any Charisma-based skill checks made against an officer or official of Waterdeep if you show the token.  A bearer of the token may not be arrested or hindered in Waterdeep unless the arresting official is a Lord, magistrate, or civilar of the Guard or Watch.
City of Splendors 78</t>
        </r>
      </text>
    </comment>
  </commentList>
</comments>
</file>

<file path=xl/sharedStrings.xml><?xml version="1.0" encoding="utf-8"?>
<sst xmlns="http://schemas.openxmlformats.org/spreadsheetml/2006/main" count="603" uniqueCount="301">
  <si>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</si>
  <si>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</si>
  <si>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</si>
  <si>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</si>
  <si>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</si>
  <si>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</si>
  <si>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</si>
  <si>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</si>
  <si>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</si>
  <si>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</si>
  <si>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</si>
  <si>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</si>
  <si>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</si>
  <si>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</si>
  <si>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</si>
  <si>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</si>
  <si>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</si>
  <si>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</si>
  <si>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</si>
  <si>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</si>
  <si>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</si>
  <si>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</si>
  <si>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</si>
  <si>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</si>
  <si>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</si>
  <si>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</si>
  <si>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</si>
  <si>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</si>
  <si>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</si>
  <si>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</si>
  <si>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</si>
  <si>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</si>
  <si>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</si>
  <si>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</si>
  <si>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</si>
  <si>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</si>
  <si>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</si>
  <si>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</si>
  <si>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</si>
  <si>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</si>
  <si>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</si>
  <si>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</si>
  <si>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</si>
  <si>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</si>
  <si>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</si>
  <si>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</si>
  <si>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</si>
  <si>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</si>
  <si>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</si>
  <si>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</si>
  <si>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</si>
  <si>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</si>
  <si>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</si>
  <si>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</si>
  <si>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</si>
  <si>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</si>
  <si>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</si>
  <si>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</si>
  <si>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</si>
  <si>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</si>
  <si>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</si>
  <si>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</si>
  <si>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Check</t>
  </si>
  <si>
    <t>Arcane</t>
  </si>
  <si>
    <t>Speed</t>
  </si>
  <si>
    <t>Speak Language</t>
  </si>
  <si>
    <t>Sleight of Hand</t>
  </si>
  <si>
    <t>Survival</t>
  </si>
  <si>
    <t>Weapon Proficiencies</t>
  </si>
  <si>
    <t>Atk</t>
  </si>
  <si>
    <t>1</t>
  </si>
  <si>
    <t>Feats</t>
  </si>
  <si>
    <t>Rogue</t>
  </si>
  <si>
    <t>Knowledge:  Local</t>
  </si>
  <si>
    <t>4</t>
  </si>
  <si>
    <t>Evasion</t>
  </si>
  <si>
    <t>Trapfinding</t>
  </si>
  <si>
    <t>2</t>
  </si>
  <si>
    <t>+2 to Climb</t>
  </si>
  <si>
    <t>+2 to Disable Device &amp; Open Locks</t>
  </si>
  <si>
    <t>Paper</t>
  </si>
  <si>
    <t>Sealing Wax</t>
  </si>
  <si>
    <t>Roll</t>
  </si>
  <si>
    <t>Chaotic Neutral</t>
  </si>
  <si>
    <t>Simple Weapons</t>
  </si>
  <si>
    <t>Perform:  (type)</t>
  </si>
  <si>
    <t>Profession:  (type)</t>
  </si>
  <si>
    <t>Rogue 1</t>
  </si>
  <si>
    <t>Rogue 2</t>
  </si>
  <si>
    <t>Light Armor</t>
  </si>
  <si>
    <t>Bedroll</t>
  </si>
  <si>
    <t>Parchment</t>
  </si>
  <si>
    <t>Rogue 3</t>
  </si>
  <si>
    <t>Craft:  Alchemy</t>
  </si>
  <si>
    <t>19-20, x2</t>
  </si>
  <si>
    <t>Prcg/Slash</t>
  </si>
  <si>
    <t>Sap</t>
  </si>
  <si>
    <t>100-GP value</t>
  </si>
  <si>
    <t>Assorted Jewelry</t>
  </si>
  <si>
    <t>Disguise Kit</t>
  </si>
  <si>
    <t>Smokesticks</t>
  </si>
  <si>
    <t>Inkpens</t>
  </si>
  <si>
    <t>Ink (1 oz. vials)</t>
  </si>
  <si>
    <t>Skill/Save</t>
  </si>
  <si>
    <t>Silk Rope</t>
  </si>
  <si>
    <t>Sacks</t>
  </si>
  <si>
    <t>Waterskin</t>
  </si>
  <si>
    <t>Whetstone</t>
  </si>
  <si>
    <t>Hammock</t>
  </si>
  <si>
    <t>Pitons</t>
  </si>
  <si>
    <t>Trail Bars</t>
  </si>
  <si>
    <t>Piercing</t>
  </si>
  <si>
    <t>x2</t>
  </si>
  <si>
    <t>Bludgeon</t>
  </si>
  <si>
    <t>+0</t>
  </si>
  <si>
    <t>Bullets</t>
  </si>
  <si>
    <t>1d6</t>
  </si>
  <si>
    <t>Belt with 6 Pouches</t>
  </si>
  <si>
    <t>Daggers</t>
  </si>
  <si>
    <t>Oil Flask</t>
  </si>
  <si>
    <t>Map Case</t>
  </si>
  <si>
    <t>waterproof</t>
  </si>
  <si>
    <t>100’</t>
  </si>
  <si>
    <t>Climber’s Kit</t>
  </si>
  <si>
    <t>Merchant’s Scale</t>
  </si>
  <si>
    <t>Rogue Weapons</t>
  </si>
  <si>
    <t>Thrown Weapon</t>
  </si>
  <si>
    <t>Rogue 4</t>
  </si>
  <si>
    <t>Thieves’ Tools, Masterwork</t>
  </si>
  <si>
    <t>Silver Pieces</t>
  </si>
  <si>
    <t>Copper Pieces</t>
  </si>
  <si>
    <t>Equipment Carried</t>
  </si>
  <si>
    <t>Soap Bar</t>
  </si>
  <si>
    <t>50’</t>
  </si>
  <si>
    <t>30’</t>
  </si>
  <si>
    <t>-</t>
  </si>
  <si>
    <t>Deadly Precision Sling</t>
  </si>
  <si>
    <t>Phineas</t>
  </si>
  <si>
    <t>“Fingers” Feyson</t>
  </si>
  <si>
    <t>Changeling</t>
  </si>
  <si>
    <t>Shapechange</t>
  </si>
  <si>
    <t>Common, Elven</t>
  </si>
  <si>
    <t>Traps Known</t>
  </si>
  <si>
    <t>Footspiker</t>
  </si>
  <si>
    <t>Craft:  Trapmaking</t>
  </si>
  <si>
    <t>Knowledge:  Archit. &amp; Engin.</t>
  </si>
  <si>
    <t>Trapsmith 1</t>
  </si>
  <si>
    <t>Trapsmith 2</t>
  </si>
  <si>
    <t>Waterdeep</t>
  </si>
  <si>
    <t>Dwarven</t>
  </si>
  <si>
    <t>Value</t>
  </si>
  <si>
    <t>Backpack</t>
  </si>
  <si>
    <t>Sack 1</t>
  </si>
  <si>
    <t>Sack 2</t>
  </si>
  <si>
    <t>Scrolls and Potions</t>
  </si>
  <si>
    <t>Level</t>
  </si>
  <si>
    <t>CLev</t>
  </si>
  <si>
    <t>Talisman of the Disk</t>
  </si>
  <si>
    <t>five</t>
  </si>
  <si>
    <t>Suit of Shiftweave</t>
  </si>
  <si>
    <t>Fancy outfit, alchemist, trapper, tanner, ironmonger, locksmith</t>
  </si>
  <si>
    <t>Class/Race Features</t>
  </si>
  <si>
    <t>Total Equity:</t>
  </si>
  <si>
    <t>Deathstrike Bracers</t>
  </si>
  <si>
    <t>1st:  Lucky Fingers</t>
  </si>
  <si>
    <t>3rd:  Unbelievable Luck</t>
  </si>
  <si>
    <t>6th:  Deft Hands</t>
  </si>
  <si>
    <t>Combat Trapping 3</t>
  </si>
  <si>
    <t>Trapsmith 3</t>
  </si>
  <si>
    <t>3</t>
  </si>
  <si>
    <t>Spiderweb</t>
  </si>
  <si>
    <t>Flashbang</t>
  </si>
  <si>
    <t>Lucky Fingers</t>
  </si>
  <si>
    <t>Lockpicking Ring</t>
  </si>
  <si>
    <t>variable</t>
  </si>
  <si>
    <t>+4 if in Small form</t>
  </si>
  <si>
    <t>Lucky Fingers, Lockpicking ring</t>
  </si>
  <si>
    <t>9th:  Weapon Finesse</t>
  </si>
  <si>
    <t>Sleeper</t>
  </si>
  <si>
    <t>Improvised Materials</t>
  </si>
  <si>
    <t>Weapon Finesse</t>
  </si>
  <si>
    <t>Vanisher Cloak</t>
  </si>
  <si>
    <t>Enduring Amulet</t>
  </si>
  <si>
    <t>Skill Focus (Trapsmith, lvl 2); kit bonus when not using improvised materials</t>
  </si>
  <si>
    <t>+2 synergy bonus to find secret doors, etc.</t>
  </si>
  <si>
    <t>Expert Trapsetter</t>
  </si>
  <si>
    <t>Greater Scorcher</t>
  </si>
  <si>
    <t>Glitterburst</t>
  </si>
  <si>
    <t>SF: Trapmaking (DC 17; Spot/Disable 27)</t>
  </si>
  <si>
    <t>Lesser Crystal of Mind Cloaking</t>
  </si>
  <si>
    <t>+3 to Saves vs. mind-affecting spells</t>
  </si>
  <si>
    <t>Acrobat Boots</t>
  </si>
  <si>
    <t>Third Eye Surge</t>
  </si>
  <si>
    <t>Sap, 2nd Attack</t>
  </si>
  <si>
    <t>Crystal of Acid Assault, Lesser</t>
  </si>
  <si>
    <t>Deadly Precision Sling, 2nd Attack</t>
  </si>
  <si>
    <t>Gold Pieces</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</si>
  <si>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</si>
  <si>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Uncanny Dodge</t>
  </si>
  <si>
    <t>Mithralmist Shirt +1 of Agility</t>
  </si>
  <si>
    <t>Eager Dagger, 2nd Attack</t>
  </si>
  <si>
    <r>
      <t xml:space="preserve">Sap, </t>
    </r>
    <r>
      <rPr>
        <i/>
        <sz val="12"/>
        <rFont val="Times New Roman"/>
        <family val="1"/>
      </rPr>
      <t>haste</t>
    </r>
  </si>
  <si>
    <t>12th:  Telling Blow</t>
  </si>
  <si>
    <t>Stash:  Shipshape Way</t>
  </si>
  <si>
    <t>Gray Hand Token</t>
  </si>
  <si>
    <t>Truedeath Crystal, Lesser</t>
  </si>
  <si>
    <t>vs.</t>
  </si>
  <si>
    <t>undead</t>
  </si>
  <si>
    <t>The Faceless One</t>
  </si>
  <si>
    <t>Auto-succeed</t>
  </si>
  <si>
    <t>Improvised</t>
  </si>
  <si>
    <t>Scorcher</t>
  </si>
  <si>
    <t>Craft DC</t>
  </si>
  <si>
    <t>Entangler</t>
  </si>
  <si>
    <t>Equalizer</t>
  </si>
  <si>
    <t>Stinkburst</t>
  </si>
  <si>
    <t>With Kit</t>
  </si>
  <si>
    <t>Without Kit</t>
  </si>
  <si>
    <t>þ</t>
  </si>
  <si>
    <r>
      <t xml:space="preserve">Eternal Wand of </t>
    </r>
    <r>
      <rPr>
        <i/>
        <sz val="12"/>
        <rFont val="Times New Roman"/>
        <family val="1"/>
      </rPr>
      <t>Mage Hand</t>
    </r>
  </si>
  <si>
    <r>
      <t xml:space="preserve">Eternal Wand of </t>
    </r>
    <r>
      <rPr>
        <i/>
        <sz val="12"/>
        <rFont val="Times New Roman"/>
        <family val="1"/>
      </rPr>
      <t>Obscuring Mist</t>
    </r>
  </si>
  <si>
    <r>
      <t xml:space="preserve">Scroll of </t>
    </r>
    <r>
      <rPr>
        <i/>
        <sz val="12"/>
        <rFont val="Times New Roman"/>
        <family val="1"/>
      </rPr>
      <t>Greater Invisibility</t>
    </r>
  </si>
  <si>
    <t>Properties</t>
  </si>
  <si>
    <t>2x/day; Spellcraft DC 15</t>
  </si>
  <si>
    <t>Campaign:  Cohort</t>
  </si>
  <si>
    <r>
      <t xml:space="preserve">Short Sword, </t>
    </r>
    <r>
      <rPr>
        <i/>
        <sz val="12"/>
        <rFont val="Times New Roman"/>
        <family val="1"/>
      </rPr>
      <t>haste</t>
    </r>
  </si>
  <si>
    <t>Short Sword, 2nd Attack</t>
  </si>
  <si>
    <t>Keen Deadly Precision Short Sword</t>
  </si>
  <si>
    <t>17-20, x2</t>
  </si>
  <si>
    <r>
      <t xml:space="preserve">+4 vs. Traps, +1 </t>
    </r>
    <r>
      <rPr>
        <i/>
        <sz val="13"/>
        <rFont val="Times New Roman"/>
        <family val="1"/>
      </rPr>
      <t>haste</t>
    </r>
  </si>
  <si>
    <t>Blowgun, 2nd Attack</t>
  </si>
  <si>
    <r>
      <t xml:space="preserve">Deadly Precision Sling, </t>
    </r>
    <r>
      <rPr>
        <i/>
        <sz val="12"/>
        <rFont val="Times New Roman"/>
        <family val="1"/>
      </rPr>
      <t>haste</t>
    </r>
  </si>
  <si>
    <r>
      <t xml:space="preserve">Blowgun, </t>
    </r>
    <r>
      <rPr>
        <i/>
        <sz val="12"/>
        <rFont val="Times New Roman"/>
        <family val="1"/>
      </rPr>
      <t>haste</t>
    </r>
  </si>
  <si>
    <t>10’</t>
  </si>
  <si>
    <t>Mystery Vials</t>
  </si>
  <si>
    <t>?</t>
  </si>
  <si>
    <t>Constitution</t>
  </si>
  <si>
    <t>Dexterity</t>
  </si>
  <si>
    <t>Wisdom</t>
  </si>
  <si>
    <t>Intelligence</t>
  </si>
  <si>
    <t>Charisma</t>
  </si>
  <si>
    <t>Strength</t>
  </si>
  <si>
    <t>Race</t>
  </si>
  <si>
    <t>Class</t>
  </si>
  <si>
    <t>Region</t>
  </si>
  <si>
    <t>Deity</t>
  </si>
  <si>
    <t>Alignment</t>
  </si>
  <si>
    <t>Attack Bonus</t>
  </si>
  <si>
    <t>Initiative</t>
  </si>
  <si>
    <t>XP</t>
  </si>
  <si>
    <t>Sex</t>
  </si>
  <si>
    <t>Age</t>
  </si>
  <si>
    <t>Height</t>
  </si>
  <si>
    <t>Weight</t>
  </si>
  <si>
    <t>Base Speed</t>
  </si>
  <si>
    <t>Actual Speed</t>
  </si>
  <si>
    <t>Leadership</t>
  </si>
  <si>
    <t>Lb. Capacity</t>
  </si>
  <si>
    <t>Lb. Carried</t>
  </si>
  <si>
    <t>Hit Points</t>
  </si>
  <si>
    <t>Touch AC</t>
  </si>
  <si>
    <t>FF AC</t>
  </si>
  <si>
    <t>AC</t>
  </si>
  <si>
    <t>Improved Uncanny Dodge</t>
  </si>
  <si>
    <t>Campaign:  Improved Cohort</t>
  </si>
  <si>
    <t>Exact Location</t>
  </si>
  <si>
    <t>Bedroom</t>
  </si>
  <si>
    <t>Combat Trapsmith</t>
  </si>
  <si>
    <t>Sneak Attack 5d6 (+1d6 Deadly Precis. Item)</t>
  </si>
  <si>
    <t>60’</t>
  </si>
  <si>
    <t>Armored Mage</t>
  </si>
  <si>
    <t>15th:  Point Blank Shot</t>
  </si>
  <si>
    <t>Eldritch Blast</t>
  </si>
  <si>
    <t>Neuter</t>
  </si>
  <si>
    <r>
      <t xml:space="preserve">+2 vs. Sleep/Charm, +2 if Lucky; </t>
    </r>
    <r>
      <rPr>
        <sz val="13"/>
        <color theme="0" tint="-0.14999847407452621"/>
        <rFont val="Times New Roman"/>
        <family val="1"/>
      </rPr>
      <t>+3 vs. mind-affecting spells (from crystal)</t>
    </r>
  </si>
  <si>
    <t>Flechettes</t>
  </si>
  <si>
    <t>Arcane Thieves’ Tools</t>
  </si>
  <si>
    <t>Onyx Shard</t>
  </si>
  <si>
    <t>1d4</t>
  </si>
  <si>
    <t>1d4 subd.</t>
  </si>
  <si>
    <t>1d4+1</t>
  </si>
  <si>
    <t>Victor’s Luck</t>
  </si>
  <si>
    <t>Amulet of Tears</t>
  </si>
  <si>
    <t>SLOT CONFLICT</t>
  </si>
  <si>
    <t>ten</t>
  </si>
  <si>
    <t>NOT CURRENTLY WORN</t>
  </si>
  <si>
    <t>NPC</t>
  </si>
  <si>
    <t>Eager Dagger</t>
  </si>
  <si>
    <t>Deadly Precision Blowgun</t>
  </si>
  <si>
    <r>
      <t>F</t>
    </r>
    <r>
      <rPr>
        <vertAlign val="subscript"/>
        <sz val="13"/>
        <rFont val="Times New Roman"/>
        <family val="1"/>
      </rPr>
      <t>1 - 11</t>
    </r>
  </si>
  <si>
    <r>
      <t>F</t>
    </r>
    <r>
      <rPr>
        <vertAlign val="subscript"/>
        <sz val="13"/>
        <rFont val="Times New Roman"/>
        <family val="1"/>
      </rPr>
      <t>1 - 12</t>
    </r>
  </si>
  <si>
    <r>
      <t>F</t>
    </r>
    <r>
      <rPr>
        <vertAlign val="subscript"/>
        <sz val="13"/>
        <rFont val="Times New Roman"/>
        <family val="1"/>
      </rPr>
      <t>1 - 13</t>
    </r>
  </si>
  <si>
    <r>
      <t>F</t>
    </r>
    <r>
      <rPr>
        <vertAlign val="subscript"/>
        <sz val="13"/>
        <rFont val="Times New Roman"/>
        <family val="1"/>
      </rPr>
      <t>1 - 10</t>
    </r>
  </si>
  <si>
    <t>Eager Dagger, haste</t>
  </si>
  <si>
    <t>Bag of Endless Caltrops, Target 1</t>
  </si>
  <si>
    <t>Bag of Endless Caltrops, Target 2</t>
  </si>
  <si>
    <t>Bag of Endless Caltrops, Target 3</t>
  </si>
  <si>
    <t>Ignore Shield/Armor AC; +2 if wearing shoes</t>
  </si>
  <si>
    <t>1+slow</t>
  </si>
  <si>
    <t>+4d6 Sneak</t>
  </si>
  <si>
    <t>+4d6 Sneak+2d6 Sneak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</si>
</sst>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6"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sz val="13"/>
      <color rgb="FF7030A0"/>
      <name val="Times New Roman"/>
      <family val="1"/>
    </font>
    <font>
      <i/>
      <sz val="12"/>
      <color indexed="81"/>
      <name val="Times New Roman"/>
      <family val="1"/>
    </font>
    <font>
      <i/>
      <sz val="16"/>
      <color indexed="53"/>
      <name val="Times New Roman"/>
      <family val="1"/>
    </font>
    <font>
      <i/>
      <sz val="16"/>
      <color indexed="57"/>
      <name val="Times New Roman"/>
      <family val="1"/>
    </font>
    <font>
      <sz val="12"/>
      <name val="Times New Roman"/>
      <family val="1"/>
    </font>
    <font>
      <sz val="13"/>
      <color rgb="FF0000FF"/>
      <name val="Times New Roman"/>
      <family val="1"/>
    </font>
    <font>
      <i/>
      <sz val="22"/>
      <color theme="6" tint="-0.249977111117893"/>
      <name val="Times New Roman"/>
      <family val="1"/>
    </font>
    <font>
      <sz val="13"/>
      <color theme="1" tint="0.34998626667073579"/>
      <name val="Times New Roman"/>
      <family val="1"/>
    </font>
    <font>
      <i/>
      <sz val="12"/>
      <name val="Times New Roman"/>
      <family val="1"/>
    </font>
    <font>
      <sz val="13"/>
      <color rgb="FF008000"/>
      <name val="Wingdings"/>
      <charset val="2"/>
    </font>
    <font>
      <vertAlign val="subscript"/>
      <sz val="13"/>
      <name val="Times New Roman"/>
      <family val="1"/>
    </font>
    <font>
      <i/>
      <sz val="16"/>
      <color indexed="10"/>
      <name val="Times New Roman"/>
      <family val="1"/>
    </font>
    <font>
      <b/>
      <sz val="13"/>
      <color rgb="FF9933FF"/>
      <name val="Times New Roman"/>
      <family val="1"/>
    </font>
    <font>
      <i/>
      <sz val="13"/>
      <name val="Times New Roman"/>
      <family val="1"/>
    </font>
    <font>
      <sz val="12"/>
      <color rgb="FFFF0000"/>
      <name val="Times New Roman"/>
      <family val="1"/>
    </font>
    <font>
      <sz val="13"/>
      <color theme="0" tint="-0.14999847407452621"/>
      <name val="Times New Roman"/>
      <family val="1"/>
    </font>
    <font>
      <b/>
      <sz val="13"/>
      <color rgb="FF00B0F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00FF00"/>
        <bgColor indexed="64"/>
      </patternFill>
    </fill>
    <fill>
      <patternFill patternType="solid">
        <fgColor theme="1"/>
        <bgColor indexed="64"/>
      </patternFill>
    </fill>
    <fill>
      <patternFill patternType="solid">
        <fgColor rgb="FFCC66FF"/>
        <bgColor indexed="64"/>
      </patternFill>
    </fill>
    <fill>
      <patternFill patternType="solid">
        <fgColor rgb="FF9999FF"/>
        <bgColor indexed="64"/>
      </patternFill>
    </fill>
    <fill>
      <patternFill patternType="solid">
        <fgColor rgb="FFFFFF00"/>
        <bgColor indexed="64"/>
      </patternFill>
    </fill>
  </fills>
  <borders count="14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hair">
        <color indexed="64"/>
      </bottom>
      <diagonal/>
    </border>
    <border>
      <left/>
      <right style="thin">
        <color auto="1"/>
      </right>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double">
        <color indexed="64"/>
      </top>
      <bottom style="medium">
        <color indexed="64"/>
      </bottom>
      <diagonal/>
    </border>
    <border>
      <left/>
      <right style="hair">
        <color indexed="64"/>
      </right>
      <top/>
      <bottom/>
      <diagonal/>
    </border>
    <border>
      <left/>
      <right style="hair">
        <color indexed="64"/>
      </right>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hair">
        <color indexed="64"/>
      </bottom>
      <diagonal/>
    </border>
    <border>
      <left style="thin">
        <color auto="1"/>
      </left>
      <right style="medium">
        <color auto="1"/>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hair">
        <color indexed="64"/>
      </left>
      <right/>
      <top style="hair">
        <color indexed="64"/>
      </top>
      <bottom/>
      <diagonal/>
    </border>
  </borders>
  <cellStyleXfs count="10">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9" fontId="1" fillId="0" borderId="0" applyFont="0" applyFill="0" applyBorder="0" applyAlignment="0" applyProtection="0"/>
    <xf numFmtId="0" fontId="1" fillId="0" borderId="0"/>
    <xf numFmtId="43" fontId="53" fillId="0" borderId="0" applyFont="0" applyFill="0" applyBorder="0" applyAlignment="0" applyProtection="0"/>
  </cellStyleXfs>
  <cellXfs count="488">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164" fontId="4" fillId="0" borderId="0" xfId="0" applyNumberFormat="1" applyFont="1" applyAlignment="1">
      <alignment horizontal="center"/>
    </xf>
    <xf numFmtId="0" fontId="21"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4" xfId="0" applyNumberFormat="1" applyFont="1" applyBorder="1" applyAlignment="1">
      <alignment horizontal="center"/>
    </xf>
    <xf numFmtId="0" fontId="6" fillId="0" borderId="0" xfId="0" applyFont="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Alignment="1">
      <alignment horizontal="center"/>
    </xf>
    <xf numFmtId="0" fontId="6" fillId="0" borderId="24" xfId="0" applyFont="1" applyBorder="1" applyAlignment="1">
      <alignment horizontal="center"/>
    </xf>
    <xf numFmtId="49" fontId="6" fillId="0" borderId="25" xfId="0" applyNumberFormat="1" applyFont="1" applyBorder="1" applyAlignment="1">
      <alignment horizontal="center"/>
    </xf>
    <xf numFmtId="0" fontId="6" fillId="0" borderId="26" xfId="0" applyFont="1" applyBorder="1" applyAlignment="1">
      <alignment horizontal="center"/>
    </xf>
    <xf numFmtId="0" fontId="6" fillId="0" borderId="1" xfId="0" applyFont="1" applyBorder="1"/>
    <xf numFmtId="0" fontId="6" fillId="0" borderId="2" xfId="0" applyFont="1" applyBorder="1"/>
    <xf numFmtId="164" fontId="2" fillId="0" borderId="0" xfId="0" applyNumberFormat="1" applyFont="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7" xfId="0" applyFont="1" applyFill="1" applyBorder="1" applyAlignment="1">
      <alignment horizontal="right"/>
    </xf>
    <xf numFmtId="0" fontId="7" fillId="4" borderId="46" xfId="0" applyFont="1" applyFill="1" applyBorder="1" applyAlignment="1">
      <alignment horizontal="right"/>
    </xf>
    <xf numFmtId="0" fontId="13" fillId="6" borderId="1" xfId="0" applyFont="1" applyFill="1" applyBorder="1"/>
    <xf numFmtId="0" fontId="6" fillId="6" borderId="24" xfId="0" applyFont="1" applyFill="1" applyBorder="1" applyAlignment="1">
      <alignment horizontal="center"/>
    </xf>
    <xf numFmtId="49" fontId="22" fillId="6" borderId="24" xfId="0" applyNumberFormat="1" applyFont="1" applyFill="1" applyBorder="1" applyAlignment="1">
      <alignment horizontal="center"/>
    </xf>
    <xf numFmtId="0" fontId="22" fillId="6" borderId="25" xfId="0"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Font="1" applyFill="1" applyBorder="1" applyAlignment="1">
      <alignment horizontal="center"/>
    </xf>
    <xf numFmtId="164" fontId="1" fillId="0" borderId="36" xfId="0" applyNumberFormat="1" applyFont="1" applyBorder="1" applyAlignment="1">
      <alignment horizontal="center" shrinkToFit="1"/>
    </xf>
    <xf numFmtId="0" fontId="37" fillId="2" borderId="4" xfId="0" applyFont="1" applyFill="1" applyBorder="1" applyAlignment="1">
      <alignment horizontal="right"/>
    </xf>
    <xf numFmtId="0" fontId="13" fillId="6" borderId="25" xfId="0" applyFont="1" applyFill="1" applyBorder="1" applyAlignment="1">
      <alignment horizontal="center"/>
    </xf>
    <xf numFmtId="0" fontId="1" fillId="0" borderId="0" xfId="0" applyFont="1" applyAlignment="1">
      <alignment horizontal="center"/>
    </xf>
    <xf numFmtId="0" fontId="10" fillId="6" borderId="1" xfId="0" applyFont="1" applyFill="1" applyBorder="1"/>
    <xf numFmtId="49" fontId="16" fillId="6" borderId="24" xfId="0" applyNumberFormat="1" applyFont="1" applyFill="1" applyBorder="1" applyAlignment="1">
      <alignment horizontal="center"/>
    </xf>
    <xf numFmtId="0" fontId="16" fillId="6" borderId="25" xfId="0" applyFont="1" applyFill="1" applyBorder="1" applyAlignment="1">
      <alignment horizontal="center"/>
    </xf>
    <xf numFmtId="0" fontId="10" fillId="6" borderId="25" xfId="0" applyFont="1" applyFill="1" applyBorder="1" applyAlignment="1">
      <alignment horizontal="center"/>
    </xf>
    <xf numFmtId="0" fontId="12" fillId="6" borderId="1" xfId="0" applyFont="1" applyFill="1" applyBorder="1"/>
    <xf numFmtId="49" fontId="23" fillId="6" borderId="24" xfId="0" applyNumberFormat="1" applyFont="1" applyFill="1" applyBorder="1" applyAlignment="1">
      <alignment horizontal="center"/>
    </xf>
    <xf numFmtId="0" fontId="23" fillId="6" borderId="25" xfId="0" applyFont="1" applyFill="1" applyBorder="1" applyAlignment="1">
      <alignment horizontal="center"/>
    </xf>
    <xf numFmtId="0" fontId="12" fillId="6" borderId="25" xfId="0" applyFont="1" applyFill="1" applyBorder="1" applyAlignment="1">
      <alignment horizontal="center"/>
    </xf>
    <xf numFmtId="0" fontId="21" fillId="6" borderId="1" xfId="0" applyFont="1" applyFill="1" applyBorder="1"/>
    <xf numFmtId="49" fontId="27" fillId="6" borderId="24" xfId="0" applyNumberFormat="1" applyFont="1" applyFill="1" applyBorder="1" applyAlignment="1">
      <alignment horizontal="center"/>
    </xf>
    <xf numFmtId="0" fontId="27" fillId="6" borderId="25" xfId="0" applyFont="1" applyFill="1" applyBorder="1" applyAlignment="1">
      <alignment horizontal="center"/>
    </xf>
    <xf numFmtId="0" fontId="21" fillId="6" borderId="25" xfId="0" applyFont="1" applyFill="1" applyBorder="1" applyAlignment="1">
      <alignment horizontal="center"/>
    </xf>
    <xf numFmtId="0" fontId="9" fillId="0" borderId="1" xfId="0" applyFont="1" applyBorder="1"/>
    <xf numFmtId="49" fontId="26" fillId="0" borderId="24" xfId="0" applyNumberFormat="1" applyFont="1" applyBorder="1" applyAlignment="1">
      <alignment horizontal="center"/>
    </xf>
    <xf numFmtId="0" fontId="26" fillId="0" borderId="25" xfId="0" applyFont="1" applyBorder="1" applyAlignment="1">
      <alignment horizontal="center"/>
    </xf>
    <xf numFmtId="0" fontId="9" fillId="0" borderId="25" xfId="0" applyFont="1" applyBorder="1" applyAlignment="1">
      <alignment horizontal="center"/>
    </xf>
    <xf numFmtId="0" fontId="6" fillId="0" borderId="0" xfId="0" applyFont="1" applyAlignment="1">
      <alignment wrapText="1"/>
    </xf>
    <xf numFmtId="0" fontId="38" fillId="0" borderId="32" xfId="0" applyFont="1" applyBorder="1" applyAlignment="1">
      <alignment horizontal="center" shrinkToFit="1"/>
    </xf>
    <xf numFmtId="0" fontId="6" fillId="0" borderId="0" xfId="0" applyFont="1" applyAlignment="1">
      <alignment horizontal="left" wrapText="1"/>
    </xf>
    <xf numFmtId="0" fontId="5" fillId="0" borderId="0" xfId="0" applyFont="1" applyAlignment="1">
      <alignment horizontal="right" wrapText="1"/>
    </xf>
    <xf numFmtId="0" fontId="25" fillId="0" borderId="14" xfId="0" applyFont="1" applyBorder="1" applyAlignment="1">
      <alignment horizontal="center"/>
    </xf>
    <xf numFmtId="0" fontId="13" fillId="0" borderId="1" xfId="0" applyFont="1" applyBorder="1"/>
    <xf numFmtId="49" fontId="22" fillId="0" borderId="24" xfId="0" applyNumberFormat="1" applyFont="1" applyBorder="1" applyAlignment="1">
      <alignment horizontal="center"/>
    </xf>
    <xf numFmtId="0" fontId="22" fillId="0" borderId="25" xfId="0" applyFont="1" applyBorder="1" applyAlignment="1">
      <alignment horizontal="center"/>
    </xf>
    <xf numFmtId="0" fontId="13" fillId="0" borderId="25" xfId="0" applyFont="1" applyBorder="1" applyAlignment="1">
      <alignment horizontal="center"/>
    </xf>
    <xf numFmtId="0" fontId="12" fillId="0" borderId="1" xfId="0" applyFont="1" applyBorder="1"/>
    <xf numFmtId="49" fontId="23" fillId="0" borderId="24" xfId="0" applyNumberFormat="1" applyFont="1" applyBorder="1" applyAlignment="1">
      <alignment horizontal="center"/>
    </xf>
    <xf numFmtId="0" fontId="23" fillId="0" borderId="25" xfId="0" applyFont="1" applyBorder="1" applyAlignment="1">
      <alignment horizontal="center"/>
    </xf>
    <xf numFmtId="0" fontId="12" fillId="0" borderId="25" xfId="0" applyFont="1" applyBorder="1" applyAlignment="1">
      <alignment horizontal="center"/>
    </xf>
    <xf numFmtId="0" fontId="21" fillId="0" borderId="1" xfId="0" applyFont="1" applyBorder="1"/>
    <xf numFmtId="49" fontId="27" fillId="0" borderId="24" xfId="0" applyNumberFormat="1" applyFont="1" applyBorder="1" applyAlignment="1">
      <alignment horizontal="center"/>
    </xf>
    <xf numFmtId="0" fontId="27" fillId="0" borderId="25" xfId="0" applyFont="1" applyBorder="1" applyAlignment="1">
      <alignment horizontal="center"/>
    </xf>
    <xf numFmtId="0" fontId="21" fillId="0" borderId="25" xfId="0" applyFont="1" applyBorder="1" applyAlignment="1">
      <alignment horizontal="center"/>
    </xf>
    <xf numFmtId="0" fontId="7" fillId="0" borderId="1" xfId="0" applyFont="1" applyBorder="1"/>
    <xf numFmtId="49" fontId="17" fillId="0" borderId="24" xfId="0" applyNumberFormat="1" applyFont="1" applyBorder="1" applyAlignment="1">
      <alignment horizontal="center"/>
    </xf>
    <xf numFmtId="0" fontId="17" fillId="0" borderId="25" xfId="0" applyFont="1" applyBorder="1" applyAlignment="1">
      <alignment horizontal="center"/>
    </xf>
    <xf numFmtId="0" fontId="7" fillId="0" borderId="25" xfId="0" applyFont="1" applyBorder="1" applyAlignment="1">
      <alignment horizontal="center"/>
    </xf>
    <xf numFmtId="0" fontId="3" fillId="0" borderId="0" xfId="0" applyFont="1" applyAlignment="1">
      <alignment horizontal="left"/>
    </xf>
    <xf numFmtId="0" fontId="1" fillId="0" borderId="51" xfId="0" applyFont="1" applyBorder="1" applyAlignment="1">
      <alignment horizontal="center" shrinkToFit="1"/>
    </xf>
    <xf numFmtId="0" fontId="40" fillId="0" borderId="32" xfId="0" applyFont="1" applyBorder="1" applyAlignment="1">
      <alignment horizontal="centerContinuous"/>
    </xf>
    <xf numFmtId="0" fontId="3" fillId="2" borderId="53" xfId="0" applyFont="1" applyFill="1" applyBorder="1" applyAlignment="1">
      <alignment horizontal="centerContinuous"/>
    </xf>
    <xf numFmtId="0" fontId="41" fillId="0" borderId="1" xfId="0" applyFont="1" applyBorder="1"/>
    <xf numFmtId="0" fontId="5" fillId="0" borderId="24" xfId="0" applyFont="1" applyBorder="1" applyAlignment="1">
      <alignment horizontal="center"/>
    </xf>
    <xf numFmtId="1" fontId="6" fillId="0" borderId="24" xfId="0" applyNumberFormat="1" applyFont="1" applyBorder="1" applyAlignment="1">
      <alignment horizontal="center" wrapText="1"/>
    </xf>
    <xf numFmtId="0" fontId="42" fillId="8" borderId="25" xfId="0" applyFont="1" applyFill="1" applyBorder="1" applyAlignment="1">
      <alignment horizontal="center"/>
    </xf>
    <xf numFmtId="49" fontId="6" fillId="0" borderId="24" xfId="0" applyNumberFormat="1" applyFont="1" applyBorder="1" applyAlignment="1">
      <alignment horizontal="center" wrapText="1"/>
    </xf>
    <xf numFmtId="0" fontId="43" fillId="0" borderId="1" xfId="0" applyFont="1" applyBorder="1"/>
    <xf numFmtId="0" fontId="44" fillId="0" borderId="57" xfId="0" applyFont="1" applyBorder="1"/>
    <xf numFmtId="0" fontId="5" fillId="0" borderId="58" xfId="0" applyFont="1" applyBorder="1" applyAlignment="1">
      <alignment horizontal="center"/>
    </xf>
    <xf numFmtId="0" fontId="6" fillId="0" borderId="58" xfId="0" applyFont="1" applyBorder="1" applyAlignment="1">
      <alignment horizontal="center"/>
    </xf>
    <xf numFmtId="1" fontId="6" fillId="0" borderId="58" xfId="0" applyNumberFormat="1" applyFont="1" applyBorder="1" applyAlignment="1">
      <alignment horizontal="center" wrapText="1"/>
    </xf>
    <xf numFmtId="0" fontId="42" fillId="8" borderId="58" xfId="0" applyFont="1" applyFill="1" applyBorder="1" applyAlignment="1">
      <alignment horizontal="center"/>
    </xf>
    <xf numFmtId="49" fontId="6" fillId="0" borderId="58" xfId="0" applyNumberFormat="1" applyFont="1" applyBorder="1" applyAlignment="1">
      <alignment horizontal="center" wrapText="1"/>
    </xf>
    <xf numFmtId="0" fontId="44" fillId="0" borderId="24" xfId="0" applyFont="1" applyBorder="1" applyAlignment="1">
      <alignment horizontal="center" wrapText="1"/>
    </xf>
    <xf numFmtId="0" fontId="45" fillId="0" borderId="58" xfId="0" applyFont="1" applyBorder="1" applyAlignment="1">
      <alignment horizontal="center" wrapText="1"/>
    </xf>
    <xf numFmtId="0" fontId="5" fillId="4" borderId="59" xfId="0" applyFont="1" applyFill="1" applyBorder="1" applyAlignment="1">
      <alignment horizontal="right"/>
    </xf>
    <xf numFmtId="0" fontId="5" fillId="4" borderId="60" xfId="0" applyFont="1" applyFill="1" applyBorder="1" applyAlignment="1">
      <alignment horizontal="right"/>
    </xf>
    <xf numFmtId="0" fontId="46" fillId="2" borderId="53" xfId="0" applyFont="1" applyFill="1" applyBorder="1" applyAlignment="1">
      <alignment horizontal="left"/>
    </xf>
    <xf numFmtId="0" fontId="6" fillId="0" borderId="62" xfId="0" quotePrefix="1" applyFont="1" applyBorder="1" applyAlignment="1">
      <alignment horizontal="center"/>
    </xf>
    <xf numFmtId="0" fontId="10" fillId="0" borderId="1" xfId="0" applyFont="1" applyBorder="1"/>
    <xf numFmtId="49" fontId="16" fillId="0" borderId="24" xfId="0" applyNumberFormat="1" applyFont="1" applyBorder="1" applyAlignment="1">
      <alignment horizontal="center"/>
    </xf>
    <xf numFmtId="0" fontId="16" fillId="0" borderId="25" xfId="0" applyFont="1" applyBorder="1" applyAlignment="1">
      <alignment horizontal="center"/>
    </xf>
    <xf numFmtId="0" fontId="10" fillId="0" borderId="25" xfId="0" applyFont="1" applyBorder="1" applyAlignment="1">
      <alignment horizontal="center"/>
    </xf>
    <xf numFmtId="0" fontId="42" fillId="8" borderId="42" xfId="0" applyFont="1" applyFill="1" applyBorder="1" applyAlignment="1">
      <alignment horizontal="center"/>
    </xf>
    <xf numFmtId="0" fontId="1" fillId="0" borderId="69" xfId="0" applyFont="1" applyBorder="1" applyAlignment="1">
      <alignment horizontal="center" shrinkToFit="1"/>
    </xf>
    <xf numFmtId="0" fontId="4" fillId="0" borderId="41" xfId="0" applyFont="1" applyBorder="1" applyAlignment="1">
      <alignment horizontal="left"/>
    </xf>
    <xf numFmtId="0" fontId="4" fillId="0" borderId="36" xfId="0" applyFont="1" applyBorder="1" applyAlignment="1">
      <alignment horizontal="left"/>
    </xf>
    <xf numFmtId="0" fontId="4" fillId="0" borderId="51" xfId="0" applyFont="1" applyBorder="1" applyAlignment="1">
      <alignment horizontal="center" shrinkToFit="1"/>
    </xf>
    <xf numFmtId="0" fontId="4" fillId="0" borderId="70" xfId="0" applyFont="1" applyBorder="1" applyAlignment="1">
      <alignment horizontal="center" shrinkToFit="1"/>
    </xf>
    <xf numFmtId="0" fontId="1" fillId="0" borderId="36" xfId="0" applyFont="1" applyBorder="1" applyAlignment="1">
      <alignment horizontal="left"/>
    </xf>
    <xf numFmtId="0" fontId="1" fillId="0" borderId="70" xfId="0" applyFont="1" applyBorder="1" applyAlignment="1">
      <alignment horizontal="center" shrinkToFit="1"/>
    </xf>
    <xf numFmtId="0" fontId="1" fillId="0" borderId="38" xfId="0" applyFont="1" applyBorder="1" applyAlignment="1">
      <alignment horizontal="left"/>
    </xf>
    <xf numFmtId="0" fontId="1" fillId="0" borderId="67"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1" fillId="3" borderId="55"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45" fillId="8" borderId="33" xfId="0" applyFont="1" applyFill="1" applyBorder="1" applyAlignment="1">
      <alignment horizontal="center" vertical="center" wrapText="1"/>
    </xf>
    <xf numFmtId="0" fontId="11" fillId="3" borderId="56" xfId="0" applyFont="1" applyFill="1" applyBorder="1" applyAlignment="1">
      <alignment horizontal="center" vertical="center"/>
    </xf>
    <xf numFmtId="0" fontId="3" fillId="0" borderId="0" xfId="0" applyFont="1" applyAlignment="1">
      <alignment vertical="center"/>
    </xf>
    <xf numFmtId="0" fontId="10" fillId="9" borderId="1" xfId="0" applyFont="1" applyFill="1" applyBorder="1"/>
    <xf numFmtId="0" fontId="6" fillId="9" borderId="24" xfId="0" applyFont="1" applyFill="1" applyBorder="1" applyAlignment="1">
      <alignment horizontal="center"/>
    </xf>
    <xf numFmtId="49" fontId="16" fillId="9" borderId="24" xfId="0" applyNumberFormat="1" applyFont="1" applyFill="1" applyBorder="1" applyAlignment="1">
      <alignment horizontal="center"/>
    </xf>
    <xf numFmtId="0" fontId="16" fillId="9" borderId="25" xfId="0" applyFont="1" applyFill="1" applyBorder="1" applyAlignment="1">
      <alignment horizontal="center"/>
    </xf>
    <xf numFmtId="0" fontId="10" fillId="9" borderId="25" xfId="0" applyFont="1" applyFill="1" applyBorder="1" applyAlignment="1">
      <alignment horizontal="center"/>
    </xf>
    <xf numFmtId="49" fontId="6" fillId="9" borderId="25" xfId="0" applyNumberFormat="1" applyFont="1" applyFill="1" applyBorder="1" applyAlignment="1">
      <alignment horizontal="center"/>
    </xf>
    <xf numFmtId="0" fontId="6" fillId="9" borderId="26" xfId="0" quotePrefix="1" applyFont="1" applyFill="1" applyBorder="1" applyAlignment="1">
      <alignment horizontal="center"/>
    </xf>
    <xf numFmtId="0" fontId="6" fillId="9" borderId="26" xfId="0" applyFont="1" applyFill="1" applyBorder="1" applyAlignment="1">
      <alignment horizontal="center"/>
    </xf>
    <xf numFmtId="0" fontId="13" fillId="9" borderId="1" xfId="0" applyFont="1" applyFill="1" applyBorder="1"/>
    <xf numFmtId="49" fontId="27" fillId="9" borderId="24" xfId="0" applyNumberFormat="1" applyFont="1" applyFill="1" applyBorder="1" applyAlignment="1">
      <alignment horizontal="center"/>
    </xf>
    <xf numFmtId="0" fontId="27" fillId="9" borderId="25" xfId="0" applyFont="1" applyFill="1" applyBorder="1" applyAlignment="1">
      <alignment horizontal="center"/>
    </xf>
    <xf numFmtId="0" fontId="21" fillId="9" borderId="25" xfId="0" applyFont="1" applyFill="1" applyBorder="1" applyAlignment="1">
      <alignment horizontal="center"/>
    </xf>
    <xf numFmtId="0" fontId="1" fillId="0" borderId="84" xfId="0" applyFont="1" applyBorder="1" applyAlignment="1">
      <alignment horizontal="center" shrinkToFit="1"/>
    </xf>
    <xf numFmtId="0" fontId="1" fillId="0" borderId="85" xfId="0" applyFont="1" applyBorder="1" applyAlignment="1">
      <alignment horizontal="center" shrinkToFit="1"/>
    </xf>
    <xf numFmtId="0" fontId="4" fillId="0" borderId="84" xfId="0" applyFont="1" applyBorder="1" applyAlignment="1">
      <alignment horizontal="center" shrinkToFit="1"/>
    </xf>
    <xf numFmtId="0" fontId="4" fillId="0" borderId="85" xfId="0" applyFont="1" applyBorder="1" applyAlignment="1">
      <alignment horizontal="center" shrinkToFit="1"/>
    </xf>
    <xf numFmtId="0" fontId="20" fillId="3" borderId="34" xfId="0" applyFont="1" applyFill="1" applyBorder="1" applyAlignment="1">
      <alignment horizontal="center"/>
    </xf>
    <xf numFmtId="0" fontId="10" fillId="4" borderId="87" xfId="0" applyFont="1" applyFill="1" applyBorder="1" applyAlignment="1">
      <alignment horizontal="right"/>
    </xf>
    <xf numFmtId="0" fontId="10" fillId="4" borderId="88" xfId="0" applyFont="1" applyFill="1" applyBorder="1" applyAlignment="1">
      <alignment horizontal="right"/>
    </xf>
    <xf numFmtId="0" fontId="2" fillId="0" borderId="0" xfId="0" applyFont="1" applyAlignment="1">
      <alignment horizontal="centerContinuous" vertical="center"/>
    </xf>
    <xf numFmtId="0" fontId="4" fillId="0" borderId="0" xfId="0" applyFont="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47" fillId="8" borderId="21" xfId="0" applyFont="1" applyFill="1" applyBorder="1" applyAlignment="1">
      <alignment horizontal="center" vertical="center"/>
    </xf>
    <xf numFmtId="0" fontId="20" fillId="7" borderId="18" xfId="0" applyFont="1" applyFill="1" applyBorder="1" applyAlignment="1">
      <alignment horizontal="center" vertical="center"/>
    </xf>
    <xf numFmtId="0" fontId="4" fillId="0" borderId="0" xfId="0" applyFont="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48"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Alignment="1">
      <alignment horizontal="centerContinuous" vertical="center"/>
    </xf>
    <xf numFmtId="164" fontId="4" fillId="0" borderId="0" xfId="0" applyNumberFormat="1" applyFont="1" applyAlignment="1">
      <alignment horizontal="center" vertical="center"/>
    </xf>
    <xf numFmtId="0" fontId="20" fillId="7" borderId="21" xfId="0" applyFont="1" applyFill="1" applyBorder="1" applyAlignment="1">
      <alignment horizontal="centerContinuous" vertical="center"/>
    </xf>
    <xf numFmtId="0" fontId="20" fillId="7" borderId="68" xfId="0" applyFont="1" applyFill="1" applyBorder="1" applyAlignment="1">
      <alignment horizontal="centerContinuous" vertical="center"/>
    </xf>
    <xf numFmtId="0" fontId="20" fillId="7" borderId="45" xfId="0" applyFont="1" applyFill="1" applyBorder="1" applyAlignment="1">
      <alignment horizontal="centerContinuous" vertical="center"/>
    </xf>
    <xf numFmtId="0" fontId="1" fillId="0" borderId="67" xfId="0" quotePrefix="1" applyFont="1" applyBorder="1" applyAlignment="1">
      <alignment horizontal="center" vertical="center"/>
    </xf>
    <xf numFmtId="9" fontId="1" fillId="0" borderId="67" xfId="0" applyNumberFormat="1" applyFont="1" applyBorder="1" applyAlignment="1">
      <alignment horizontal="center" vertical="center"/>
    </xf>
    <xf numFmtId="49" fontId="1" fillId="0" borderId="67" xfId="0" quotePrefix="1" applyNumberFormat="1" applyFont="1" applyBorder="1" applyAlignment="1">
      <alignment horizontal="center" vertical="center"/>
    </xf>
    <xf numFmtId="164" fontId="4" fillId="0" borderId="67" xfId="0" applyNumberFormat="1" applyFont="1" applyBorder="1" applyAlignment="1">
      <alignment horizontal="center" vertical="center"/>
    </xf>
    <xf numFmtId="164" fontId="1" fillId="0" borderId="66" xfId="0" applyNumberFormat="1" applyFont="1" applyBorder="1" applyAlignment="1">
      <alignment horizontal="centerContinuous" vertical="center"/>
    </xf>
    <xf numFmtId="164" fontId="1" fillId="0" borderId="76" xfId="0" applyNumberFormat="1" applyFont="1" applyBorder="1" applyAlignment="1">
      <alignment horizontal="centerContinuous" vertical="center"/>
    </xf>
    <xf numFmtId="0" fontId="4" fillId="0" borderId="77" xfId="0" quotePrefix="1" applyFont="1" applyBorder="1" applyAlignment="1">
      <alignment horizontal="centerContinuous" vertical="center"/>
    </xf>
    <xf numFmtId="164" fontId="4" fillId="0" borderId="78" xfId="0" applyNumberFormat="1" applyFont="1" applyBorder="1" applyAlignment="1">
      <alignment horizontal="centerContinuous" vertical="center"/>
    </xf>
    <xf numFmtId="0" fontId="4" fillId="0" borderId="79" xfId="0" applyFont="1" applyBorder="1" applyAlignment="1">
      <alignment horizontal="centerContinuous" vertical="center"/>
    </xf>
    <xf numFmtId="0" fontId="18" fillId="0" borderId="0" xfId="0" applyFont="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4" xfId="0" applyFont="1" applyBorder="1" applyAlignment="1">
      <alignment horizontal="centerContinuous" vertical="center"/>
    </xf>
    <xf numFmtId="0" fontId="4" fillId="0" borderId="65" xfId="0" applyFont="1" applyBorder="1" applyAlignment="1">
      <alignment horizontal="centerContinuous" vertical="center"/>
    </xf>
    <xf numFmtId="0" fontId="4" fillId="0" borderId="66" xfId="0" applyFont="1" applyBorder="1" applyAlignment="1">
      <alignment horizontal="centerContinuous" vertical="center"/>
    </xf>
    <xf numFmtId="49" fontId="1" fillId="0" borderId="67" xfId="0" applyNumberFormat="1" applyFont="1" applyBorder="1" applyAlignment="1">
      <alignment horizontal="center" vertical="center"/>
    </xf>
    <xf numFmtId="49" fontId="1" fillId="0" borderId="66" xfId="0" applyNumberFormat="1" applyFont="1" applyBorder="1" applyAlignment="1">
      <alignment horizontal="centerContinuous" vertical="center"/>
    </xf>
    <xf numFmtId="49" fontId="1" fillId="0" borderId="76" xfId="0" applyNumberFormat="1" applyFont="1" applyBorder="1" applyAlignment="1">
      <alignment horizontal="centerContinuous" vertical="center"/>
    </xf>
    <xf numFmtId="0" fontId="4" fillId="0" borderId="77" xfId="0" applyFont="1" applyBorder="1" applyAlignment="1">
      <alignment horizontal="centerContinuous" vertical="center"/>
    </xf>
    <xf numFmtId="0" fontId="1" fillId="0" borderId="8" xfId="0" applyFont="1" applyBorder="1" applyAlignment="1">
      <alignment horizontal="centerContinuous" vertical="center"/>
    </xf>
    <xf numFmtId="0" fontId="4" fillId="0" borderId="63" xfId="0" applyFont="1" applyBorder="1" applyAlignment="1">
      <alignment horizontal="centerContinuous" vertical="center"/>
    </xf>
    <xf numFmtId="0" fontId="4" fillId="0" borderId="43" xfId="0" applyFont="1" applyBorder="1" applyAlignment="1">
      <alignment horizontal="centerContinuous" vertical="center"/>
    </xf>
    <xf numFmtId="164" fontId="4" fillId="0" borderId="42"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1" fillId="0" borderId="10" xfId="0" applyFont="1" applyBorder="1" applyAlignment="1">
      <alignment horizontal="centerContinuous" vertical="center"/>
    </xf>
    <xf numFmtId="0" fontId="34" fillId="2" borderId="54" xfId="1" applyFont="1" applyFill="1" applyBorder="1" applyAlignment="1" applyProtection="1">
      <alignment horizontal="right" vertical="center"/>
    </xf>
    <xf numFmtId="0" fontId="6" fillId="6" borderId="26" xfId="0" quotePrefix="1" applyFont="1" applyFill="1" applyBorder="1" applyAlignment="1">
      <alignment horizontal="center"/>
    </xf>
    <xf numFmtId="1" fontId="1" fillId="0" borderId="0" xfId="0" applyNumberFormat="1" applyFont="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center"/>
    </xf>
    <xf numFmtId="0" fontId="1" fillId="0" borderId="71" xfId="0" applyFont="1" applyBorder="1" applyAlignment="1">
      <alignment horizontal="center" vertical="center" shrinkToFit="1"/>
    </xf>
    <xf numFmtId="0" fontId="20" fillId="7" borderId="29" xfId="0" applyFont="1" applyFill="1" applyBorder="1" applyAlignment="1">
      <alignment horizontal="center" vertical="center"/>
    </xf>
    <xf numFmtId="1" fontId="1" fillId="0" borderId="97"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44" xfId="0" applyNumberFormat="1" applyFont="1" applyBorder="1" applyAlignment="1">
      <alignment horizontal="center" vertical="center"/>
    </xf>
    <xf numFmtId="0" fontId="1" fillId="0" borderId="74" xfId="0" quotePrefix="1" applyFont="1" applyBorder="1" applyAlignment="1">
      <alignment horizontal="center" vertical="center"/>
    </xf>
    <xf numFmtId="9" fontId="1" fillId="0" borderId="74" xfId="0" applyNumberFormat="1" applyFont="1" applyBorder="1" applyAlignment="1">
      <alignment horizontal="center" vertical="center"/>
    </xf>
    <xf numFmtId="0" fontId="3" fillId="0" borderId="51" xfId="0" applyFont="1" applyBorder="1" applyAlignment="1">
      <alignment shrinkToFit="1"/>
    </xf>
    <xf numFmtId="0" fontId="1" fillId="0" borderId="36" xfId="0" quotePrefix="1" applyFont="1" applyBorder="1" applyAlignment="1">
      <alignment horizontal="left"/>
    </xf>
    <xf numFmtId="0" fontId="1" fillId="0" borderId="37" xfId="0" applyFont="1" applyBorder="1" applyAlignment="1">
      <alignment horizontal="center" shrinkToFit="1"/>
    </xf>
    <xf numFmtId="0" fontId="1" fillId="0" borderId="82" xfId="0" applyFont="1" applyBorder="1" applyAlignment="1">
      <alignment horizontal="center" shrinkToFit="1"/>
    </xf>
    <xf numFmtId="0" fontId="1" fillId="0" borderId="93" xfId="0" applyFont="1" applyBorder="1" applyAlignment="1">
      <alignment horizontal="center" shrinkToFit="1"/>
    </xf>
    <xf numFmtId="0" fontId="1" fillId="0" borderId="94" xfId="0" applyFont="1" applyBorder="1" applyAlignment="1">
      <alignment horizontal="center" shrinkToFit="1"/>
    </xf>
    <xf numFmtId="164" fontId="4" fillId="0" borderId="95" xfId="0" applyNumberFormat="1" applyFont="1" applyBorder="1" applyAlignment="1">
      <alignment horizontal="center" shrinkToFit="1"/>
    </xf>
    <xf numFmtId="0" fontId="4" fillId="0" borderId="95" xfId="0" applyFont="1" applyBorder="1" applyAlignment="1">
      <alignment horizontal="left"/>
    </xf>
    <xf numFmtId="0" fontId="1" fillId="0" borderId="96" xfId="0" applyFont="1" applyBorder="1" applyAlignment="1">
      <alignment horizontal="center" shrinkToFit="1"/>
    </xf>
    <xf numFmtId="0" fontId="3" fillId="0" borderId="89" xfId="0" applyFont="1" applyBorder="1" applyAlignment="1">
      <alignment shrinkToFit="1"/>
    </xf>
    <xf numFmtId="0" fontId="1" fillId="0" borderId="90" xfId="0" applyFont="1" applyBorder="1" applyAlignment="1">
      <alignment horizontal="center" shrinkToFit="1"/>
    </xf>
    <xf numFmtId="164" fontId="4" fillId="0" borderId="91" xfId="0" applyNumberFormat="1" applyFont="1" applyBorder="1" applyAlignment="1">
      <alignment horizontal="center" shrinkToFit="1"/>
    </xf>
    <xf numFmtId="0" fontId="1" fillId="0" borderId="91" xfId="0" applyFont="1" applyBorder="1" applyAlignment="1">
      <alignment horizontal="left"/>
    </xf>
    <xf numFmtId="0" fontId="1" fillId="0" borderId="92" xfId="0" applyFont="1" applyBorder="1" applyAlignment="1">
      <alignment horizontal="center" shrinkToFit="1"/>
    </xf>
    <xf numFmtId="0" fontId="1" fillId="0" borderId="80" xfId="0" applyFont="1" applyBorder="1" applyAlignment="1">
      <alignment horizontal="center" shrinkToFit="1"/>
    </xf>
    <xf numFmtId="0" fontId="1" fillId="0" borderId="86" xfId="0" applyFont="1" applyBorder="1" applyAlignment="1">
      <alignment horizontal="center" shrinkToFit="1"/>
    </xf>
    <xf numFmtId="164" fontId="4" fillId="0" borderId="81" xfId="0" applyNumberFormat="1" applyFont="1" applyBorder="1" applyAlignment="1">
      <alignment horizontal="center" shrinkToFit="1"/>
    </xf>
    <xf numFmtId="0" fontId="4" fillId="0" borderId="81" xfId="0" applyFont="1" applyBorder="1" applyAlignment="1">
      <alignment horizontal="left"/>
    </xf>
    <xf numFmtId="0" fontId="4" fillId="0" borderId="38" xfId="0" applyFont="1" applyBorder="1" applyAlignment="1">
      <alignment horizontal="left"/>
    </xf>
    <xf numFmtId="0" fontId="1" fillId="0" borderId="39" xfId="0" applyFont="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164" fontId="1" fillId="0" borderId="91" xfId="0" applyNumberFormat="1" applyFont="1" applyBorder="1" applyAlignment="1">
      <alignment horizontal="center" shrinkToFit="1"/>
    </xf>
    <xf numFmtId="0" fontId="1" fillId="0" borderId="91" xfId="0" quotePrefix="1" applyFont="1" applyBorder="1" applyAlignment="1">
      <alignment horizontal="left"/>
    </xf>
    <xf numFmtId="164" fontId="1" fillId="0" borderId="95" xfId="0" applyNumberFormat="1" applyFont="1" applyBorder="1" applyAlignment="1">
      <alignment horizontal="center" shrinkToFit="1"/>
    </xf>
    <xf numFmtId="0" fontId="1" fillId="0" borderId="95" xfId="0" quotePrefix="1" applyFont="1" applyBorder="1" applyAlignment="1">
      <alignment horizontal="left"/>
    </xf>
    <xf numFmtId="1" fontId="1" fillId="0" borderId="50" xfId="0" applyNumberFormat="1" applyFont="1" applyBorder="1" applyAlignment="1">
      <alignment horizontal="center" vertical="center" shrinkToFit="1"/>
    </xf>
    <xf numFmtId="1" fontId="1" fillId="0" borderId="98"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0" fontId="20" fillId="7" borderId="99" xfId="0" applyFont="1" applyFill="1" applyBorder="1" applyAlignment="1">
      <alignment horizontal="center" vertical="center"/>
    </xf>
    <xf numFmtId="0" fontId="1" fillId="0" borderId="0" xfId="0" applyFont="1" applyAlignment="1">
      <alignment vertical="center"/>
    </xf>
    <xf numFmtId="0" fontId="1" fillId="0" borderId="100" xfId="0" applyFont="1" applyBorder="1" applyAlignment="1">
      <alignment horizontal="centerContinuous" vertical="center" shrinkToFit="1"/>
    </xf>
    <xf numFmtId="0" fontId="20" fillId="0" borderId="101" xfId="0" applyFont="1" applyBorder="1" applyAlignment="1">
      <alignment horizontal="centerContinuous" vertical="center"/>
    </xf>
    <xf numFmtId="0" fontId="1" fillId="0" borderId="102" xfId="0" applyFont="1" applyBorder="1" applyAlignment="1">
      <alignment horizontal="centerContinuous" vertical="center"/>
    </xf>
    <xf numFmtId="0" fontId="1" fillId="0" borderId="103" xfId="0" applyFont="1" applyBorder="1" applyAlignment="1">
      <alignment horizontal="centerContinuous" vertical="center" shrinkToFit="1"/>
    </xf>
    <xf numFmtId="0" fontId="20" fillId="0" borderId="78" xfId="0" applyFont="1" applyBorder="1" applyAlignment="1">
      <alignment horizontal="centerContinuous" vertical="center"/>
    </xf>
    <xf numFmtId="164" fontId="1" fillId="0" borderId="75" xfId="0" quotePrefix="1" applyNumberFormat="1" applyFont="1" applyBorder="1" applyAlignment="1">
      <alignment horizontal="centerContinuous" vertical="center"/>
    </xf>
    <xf numFmtId="0" fontId="3" fillId="0" borderId="0" xfId="0" applyFont="1" applyAlignment="1">
      <alignment horizontal="right" vertical="center"/>
    </xf>
    <xf numFmtId="165" fontId="1" fillId="0" borderId="0" xfId="0" applyNumberFormat="1" applyFont="1" applyAlignment="1">
      <alignment horizontal="center" vertical="center"/>
    </xf>
    <xf numFmtId="0" fontId="1" fillId="0" borderId="13" xfId="0" applyFont="1" applyBorder="1" applyAlignment="1">
      <alignment horizontal="center" vertical="center" shrinkToFit="1"/>
    </xf>
    <xf numFmtId="0" fontId="1" fillId="0" borderId="24" xfId="0" quotePrefix="1" applyFont="1" applyBorder="1" applyAlignment="1">
      <alignment horizontal="center" vertical="center"/>
    </xf>
    <xf numFmtId="0" fontId="1" fillId="0" borderId="24" xfId="0" applyFont="1" applyBorder="1" applyAlignment="1">
      <alignment horizontal="center" vertical="center"/>
    </xf>
    <xf numFmtId="9" fontId="1" fillId="0" borderId="24" xfId="0" applyNumberFormat="1" applyFont="1" applyBorder="1" applyAlignment="1">
      <alignment horizontal="center" vertical="center"/>
    </xf>
    <xf numFmtId="49" fontId="1" fillId="0" borderId="24" xfId="0" quotePrefix="1" applyNumberFormat="1" applyFont="1" applyBorder="1" applyAlignment="1">
      <alignment horizontal="center" vertical="center"/>
    </xf>
    <xf numFmtId="164" fontId="4" fillId="0" borderId="24" xfId="0" applyNumberFormat="1" applyFont="1" applyBorder="1" applyAlignment="1">
      <alignment horizontal="center" vertical="center"/>
    </xf>
    <xf numFmtId="164" fontId="1" fillId="0" borderId="25" xfId="0" applyNumberFormat="1" applyFont="1" applyBorder="1" applyAlignment="1">
      <alignment horizontal="centerContinuous" vertical="center"/>
    </xf>
    <xf numFmtId="164" fontId="1" fillId="0" borderId="0" xfId="0" applyNumberFormat="1" applyFont="1" applyAlignment="1">
      <alignment horizontal="centerContinuous" vertical="center"/>
    </xf>
    <xf numFmtId="0" fontId="4" fillId="0" borderId="2" xfId="0" quotePrefix="1" applyFont="1" applyBorder="1" applyAlignment="1">
      <alignment horizontal="centerContinuous" vertical="center"/>
    </xf>
    <xf numFmtId="1" fontId="1" fillId="0" borderId="104" xfId="0" applyNumberFormat="1" applyFont="1" applyBorder="1" applyAlignment="1">
      <alignment horizontal="center" vertical="center"/>
    </xf>
    <xf numFmtId="0" fontId="38" fillId="0" borderId="48" xfId="0" applyFont="1" applyBorder="1" applyAlignment="1">
      <alignment horizontal="center" shrinkToFit="1"/>
    </xf>
    <xf numFmtId="0" fontId="49" fillId="0" borderId="32" xfId="0" applyFont="1" applyBorder="1" applyAlignment="1">
      <alignment horizontal="center" shrinkToFit="1"/>
    </xf>
    <xf numFmtId="0" fontId="51" fillId="0" borderId="29" xfId="0" applyFont="1" applyBorder="1" applyAlignment="1">
      <alignment horizontal="centerContinuous"/>
    </xf>
    <xf numFmtId="0" fontId="1" fillId="0" borderId="0" xfId="0" applyFont="1" applyAlignment="1">
      <alignment horizontal="center" vertical="center"/>
    </xf>
    <xf numFmtId="0" fontId="3" fillId="4" borderId="11" xfId="0" applyFont="1" applyFill="1" applyBorder="1" applyAlignment="1">
      <alignment horizontal="right" vertical="center"/>
    </xf>
    <xf numFmtId="0" fontId="38" fillId="0" borderId="44" xfId="0" applyFont="1" applyBorder="1" applyAlignment="1">
      <alignment horizontal="center" shrinkToFit="1"/>
    </xf>
    <xf numFmtId="2" fontId="1" fillId="0" borderId="98" xfId="0" applyNumberFormat="1" applyFont="1" applyBorder="1" applyAlignment="1">
      <alignment horizontal="center" vertical="center" shrinkToFit="1"/>
    </xf>
    <xf numFmtId="0" fontId="5" fillId="0" borderId="27" xfId="0" applyFont="1" applyBorder="1" applyAlignment="1">
      <alignment horizontal="center" vertical="center"/>
    </xf>
    <xf numFmtId="1" fontId="1" fillId="0" borderId="48" xfId="0" applyNumberFormat="1" applyFont="1" applyBorder="1" applyAlignment="1">
      <alignment horizontal="center" vertical="center"/>
    </xf>
    <xf numFmtId="0" fontId="4" fillId="0" borderId="82" xfId="0" applyFont="1" applyBorder="1" applyAlignment="1">
      <alignment horizontal="left" shrinkToFit="1"/>
    </xf>
    <xf numFmtId="1" fontId="1" fillId="0" borderId="105" xfId="0" applyNumberFormat="1" applyFont="1" applyBorder="1" applyAlignment="1">
      <alignment horizontal="center" vertical="center" shrinkToFit="1"/>
    </xf>
    <xf numFmtId="0" fontId="1" fillId="0" borderId="81" xfId="0" quotePrefix="1" applyFont="1" applyBorder="1" applyAlignment="1">
      <alignment horizontal="left"/>
    </xf>
    <xf numFmtId="0" fontId="1" fillId="0" borderId="81" xfId="0" applyFont="1" applyBorder="1" applyAlignment="1">
      <alignment horizontal="left"/>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07" xfId="0" quotePrefix="1" applyFont="1" applyBorder="1" applyAlignment="1">
      <alignment horizontal="center" vertical="center" wrapText="1"/>
    </xf>
    <xf numFmtId="49" fontId="1" fillId="0" borderId="107" xfId="2" applyNumberFormat="1" applyFont="1" applyFill="1" applyBorder="1" applyAlignment="1">
      <alignment horizontal="center" vertical="center"/>
    </xf>
    <xf numFmtId="0" fontId="1" fillId="0" borderId="107" xfId="0" applyFont="1" applyBorder="1" applyAlignment="1">
      <alignment horizontal="center" vertical="center" shrinkToFit="1"/>
    </xf>
    <xf numFmtId="164" fontId="4" fillId="0" borderId="108" xfId="0" applyNumberFormat="1" applyFont="1" applyBorder="1" applyAlignment="1">
      <alignment horizontal="center" vertical="center"/>
    </xf>
    <xf numFmtId="1" fontId="48" fillId="8" borderId="108" xfId="0" applyNumberFormat="1" applyFont="1" applyFill="1" applyBorder="1" applyAlignment="1">
      <alignment horizontal="center" vertical="center"/>
    </xf>
    <xf numFmtId="1" fontId="1" fillId="0" borderId="108" xfId="0" applyNumberFormat="1" applyFont="1" applyBorder="1" applyAlignment="1">
      <alignment horizontal="center" vertical="center"/>
    </xf>
    <xf numFmtId="0" fontId="1" fillId="0" borderId="26" xfId="0" quotePrefix="1" applyFont="1" applyBorder="1" applyAlignment="1">
      <alignment horizontal="center" vertical="center"/>
    </xf>
    <xf numFmtId="164" fontId="1" fillId="0" borderId="109" xfId="0" applyNumberFormat="1" applyFont="1" applyBorder="1" applyAlignment="1">
      <alignment horizontal="center" vertical="center"/>
    </xf>
    <xf numFmtId="1" fontId="1" fillId="0" borderId="105" xfId="0" applyNumberFormat="1" applyFont="1" applyBorder="1" applyAlignment="1">
      <alignment horizontal="center" vertical="center"/>
    </xf>
    <xf numFmtId="1" fontId="1" fillId="0" borderId="50" xfId="0" applyNumberFormat="1" applyFont="1" applyBorder="1" applyAlignment="1">
      <alignment horizontal="center" vertical="center"/>
    </xf>
    <xf numFmtId="164" fontId="1" fillId="9" borderId="107"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111" xfId="0" quotePrefix="1" applyFont="1" applyBorder="1" applyAlignment="1">
      <alignment horizontal="center" vertical="center" wrapText="1"/>
    </xf>
    <xf numFmtId="49" fontId="1" fillId="0" borderId="111" xfId="2" applyNumberFormat="1" applyFont="1" applyFill="1" applyBorder="1" applyAlignment="1">
      <alignment horizontal="center" vertical="center"/>
    </xf>
    <xf numFmtId="0" fontId="1" fillId="0" borderId="111" xfId="0" applyFont="1" applyBorder="1" applyAlignment="1">
      <alignment horizontal="center" vertical="center" shrinkToFit="1"/>
    </xf>
    <xf numFmtId="164" fontId="4" fillId="0" borderId="112" xfId="0" applyNumberFormat="1" applyFont="1" applyBorder="1" applyAlignment="1">
      <alignment horizontal="center" vertical="center"/>
    </xf>
    <xf numFmtId="1" fontId="48" fillId="8" borderId="112" xfId="0" applyNumberFormat="1" applyFont="1" applyFill="1" applyBorder="1" applyAlignment="1">
      <alignment horizontal="center" vertical="center"/>
    </xf>
    <xf numFmtId="1" fontId="1" fillId="0" borderId="112" xfId="0" applyNumberFormat="1" applyFont="1" applyBorder="1" applyAlignment="1">
      <alignment horizontal="center" vertical="center"/>
    </xf>
    <xf numFmtId="0" fontId="1" fillId="0" borderId="113" xfId="0" quotePrefix="1" applyFont="1" applyBorder="1" applyAlignment="1">
      <alignment horizontal="center" vertical="center"/>
    </xf>
    <xf numFmtId="0" fontId="1" fillId="0" borderId="13" xfId="0" applyFont="1" applyBorder="1" applyAlignment="1">
      <alignment horizontal="center" vertical="center"/>
    </xf>
    <xf numFmtId="0" fontId="1" fillId="0" borderId="24" xfId="0" quotePrefix="1" applyFont="1" applyBorder="1" applyAlignment="1">
      <alignment horizontal="center" vertical="center" wrapText="1"/>
    </xf>
    <xf numFmtId="49" fontId="1" fillId="0" borderId="24" xfId="2" applyNumberFormat="1" applyFont="1" applyFill="1" applyBorder="1" applyAlignment="1">
      <alignment horizontal="center" vertical="center"/>
    </xf>
    <xf numFmtId="0" fontId="1" fillId="0" borderId="24" xfId="0" applyFont="1" applyBorder="1" applyAlignment="1">
      <alignment horizontal="center" vertical="center" shrinkToFit="1"/>
    </xf>
    <xf numFmtId="164" fontId="4" fillId="0" borderId="25" xfId="0" applyNumberFormat="1" applyFont="1" applyBorder="1" applyAlignment="1">
      <alignment horizontal="center" vertical="center"/>
    </xf>
    <xf numFmtId="1" fontId="48" fillId="8" borderId="25" xfId="0" applyNumberFormat="1" applyFont="1" applyFill="1" applyBorder="1" applyAlignment="1">
      <alignment horizontal="center" vertical="center"/>
    </xf>
    <xf numFmtId="1" fontId="1" fillId="0" borderId="25" xfId="0" applyNumberFormat="1" applyFont="1" applyBorder="1" applyAlignment="1">
      <alignment horizontal="center" vertical="center"/>
    </xf>
    <xf numFmtId="0" fontId="1" fillId="0" borderId="114" xfId="0" applyFont="1" applyBorder="1" applyAlignment="1">
      <alignment horizontal="center" vertical="center"/>
    </xf>
    <xf numFmtId="0" fontId="1" fillId="0" borderId="26" xfId="0" applyFont="1" applyBorder="1" applyAlignment="1">
      <alignment horizontal="center" vertical="center"/>
    </xf>
    <xf numFmtId="0" fontId="1" fillId="0" borderId="42" xfId="0" applyFont="1" applyBorder="1" applyAlignment="1">
      <alignment horizontal="center" vertical="center"/>
    </xf>
    <xf numFmtId="0" fontId="4" fillId="0" borderId="42" xfId="0" quotePrefix="1" applyFont="1" applyBorder="1" applyAlignment="1">
      <alignment horizontal="center" vertical="center" wrapText="1"/>
    </xf>
    <xf numFmtId="49" fontId="1" fillId="0" borderId="42" xfId="2" applyNumberFormat="1" applyFont="1" applyBorder="1" applyAlignment="1">
      <alignment horizontal="center" vertical="center"/>
    </xf>
    <xf numFmtId="0" fontId="1" fillId="0" borderId="42" xfId="0" applyFont="1" applyBorder="1" applyAlignment="1">
      <alignment horizontal="center" vertical="center" shrinkToFit="1"/>
    </xf>
    <xf numFmtId="1" fontId="1" fillId="0" borderId="43" xfId="0" applyNumberFormat="1" applyFont="1" applyBorder="1" applyAlignment="1">
      <alignment horizontal="center" vertical="center"/>
    </xf>
    <xf numFmtId="164" fontId="1" fillId="9" borderId="42" xfId="0" applyNumberFormat="1" applyFont="1" applyFill="1" applyBorder="1" applyAlignment="1">
      <alignment horizontal="center" vertical="center"/>
    </xf>
    <xf numFmtId="0" fontId="54" fillId="0" borderId="32" xfId="0" applyFont="1" applyBorder="1" applyAlignment="1">
      <alignment horizontal="center" vertical="center" shrinkToFit="1"/>
    </xf>
    <xf numFmtId="0" fontId="1" fillId="9" borderId="107" xfId="0" applyFont="1" applyFill="1" applyBorder="1" applyAlignment="1">
      <alignment horizontal="center" vertical="center"/>
    </xf>
    <xf numFmtId="49" fontId="1" fillId="9" borderId="107" xfId="2" applyNumberFormat="1" applyFont="1" applyFill="1" applyBorder="1" applyAlignment="1">
      <alignment horizontal="center" vertical="center"/>
    </xf>
    <xf numFmtId="0" fontId="1" fillId="9" borderId="107" xfId="0" applyFont="1" applyFill="1" applyBorder="1" applyAlignment="1">
      <alignment horizontal="center" vertical="center" shrinkToFit="1"/>
    </xf>
    <xf numFmtId="0" fontId="1" fillId="9" borderId="114" xfId="0" quotePrefix="1" applyFont="1" applyFill="1" applyBorder="1" applyAlignment="1">
      <alignment horizontal="center" vertical="center"/>
    </xf>
    <xf numFmtId="0" fontId="55" fillId="2" borderId="52" xfId="0" applyFont="1" applyFill="1" applyBorder="1" applyAlignment="1">
      <alignment horizontal="right"/>
    </xf>
    <xf numFmtId="0" fontId="55" fillId="2" borderId="53" xfId="0" applyFont="1" applyFill="1" applyBorder="1" applyAlignment="1">
      <alignment horizontal="left"/>
    </xf>
    <xf numFmtId="49" fontId="15" fillId="0" borderId="0" xfId="0" applyNumberFormat="1" applyFont="1"/>
    <xf numFmtId="49" fontId="16" fillId="0" borderId="30" xfId="0" applyNumberFormat="1" applyFont="1" applyBorder="1" applyAlignment="1">
      <alignment horizontal="center" shrinkToFit="1"/>
    </xf>
    <xf numFmtId="0" fontId="5" fillId="4" borderId="13" xfId="0" applyFont="1" applyFill="1" applyBorder="1" applyAlignment="1">
      <alignment horizontal="right"/>
    </xf>
    <xf numFmtId="0" fontId="5" fillId="4" borderId="115" xfId="0" applyFont="1" applyFill="1" applyBorder="1" applyAlignment="1">
      <alignment horizontal="right"/>
    </xf>
    <xf numFmtId="49" fontId="6" fillId="0" borderId="26" xfId="0" applyNumberFormat="1" applyFont="1" applyBorder="1" applyAlignment="1">
      <alignment horizontal="center"/>
    </xf>
    <xf numFmtId="1" fontId="6" fillId="0" borderId="61" xfId="0" applyNumberFormat="1" applyFont="1" applyBorder="1" applyAlignment="1">
      <alignment horizontal="center"/>
    </xf>
    <xf numFmtId="1" fontId="6" fillId="0" borderId="25" xfId="0" applyNumberFormat="1" applyFont="1" applyBorder="1" applyAlignment="1">
      <alignment horizontal="centerContinuous"/>
    </xf>
    <xf numFmtId="1" fontId="1" fillId="0" borderId="118" xfId="0" applyNumberFormat="1" applyFont="1" applyBorder="1" applyAlignment="1">
      <alignment horizontal="centerContinuous"/>
    </xf>
    <xf numFmtId="0" fontId="1" fillId="0" borderId="15" xfId="0" applyFont="1" applyBorder="1" applyAlignment="1">
      <alignment horizontal="center" vertical="center"/>
    </xf>
    <xf numFmtId="0" fontId="1" fillId="0" borderId="31" xfId="0" applyFont="1" applyBorder="1" applyAlignment="1">
      <alignment horizontal="center" vertical="center"/>
    </xf>
    <xf numFmtId="49" fontId="56" fillId="12" borderId="27" xfId="0" applyNumberFormat="1" applyFont="1" applyFill="1" applyBorder="1" applyAlignment="1">
      <alignment horizontal="center"/>
    </xf>
    <xf numFmtId="164" fontId="1" fillId="9" borderId="24" xfId="0" applyNumberFormat="1" applyFont="1" applyFill="1" applyBorder="1" applyAlignment="1">
      <alignment horizontal="center" vertical="center"/>
    </xf>
    <xf numFmtId="1" fontId="1" fillId="9" borderId="104" xfId="0" applyNumberFormat="1" applyFont="1" applyFill="1" applyBorder="1" applyAlignment="1">
      <alignment horizontal="center" vertical="center"/>
    </xf>
    <xf numFmtId="1" fontId="1" fillId="9" borderId="50" xfId="0" applyNumberFormat="1" applyFont="1" applyFill="1" applyBorder="1" applyAlignment="1">
      <alignment horizontal="center" vertical="center"/>
    </xf>
    <xf numFmtId="1" fontId="1" fillId="9" borderId="49" xfId="0" applyNumberFormat="1" applyFont="1" applyFill="1" applyBorder="1" applyAlignment="1">
      <alignment horizontal="center" vertical="center"/>
    </xf>
    <xf numFmtId="164" fontId="1" fillId="9" borderId="109" xfId="0" applyNumberFormat="1" applyFont="1" applyFill="1" applyBorder="1" applyAlignment="1">
      <alignment horizontal="center" vertical="center"/>
    </xf>
    <xf numFmtId="49" fontId="1" fillId="0" borderId="24" xfId="0" applyNumberFormat="1" applyFont="1" applyBorder="1" applyAlignment="1">
      <alignment horizontal="center" vertical="center"/>
    </xf>
    <xf numFmtId="0" fontId="38" fillId="0" borderId="32" xfId="0" applyFont="1" applyBorder="1" applyAlignment="1">
      <alignment horizontal="centerContinuous"/>
    </xf>
    <xf numFmtId="0" fontId="2" fillId="0" borderId="0" xfId="0" applyFont="1" applyAlignment="1">
      <alignment vertical="center"/>
    </xf>
    <xf numFmtId="0" fontId="43" fillId="4" borderId="83" xfId="0" applyFont="1" applyFill="1" applyBorder="1" applyAlignment="1">
      <alignment horizontal="right" vertical="center"/>
    </xf>
    <xf numFmtId="49" fontId="6" fillId="0" borderId="12" xfId="0" applyNumberFormat="1" applyFont="1" applyBorder="1" applyAlignment="1">
      <alignment horizontal="center" vertical="center"/>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164" fontId="1" fillId="0" borderId="81" xfId="0" applyNumberFormat="1" applyFont="1" applyBorder="1" applyAlignment="1">
      <alignment horizontal="center" vertical="center" shrinkToFit="1"/>
    </xf>
    <xf numFmtId="0" fontId="1" fillId="0" borderId="81" xfId="0" applyFont="1" applyBorder="1" applyAlignment="1">
      <alignment horizontal="left" vertical="center"/>
    </xf>
    <xf numFmtId="0" fontId="1" fillId="0" borderId="82" xfId="0" applyFont="1" applyBorder="1" applyAlignment="1">
      <alignment horizontal="left" vertical="center" shrinkToFit="1"/>
    </xf>
    <xf numFmtId="49" fontId="6" fillId="0" borderId="25" xfId="0" applyNumberFormat="1" applyFont="1" applyBorder="1" applyAlignment="1">
      <alignment horizontal="center" wrapText="1"/>
    </xf>
    <xf numFmtId="49" fontId="6" fillId="6" borderId="25" xfId="0" applyNumberFormat="1" applyFont="1" applyFill="1" applyBorder="1" applyAlignment="1">
      <alignment horizontal="center" wrapText="1"/>
    </xf>
    <xf numFmtId="49" fontId="6" fillId="9" borderId="25" xfId="0" applyNumberFormat="1" applyFont="1" applyFill="1" applyBorder="1" applyAlignment="1">
      <alignment horizontal="center" wrapText="1"/>
    </xf>
    <xf numFmtId="0" fontId="6" fillId="6" borderId="25" xfId="0" applyFont="1" applyFill="1" applyBorder="1" applyAlignment="1">
      <alignment horizontal="center" wrapText="1"/>
    </xf>
    <xf numFmtId="1" fontId="6" fillId="6" borderId="25" xfId="0" applyNumberFormat="1" applyFont="1" applyFill="1" applyBorder="1" applyAlignment="1">
      <alignment horizontal="center" wrapText="1"/>
    </xf>
    <xf numFmtId="0" fontId="58" fillId="0" borderId="0" xfId="0" applyFont="1" applyAlignment="1">
      <alignment horizontal="right"/>
    </xf>
    <xf numFmtId="0" fontId="58" fillId="0" borderId="121" xfId="0" applyFont="1" applyBorder="1" applyAlignment="1">
      <alignment horizontal="center"/>
    </xf>
    <xf numFmtId="0" fontId="6" fillId="0" borderId="122" xfId="0" applyFont="1" applyBorder="1" applyAlignment="1">
      <alignment horizontal="center"/>
    </xf>
    <xf numFmtId="0" fontId="6" fillId="0" borderId="123" xfId="0" applyFont="1" applyBorder="1" applyAlignment="1">
      <alignment horizontal="center"/>
    </xf>
    <xf numFmtId="0" fontId="6" fillId="0" borderId="125" xfId="0" applyFont="1" applyBorder="1" applyAlignment="1">
      <alignment horizontal="center"/>
    </xf>
    <xf numFmtId="0" fontId="6" fillId="0" borderId="126" xfId="0" applyFont="1" applyBorder="1" applyAlignment="1">
      <alignment horizontal="center"/>
    </xf>
    <xf numFmtId="0" fontId="6" fillId="0" borderId="13" xfId="0" applyFont="1" applyBorder="1" applyAlignment="1">
      <alignment horizontal="center"/>
    </xf>
    <xf numFmtId="0" fontId="6" fillId="0" borderId="15" xfId="0" applyFont="1" applyBorder="1" applyAlignment="1">
      <alignment horizontal="center"/>
    </xf>
    <xf numFmtId="0" fontId="1" fillId="0" borderId="128" xfId="0" applyFont="1" applyBorder="1" applyAlignment="1">
      <alignment horizontal="centerContinuous" vertical="center" shrinkToFit="1"/>
    </xf>
    <xf numFmtId="0" fontId="20" fillId="0" borderId="129" xfId="0" applyFont="1" applyBorder="1" applyAlignment="1">
      <alignment horizontal="centerContinuous" vertical="center"/>
    </xf>
    <xf numFmtId="0" fontId="1" fillId="0" borderId="109" xfId="0" applyFont="1" applyBorder="1" applyAlignment="1">
      <alignment horizontal="center" vertical="center"/>
    </xf>
    <xf numFmtId="0" fontId="1" fillId="0" borderId="130" xfId="0" applyFont="1" applyBorder="1" applyAlignment="1">
      <alignment horizontal="centerContinuous" vertical="center" shrinkToFit="1"/>
    </xf>
    <xf numFmtId="0" fontId="1" fillId="0" borderId="79" xfId="0" applyFont="1" applyBorder="1" applyAlignment="1">
      <alignment horizontal="centerContinuous" vertical="center" shrinkToFit="1"/>
    </xf>
    <xf numFmtId="0" fontId="52" fillId="0" borderId="19" xfId="0" applyFont="1" applyBorder="1" applyAlignment="1">
      <alignment horizontal="centerContinuous" vertical="center" wrapText="1"/>
    </xf>
    <xf numFmtId="0" fontId="52" fillId="0" borderId="45" xfId="0" applyFont="1" applyBorder="1" applyAlignment="1">
      <alignment horizontal="centerContinuous" vertical="center" wrapText="1"/>
    </xf>
    <xf numFmtId="0" fontId="6" fillId="0" borderId="64" xfId="0" applyFont="1" applyBorder="1" applyAlignment="1">
      <alignment horizontal="centerContinuous"/>
    </xf>
    <xf numFmtId="0" fontId="6" fillId="0" borderId="77" xfId="0" applyFont="1" applyBorder="1" applyAlignment="1">
      <alignment horizontal="centerContinuous"/>
    </xf>
    <xf numFmtId="0" fontId="6" fillId="0" borderId="8" xfId="0" applyFont="1" applyBorder="1" applyAlignment="1">
      <alignment horizontal="centerContinuous"/>
    </xf>
    <xf numFmtId="0" fontId="6" fillId="0" borderId="10" xfId="0" applyFont="1" applyBorder="1" applyAlignment="1">
      <alignment horizontal="centerContinuous"/>
    </xf>
    <xf numFmtId="0" fontId="6" fillId="0" borderId="131" xfId="0" applyFont="1" applyBorder="1" applyAlignment="1">
      <alignment horizontal="centerContinuous"/>
    </xf>
    <xf numFmtId="0" fontId="6" fillId="0" borderId="132" xfId="0" applyFont="1" applyBorder="1" applyAlignment="1">
      <alignment horizontal="centerContinuous"/>
    </xf>
    <xf numFmtId="0" fontId="6" fillId="0" borderId="100" xfId="0" applyFont="1" applyBorder="1" applyAlignment="1">
      <alignment horizontal="centerContinuous"/>
    </xf>
    <xf numFmtId="0" fontId="6" fillId="0" borderId="102" xfId="0" applyFont="1" applyBorder="1" applyAlignment="1">
      <alignment horizontal="centerContinuous"/>
    </xf>
    <xf numFmtId="0" fontId="6" fillId="0" borderId="103" xfId="0" applyFont="1" applyBorder="1" applyAlignment="1">
      <alignment horizontal="centerContinuous"/>
    </xf>
    <xf numFmtId="0" fontId="6" fillId="0" borderId="79" xfId="0" applyFont="1" applyBorder="1" applyAlignment="1">
      <alignment horizontal="centerContinuous"/>
    </xf>
    <xf numFmtId="0" fontId="60" fillId="0" borderId="19" xfId="0" applyFont="1" applyBorder="1" applyAlignment="1">
      <alignment horizontal="centerContinuous" vertical="center" wrapText="1"/>
    </xf>
    <xf numFmtId="0" fontId="60" fillId="0" borderId="45" xfId="0" applyFont="1" applyBorder="1" applyAlignment="1">
      <alignment horizontal="centerContinuous" vertical="center" wrapText="1"/>
    </xf>
    <xf numFmtId="0" fontId="58" fillId="0" borderId="92" xfId="0" applyFont="1" applyBorder="1" applyAlignment="1">
      <alignment horizontal="center"/>
    </xf>
    <xf numFmtId="0" fontId="61" fillId="0" borderId="127" xfId="0" applyFont="1" applyBorder="1" applyAlignment="1">
      <alignment horizontal="center" vertical="center"/>
    </xf>
    <xf numFmtId="0" fontId="61" fillId="0" borderId="124" xfId="0" applyFont="1" applyBorder="1" applyAlignment="1">
      <alignment horizontal="center" vertical="center"/>
    </xf>
    <xf numFmtId="0" fontId="61" fillId="0" borderId="119" xfId="0" applyFont="1" applyBorder="1" applyAlignment="1">
      <alignment horizontal="center" vertical="center"/>
    </xf>
    <xf numFmtId="0" fontId="61" fillId="0" borderId="120" xfId="0" applyFont="1" applyBorder="1" applyAlignment="1">
      <alignment horizontal="center" vertical="center" wrapText="1"/>
    </xf>
    <xf numFmtId="0" fontId="1" fillId="11" borderId="107" xfId="0" quotePrefix="1" applyFont="1" applyFill="1" applyBorder="1" applyAlignment="1">
      <alignment horizontal="center" vertical="center" wrapText="1"/>
    </xf>
    <xf numFmtId="1" fontId="1" fillId="9" borderId="107" xfId="0" applyNumberFormat="1" applyFont="1" applyFill="1" applyBorder="1" applyAlignment="1">
      <alignment horizontal="center" vertical="center"/>
    </xf>
    <xf numFmtId="0" fontId="6" fillId="13" borderId="25" xfId="0" applyFont="1" applyFill="1" applyBorder="1" applyAlignment="1">
      <alignment horizontal="center"/>
    </xf>
    <xf numFmtId="0" fontId="8" fillId="0" borderId="3" xfId="0" quotePrefix="1" applyFont="1" applyBorder="1" applyAlignment="1">
      <alignment horizontal="center"/>
    </xf>
    <xf numFmtId="0" fontId="8" fillId="0" borderId="3" xfId="0" applyFont="1" applyBorder="1" applyAlignment="1">
      <alignment horizontal="center"/>
    </xf>
    <xf numFmtId="0" fontId="6" fillId="0" borderId="23" xfId="0" quotePrefix="1" applyFont="1" applyBorder="1" applyAlignment="1">
      <alignment horizontal="center"/>
    </xf>
    <xf numFmtId="0" fontId="1" fillId="0" borderId="134" xfId="0" applyFont="1" applyBorder="1" applyAlignment="1">
      <alignment horizontal="center" vertical="center"/>
    </xf>
    <xf numFmtId="0" fontId="1" fillId="9" borderId="58" xfId="0" applyFont="1" applyFill="1" applyBorder="1" applyAlignment="1">
      <alignment horizontal="center" vertical="center"/>
    </xf>
    <xf numFmtId="49" fontId="1" fillId="9" borderId="58" xfId="2" applyNumberFormat="1" applyFont="1" applyFill="1" applyBorder="1" applyAlignment="1">
      <alignment horizontal="center" vertical="center"/>
    </xf>
    <xf numFmtId="0" fontId="1" fillId="9" borderId="58" xfId="0" applyFont="1" applyFill="1" applyBorder="1" applyAlignment="1">
      <alignment horizontal="center" vertical="center" shrinkToFit="1"/>
    </xf>
    <xf numFmtId="164" fontId="1" fillId="9" borderId="58" xfId="0" applyNumberFormat="1" applyFont="1" applyFill="1" applyBorder="1" applyAlignment="1">
      <alignment horizontal="center" vertical="center"/>
    </xf>
    <xf numFmtId="164" fontId="1" fillId="9" borderId="14" xfId="0" applyNumberFormat="1" applyFont="1" applyFill="1" applyBorder="1" applyAlignment="1">
      <alignment horizontal="center" vertical="center"/>
    </xf>
    <xf numFmtId="1" fontId="1" fillId="9" borderId="14" xfId="0" applyNumberFormat="1" applyFont="1" applyFill="1" applyBorder="1" applyAlignment="1">
      <alignment horizontal="center" vertical="center"/>
    </xf>
    <xf numFmtId="0" fontId="1" fillId="9" borderId="30" xfId="0" quotePrefix="1" applyFont="1" applyFill="1" applyBorder="1" applyAlignment="1">
      <alignment horizontal="center" vertical="center"/>
    </xf>
    <xf numFmtId="1" fontId="1" fillId="0" borderId="133" xfId="0" applyNumberFormat="1" applyFont="1" applyBorder="1" applyAlignment="1">
      <alignment horizontal="center" vertical="center"/>
    </xf>
    <xf numFmtId="0" fontId="1" fillId="0" borderId="58" xfId="0" applyFont="1" applyBorder="1" applyAlignment="1">
      <alignment horizontal="center" vertical="center"/>
    </xf>
    <xf numFmtId="49" fontId="1" fillId="0" borderId="58" xfId="0" applyNumberFormat="1" applyFont="1" applyBorder="1" applyAlignment="1">
      <alignment horizontal="center" vertical="center"/>
    </xf>
    <xf numFmtId="1" fontId="48" fillId="8" borderId="14" xfId="0" applyNumberFormat="1" applyFont="1" applyFill="1" applyBorder="1" applyAlignment="1">
      <alignment horizontal="center" vertical="center"/>
    </xf>
    <xf numFmtId="1" fontId="1" fillId="0" borderId="14" xfId="0" applyNumberFormat="1" applyFont="1" applyBorder="1" applyAlignment="1">
      <alignment horizontal="center" vertical="center"/>
    </xf>
    <xf numFmtId="1" fontId="1" fillId="0" borderId="49" xfId="0" applyNumberFormat="1" applyFont="1" applyBorder="1" applyAlignment="1">
      <alignment horizontal="center" vertical="center"/>
    </xf>
    <xf numFmtId="164" fontId="4" fillId="0" borderId="14" xfId="0" applyNumberFormat="1" applyFont="1" applyBorder="1" applyAlignment="1">
      <alignment horizontal="center" vertical="center"/>
    </xf>
    <xf numFmtId="0" fontId="1" fillId="0" borderId="30" xfId="0" quotePrefix="1" applyFont="1" applyBorder="1" applyAlignment="1">
      <alignment horizontal="center" vertical="center"/>
    </xf>
    <xf numFmtId="1" fontId="1" fillId="9" borderId="133" xfId="0" applyNumberFormat="1" applyFont="1" applyFill="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Border="1" applyAlignment="1">
      <alignment horizontal="center" vertical="center"/>
    </xf>
    <xf numFmtId="0" fontId="1" fillId="0" borderId="131" xfId="0" applyFont="1" applyBorder="1" applyAlignment="1">
      <alignment horizontal="centerContinuous" vertical="center" shrinkToFit="1"/>
    </xf>
    <xf numFmtId="0" fontId="20" fillId="0" borderId="135" xfId="0" applyFont="1" applyBorder="1" applyAlignment="1">
      <alignment horizontal="centerContinuous" vertical="center"/>
    </xf>
    <xf numFmtId="0" fontId="1" fillId="0" borderId="132" xfId="0" applyFont="1" applyBorder="1" applyAlignment="1">
      <alignment horizontal="centerContinuous" vertical="center"/>
    </xf>
    <xf numFmtId="0" fontId="12" fillId="0" borderId="8" xfId="0" applyFont="1" applyBorder="1"/>
    <xf numFmtId="0" fontId="6" fillId="0" borderId="42" xfId="0" applyFont="1" applyBorder="1" applyAlignment="1">
      <alignment horizontal="center"/>
    </xf>
    <xf numFmtId="49" fontId="23" fillId="0" borderId="42" xfId="0" applyNumberFormat="1" applyFont="1" applyBorder="1" applyAlignment="1">
      <alignment horizontal="center"/>
    </xf>
    <xf numFmtId="0" fontId="23" fillId="0" borderId="43" xfId="0" applyFont="1" applyBorder="1" applyAlignment="1">
      <alignment horizontal="center"/>
    </xf>
    <xf numFmtId="0" fontId="12" fillId="0" borderId="43" xfId="0" applyFont="1" applyBorder="1" applyAlignment="1">
      <alignment horizontal="center"/>
    </xf>
    <xf numFmtId="49" fontId="6" fillId="0" borderId="43" xfId="0" applyNumberFormat="1" applyFont="1" applyBorder="1" applyAlignment="1">
      <alignment horizontal="center" wrapText="1"/>
    </xf>
    <xf numFmtId="49" fontId="6" fillId="0" borderId="43" xfId="0" applyNumberFormat="1" applyFont="1" applyBorder="1" applyAlignment="1">
      <alignment horizontal="center"/>
    </xf>
    <xf numFmtId="0" fontId="6" fillId="0" borderId="31" xfId="0" applyFont="1" applyBorder="1" applyAlignment="1">
      <alignment horizontal="center"/>
    </xf>
    <xf numFmtId="1" fontId="6" fillId="0" borderId="116" xfId="0" applyNumberFormat="1" applyFont="1" applyBorder="1" applyAlignment="1">
      <alignment horizontal="centerContinuous"/>
    </xf>
    <xf numFmtId="1" fontId="1" fillId="0" borderId="117" xfId="0" applyNumberFormat="1" applyFont="1" applyBorder="1" applyAlignment="1">
      <alignment horizontal="centerContinuous"/>
    </xf>
    <xf numFmtId="49" fontId="6" fillId="0" borderId="27" xfId="0" applyNumberFormat="1" applyFont="1" applyBorder="1" applyAlignment="1">
      <alignment horizontal="center"/>
    </xf>
    <xf numFmtId="0" fontId="6" fillId="0" borderId="26" xfId="0" quotePrefix="1" applyFont="1" applyBorder="1" applyAlignment="1">
      <alignment horizontal="center"/>
    </xf>
    <xf numFmtId="0" fontId="20" fillId="3" borderId="33" xfId="0" applyFont="1" applyFill="1" applyBorder="1" applyAlignment="1">
      <alignment horizontal="center" vertical="center"/>
    </xf>
    <xf numFmtId="0" fontId="20" fillId="3" borderId="35" xfId="0" applyFont="1" applyFill="1" applyBorder="1" applyAlignment="1">
      <alignment vertical="center"/>
    </xf>
    <xf numFmtId="0" fontId="1" fillId="0" borderId="36" xfId="0" applyFont="1" applyBorder="1" applyAlignment="1">
      <alignment horizontal="center" vertical="center"/>
    </xf>
    <xf numFmtId="0" fontId="1" fillId="0" borderId="37" xfId="0" applyFont="1" applyBorder="1" applyAlignment="1">
      <alignment horizontal="left" vertical="center" shrinkToFit="1"/>
    </xf>
    <xf numFmtId="0" fontId="4" fillId="0" borderId="36" xfId="0" applyFont="1" applyBorder="1" applyAlignment="1">
      <alignment horizontal="center"/>
    </xf>
    <xf numFmtId="0" fontId="1" fillId="0" borderId="36" xfId="0" quotePrefix="1" applyFont="1" applyBorder="1" applyAlignment="1">
      <alignment horizontal="center"/>
    </xf>
    <xf numFmtId="0" fontId="1" fillId="0" borderId="36" xfId="0" applyFont="1" applyBorder="1" applyAlignment="1">
      <alignment horizontal="center"/>
    </xf>
    <xf numFmtId="0" fontId="4" fillId="0" borderId="38" xfId="0" applyFont="1" applyBorder="1" applyAlignment="1">
      <alignment horizontal="center"/>
    </xf>
    <xf numFmtId="37" fontId="6" fillId="0" borderId="137" xfId="9" applyNumberFormat="1" applyFont="1" applyFill="1" applyBorder="1" applyAlignment="1">
      <alignment horizontal="centerContinuous" vertical="center"/>
    </xf>
    <xf numFmtId="0" fontId="6" fillId="0" borderId="136" xfId="0" applyFont="1" applyBorder="1" applyAlignment="1">
      <alignment horizontal="centerContinuous" vertical="center"/>
    </xf>
    <xf numFmtId="0" fontId="40" fillId="0" borderId="44" xfId="0" applyFont="1" applyBorder="1" applyAlignment="1">
      <alignment horizontal="center" shrinkToFit="1"/>
    </xf>
    <xf numFmtId="0" fontId="38" fillId="0" borderId="105" xfId="0" applyFont="1" applyBorder="1" applyAlignment="1">
      <alignment horizontal="centerContinuous"/>
    </xf>
    <xf numFmtId="0" fontId="63" fillId="0" borderId="0" xfId="0" applyFont="1" applyAlignment="1">
      <alignment horizontal="center" vertical="center"/>
    </xf>
    <xf numFmtId="0" fontId="1" fillId="0" borderId="0" xfId="0" applyFont="1" applyAlignment="1">
      <alignment horizontal="right" vertical="center"/>
    </xf>
    <xf numFmtId="0" fontId="1" fillId="9" borderId="51" xfId="0" applyFont="1" applyFill="1" applyBorder="1" applyAlignment="1">
      <alignment horizontal="center" shrinkToFit="1"/>
    </xf>
    <xf numFmtId="0" fontId="1" fillId="9" borderId="84" xfId="0" applyFont="1" applyFill="1" applyBorder="1" applyAlignment="1">
      <alignment horizontal="center" shrinkToFit="1"/>
    </xf>
    <xf numFmtId="164" fontId="1" fillId="9" borderId="36" xfId="0" applyNumberFormat="1" applyFont="1" applyFill="1" applyBorder="1" applyAlignment="1">
      <alignment horizontal="center" shrinkToFit="1"/>
    </xf>
    <xf numFmtId="0" fontId="63" fillId="2" borderId="53" xfId="0" applyFont="1" applyFill="1" applyBorder="1" applyAlignment="1">
      <alignment horizontal="center"/>
    </xf>
    <xf numFmtId="2" fontId="4" fillId="0" borderId="81" xfId="0" applyNumberFormat="1" applyFont="1" applyBorder="1" applyAlignment="1">
      <alignment horizontal="center" shrinkToFit="1"/>
    </xf>
    <xf numFmtId="0" fontId="1" fillId="14" borderId="138" xfId="0" applyFont="1" applyFill="1" applyBorder="1" applyAlignment="1">
      <alignment horizontal="center" vertical="center"/>
    </xf>
    <xf numFmtId="0" fontId="1" fillId="14" borderId="139" xfId="0" applyFont="1" applyFill="1" applyBorder="1" applyAlignment="1">
      <alignment horizontal="center" vertical="center"/>
    </xf>
    <xf numFmtId="49" fontId="1" fillId="14" borderId="139" xfId="0" applyNumberFormat="1" applyFont="1" applyFill="1" applyBorder="1" applyAlignment="1">
      <alignment horizontal="center" vertical="center"/>
    </xf>
    <xf numFmtId="164" fontId="1" fillId="14" borderId="139" xfId="0" applyNumberFormat="1" applyFont="1" applyFill="1" applyBorder="1" applyAlignment="1">
      <alignment horizontal="center" vertical="center"/>
    </xf>
    <xf numFmtId="164" fontId="1" fillId="14" borderId="140" xfId="0" applyNumberFormat="1" applyFont="1" applyFill="1" applyBorder="1" applyAlignment="1">
      <alignment horizontal="center" vertical="center"/>
    </xf>
    <xf numFmtId="1" fontId="1" fillId="14" borderId="140" xfId="0" applyNumberFormat="1" applyFont="1" applyFill="1" applyBorder="1" applyAlignment="1">
      <alignment horizontal="center" vertical="center"/>
    </xf>
    <xf numFmtId="0" fontId="1" fillId="14" borderId="141" xfId="0" quotePrefix="1" applyFont="1" applyFill="1" applyBorder="1" applyAlignment="1">
      <alignment horizontal="center" vertical="center"/>
    </xf>
    <xf numFmtId="1" fontId="1" fillId="14" borderId="142" xfId="0" applyNumberFormat="1" applyFont="1" applyFill="1" applyBorder="1" applyAlignment="1">
      <alignment horizontal="center" vertical="center"/>
    </xf>
    <xf numFmtId="0" fontId="1" fillId="0" borderId="128" xfId="0" applyFont="1" applyBorder="1" applyAlignment="1">
      <alignment horizontal="center" vertical="center" shrinkToFit="1"/>
    </xf>
    <xf numFmtId="1" fontId="1" fillId="0" borderId="81" xfId="0" applyNumberFormat="1" applyFont="1" applyBorder="1" applyAlignment="1">
      <alignment horizontal="center" vertical="center" shrinkToFit="1"/>
    </xf>
    <xf numFmtId="0" fontId="1" fillId="15" borderId="143" xfId="0" applyFont="1" applyFill="1" applyBorder="1" applyAlignment="1">
      <alignment horizontal="left" vertical="center"/>
    </xf>
    <xf numFmtId="0" fontId="1" fillId="15" borderId="36" xfId="0" applyFont="1" applyFill="1" applyBorder="1" applyAlignment="1">
      <alignment horizontal="left"/>
    </xf>
    <xf numFmtId="164" fontId="1" fillId="15" borderId="67" xfId="0" applyNumberFormat="1" applyFont="1" applyFill="1" applyBorder="1" applyAlignment="1">
      <alignment horizontal="center" vertical="center"/>
    </xf>
    <xf numFmtId="0" fontId="1" fillId="15" borderId="67" xfId="0" applyFont="1" applyFill="1" applyBorder="1" applyAlignment="1">
      <alignment horizontal="center" vertical="center"/>
    </xf>
    <xf numFmtId="164" fontId="1" fillId="0" borderId="74" xfId="0" applyNumberFormat="1" applyFont="1" applyBorder="1" applyAlignment="1">
      <alignment horizontal="center" vertical="center"/>
    </xf>
    <xf numFmtId="164" fontId="1" fillId="0" borderId="111" xfId="0" applyNumberFormat="1" applyFont="1" applyBorder="1" applyAlignment="1">
      <alignment horizontal="center" vertical="center"/>
    </xf>
    <xf numFmtId="0" fontId="1" fillId="15" borderId="37" xfId="0" applyFont="1" applyFill="1" applyBorder="1" applyAlignment="1">
      <alignment horizontal="left" shrinkToFit="1"/>
    </xf>
    <xf numFmtId="1" fontId="6" fillId="0" borderId="25" xfId="0" applyNumberFormat="1" applyFont="1" applyBorder="1" applyAlignment="1">
      <alignment horizontal="center" vertical="center"/>
    </xf>
    <xf numFmtId="0" fontId="6" fillId="0" borderId="92" xfId="0" applyFont="1" applyBorder="1" applyAlignment="1">
      <alignment horizontal="center"/>
    </xf>
    <xf numFmtId="0" fontId="6" fillId="0" borderId="14" xfId="0" applyFont="1" applyBorder="1" applyAlignment="1">
      <alignment horizontal="center" vertical="center"/>
    </xf>
    <xf numFmtId="0" fontId="6" fillId="0" borderId="3" xfId="0" quotePrefix="1" applyFont="1" applyBorder="1" applyAlignment="1">
      <alignment horizontal="center"/>
    </xf>
    <xf numFmtId="0" fontId="4" fillId="0" borderId="25" xfId="0" applyFont="1" applyBorder="1" applyAlignment="1">
      <alignment horizontal="center" vertical="center"/>
    </xf>
    <xf numFmtId="0" fontId="4" fillId="0" borderId="43" xfId="0" applyFont="1" applyBorder="1" applyAlignment="1">
      <alignment horizontal="center" vertical="center"/>
    </xf>
    <xf numFmtId="0" fontId="65" fillId="2" borderId="4" xfId="0" applyFont="1" applyFill="1" applyBorder="1" applyAlignment="1">
      <alignment horizontal="right"/>
    </xf>
  </cellXfs>
  <cellStyles count="10">
    <cellStyle name="Comma" xfId="9"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4" xfId="8" xr:uid="{00000000-0005-0000-0000-000006000000}"/>
    <cellStyle name="Percent" xfId="2" builtinId="5"/>
    <cellStyle name="Percent 2" xfId="3" xr:uid="{00000000-0005-0000-0000-000008000000}"/>
    <cellStyle name="Percent 2 2" xfId="7" xr:uid="{00000000-0005-0000-0000-000009000000}"/>
  </cellStyles>
  <dxfs count="6">
    <dxf>
      <font>
        <color rgb="FFFF0000"/>
      </font>
    </dxf>
    <dxf>
      <font>
        <b/>
        <i val="0"/>
        <color theme="1"/>
      </font>
      <fill>
        <patternFill>
          <bgColor rgb="FF66FF33"/>
        </patternFill>
      </fill>
    </dxf>
    <dxf>
      <font>
        <b/>
        <i val="0"/>
        <color theme="1"/>
      </font>
      <fill>
        <patternFill>
          <bgColor rgb="FF66FF33"/>
        </patternFill>
      </fill>
    </dxf>
    <dxf>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66FF"/>
      <color rgb="FF009900"/>
      <color rgb="FF9933FF"/>
      <color rgb="FF008000"/>
      <color rgb="FF66FF33"/>
      <color rgb="FFCCFFCC"/>
      <color rgb="FFCCFF99"/>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79927</xdr:colOff>
      <xdr:row>1</xdr:row>
      <xdr:rowOff>114300</xdr:rowOff>
    </xdr:from>
    <xdr:to>
      <xdr:col>6</xdr:col>
      <xdr:colOff>861061</xdr:colOff>
      <xdr:row>15</xdr:row>
      <xdr:rowOff>140429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39507" y="487680"/>
          <a:ext cx="1703154" cy="3051269"/>
        </a:xfrm>
        <a:prstGeom prst="rect">
          <a:avLst/>
        </a:prstGeom>
      </xdr:spPr>
    </xdr:pic>
    <xdr:clientData/>
  </xdr:twoCellAnchor>
  <xdr:twoCellAnchor>
    <xdr:from>
      <xdr:col>0</xdr:col>
      <xdr:colOff>57150</xdr:colOff>
      <xdr:row>17</xdr:row>
      <xdr:rowOff>57150</xdr:rowOff>
    </xdr:from>
    <xdr:to>
      <xdr:col>6</xdr:col>
      <xdr:colOff>1276350</xdr:colOff>
      <xdr:row>25</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83821</xdr:colOff>
      <xdr:row>15</xdr:row>
      <xdr:rowOff>53340</xdr:rowOff>
    </xdr:from>
    <xdr:to>
      <xdr:col>6</xdr:col>
      <xdr:colOff>845821</xdr:colOff>
      <xdr:row>16</xdr:row>
      <xdr:rowOff>272414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3401" y="3451860"/>
          <a:ext cx="1684020" cy="4400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anose="02020603050405020304" pitchFamily="18" charset="0"/>
              <a:ea typeface="+mn-ea"/>
              <a:cs typeface="Times New Roman" panose="02020603050405020304" pitchFamily="18" charset="0"/>
            </a:rPr>
            <a:t>Current form</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Times New Roman" panose="02020603050405020304" pitchFamily="18" charset="0"/>
              <a:ea typeface="+mn-ea"/>
              <a:cs typeface="Times New Roman" panose="02020603050405020304" pitchFamily="18" charset="0"/>
            </a:rPr>
            <a:t>Human male</a:t>
          </a:r>
          <a:endParaRPr lang="en-US"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15240</xdr:colOff>
      <xdr:row>0</xdr:row>
      <xdr:rowOff>0</xdr:rowOff>
    </xdr:from>
    <xdr:to>
      <xdr:col>13</xdr:col>
      <xdr:colOff>380531</xdr:colOff>
      <xdr:row>22</xdr:row>
      <xdr:rowOff>68580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738360" y="0"/>
          <a:ext cx="4342931" cy="521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177165</xdr:colOff>
      <xdr:row>1</xdr:row>
      <xdr:rowOff>123825</xdr:rowOff>
    </xdr:from>
    <xdr:to>
      <xdr:col>2</xdr:col>
      <xdr:colOff>217170</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showGridLines="0" tabSelected="1" zoomScaleNormal="100" workbookViewId="0"/>
  </sheetViews>
  <sheetFormatPr defaultColWidth="13" defaultRowHeight="15.6" x14ac:dyDescent="0.3"/>
  <cols>
    <col min="1" max="1" width="15" style="19" customWidth="1"/>
    <col min="2" max="2" width="11" style="20" customWidth="1"/>
    <col min="3" max="3" width="6.296875" style="20" customWidth="1"/>
    <col min="4" max="4" width="13.69921875" style="19" bestFit="1" customWidth="1"/>
    <col min="5" max="5" width="9.8984375" style="20" bestFit="1" customWidth="1"/>
    <col min="6" max="6" width="12.09765625" style="19" customWidth="1"/>
    <col min="7" max="7" width="12.09765625" style="20" customWidth="1"/>
    <col min="8" max="16384" width="13" style="1"/>
  </cols>
  <sheetData>
    <row r="1" spans="1:7" ht="29.4" thickTop="1" thickBot="1" x14ac:dyDescent="0.55000000000000004">
      <c r="A1" s="340" t="s">
        <v>137</v>
      </c>
      <c r="B1" s="341" t="s">
        <v>138</v>
      </c>
      <c r="C1" s="129"/>
      <c r="D1" s="112"/>
      <c r="E1" s="462"/>
      <c r="F1" s="112"/>
      <c r="G1" s="222" t="s">
        <v>286</v>
      </c>
    </row>
    <row r="2" spans="1:7" ht="17.399999999999999" thickTop="1" x14ac:dyDescent="0.3">
      <c r="A2" s="2" t="s">
        <v>242</v>
      </c>
      <c r="B2" s="29" t="s">
        <v>139</v>
      </c>
      <c r="C2" s="29"/>
      <c r="D2" s="4" t="s">
        <v>250</v>
      </c>
      <c r="E2" s="38" t="s">
        <v>273</v>
      </c>
      <c r="F2"/>
      <c r="G2" s="5"/>
    </row>
    <row r="3" spans="1:7" ht="16.8" x14ac:dyDescent="0.3">
      <c r="A3" s="2" t="s">
        <v>243</v>
      </c>
      <c r="B3" s="29" t="s">
        <v>72</v>
      </c>
      <c r="C3" s="29"/>
      <c r="D3" s="4" t="s">
        <v>155</v>
      </c>
      <c r="E3" s="38">
        <v>4</v>
      </c>
      <c r="F3" s="4"/>
      <c r="G3" s="5"/>
    </row>
    <row r="4" spans="1:7" ht="16.8" x14ac:dyDescent="0.3">
      <c r="A4" s="2" t="s">
        <v>243</v>
      </c>
      <c r="B4" s="29" t="s">
        <v>267</v>
      </c>
      <c r="C4" s="29"/>
      <c r="D4" s="4" t="s">
        <v>155</v>
      </c>
      <c r="E4" s="38">
        <v>3</v>
      </c>
      <c r="F4" s="4"/>
      <c r="G4" s="5"/>
    </row>
    <row r="5" spans="1:7" ht="16.8" x14ac:dyDescent="0.3">
      <c r="A5" s="2" t="s">
        <v>244</v>
      </c>
      <c r="B5" s="29" t="s">
        <v>148</v>
      </c>
      <c r="C5" s="29"/>
      <c r="D5" s="4" t="s">
        <v>251</v>
      </c>
      <c r="E5" s="38">
        <v>27</v>
      </c>
      <c r="F5" s="4"/>
      <c r="G5" s="5"/>
    </row>
    <row r="6" spans="1:7" ht="16.8" x14ac:dyDescent="0.3">
      <c r="A6" s="2" t="s">
        <v>245</v>
      </c>
      <c r="B6" s="29" t="s">
        <v>208</v>
      </c>
      <c r="C6" s="29"/>
      <c r="D6" s="4" t="s">
        <v>252</v>
      </c>
      <c r="E6" s="38" t="s">
        <v>174</v>
      </c>
      <c r="F6" s="4"/>
      <c r="G6" s="5"/>
    </row>
    <row r="7" spans="1:7" ht="17.399999999999999" thickBot="1" x14ac:dyDescent="0.35">
      <c r="A7" s="2" t="s">
        <v>246</v>
      </c>
      <c r="B7" s="29" t="s">
        <v>83</v>
      </c>
      <c r="C7" s="29"/>
      <c r="D7" s="4" t="s">
        <v>253</v>
      </c>
      <c r="E7" s="38" t="s">
        <v>174</v>
      </c>
      <c r="F7" s="4"/>
      <c r="G7" s="5"/>
    </row>
    <row r="8" spans="1:7" ht="17.399999999999999" thickTop="1" x14ac:dyDescent="0.3">
      <c r="A8" s="127" t="s">
        <v>247</v>
      </c>
      <c r="B8" s="441">
        <f>3+2</f>
        <v>5</v>
      </c>
      <c r="C8" s="442"/>
      <c r="D8" s="128" t="s">
        <v>254</v>
      </c>
      <c r="E8" s="347" t="s">
        <v>134</v>
      </c>
      <c r="F8" s="3"/>
      <c r="G8" s="5"/>
    </row>
    <row r="9" spans="1:7" ht="16.8" x14ac:dyDescent="0.3">
      <c r="A9" s="344" t="s">
        <v>248</v>
      </c>
      <c r="B9" s="348" t="str">
        <f>C12</f>
        <v>+4</v>
      </c>
      <c r="C9" s="349"/>
      <c r="D9" s="345" t="s">
        <v>255</v>
      </c>
      <c r="E9" s="346" t="s">
        <v>134</v>
      </c>
      <c r="F9" s="3"/>
      <c r="G9" s="5"/>
    </row>
    <row r="10" spans="1:7" ht="17.399999999999999" thickBot="1" x14ac:dyDescent="0.35">
      <c r="A10" s="289" t="s">
        <v>249</v>
      </c>
      <c r="B10" s="453">
        <v>136000</v>
      </c>
      <c r="C10" s="454"/>
      <c r="D10" s="361" t="s">
        <v>256</v>
      </c>
      <c r="E10" s="362">
        <f>E3+E4+C16+2+1</f>
        <v>12</v>
      </c>
      <c r="F10" s="3"/>
      <c r="G10" s="5"/>
    </row>
    <row r="11" spans="1:7" ht="17.399999999999999" thickTop="1" x14ac:dyDescent="0.3">
      <c r="A11" s="26" t="s">
        <v>241</v>
      </c>
      <c r="B11" s="483">
        <f>11</f>
        <v>11</v>
      </c>
      <c r="C11" s="92" t="str">
        <f t="shared" ref="C11:C16" si="0">IF(B11&gt;9.9,CONCATENATE("+",ROUNDDOWN((B11-10)/2,0)),ROUNDUP((B11-10)/2,0))</f>
        <v>+0</v>
      </c>
      <c r="D11" s="60" t="s">
        <v>257</v>
      </c>
      <c r="E11" s="343" t="s">
        <v>197</v>
      </c>
      <c r="F11" s="3"/>
      <c r="G11" s="5"/>
    </row>
    <row r="12" spans="1:7" ht="16.8" x14ac:dyDescent="0.3">
      <c r="A12" s="6" t="s">
        <v>237</v>
      </c>
      <c r="B12" s="484">
        <f>18</f>
        <v>18</v>
      </c>
      <c r="C12" s="37" t="str">
        <f t="shared" si="0"/>
        <v>+4</v>
      </c>
      <c r="D12" s="61" t="s">
        <v>258</v>
      </c>
      <c r="E12" s="40">
        <f>SUM(Martial!G3:G35)+SUM(Equipment!C3:C29)-SUM(Equipment!C14:C29)</f>
        <v>15.650000000000006</v>
      </c>
      <c r="F12" s="3"/>
      <c r="G12" s="5"/>
    </row>
    <row r="13" spans="1:7" ht="16.8" x14ac:dyDescent="0.3">
      <c r="A13" s="487" t="s">
        <v>236</v>
      </c>
      <c r="B13" s="408">
        <f>12</f>
        <v>12</v>
      </c>
      <c r="C13" s="30" t="str">
        <f t="shared" si="0"/>
        <v>+1</v>
      </c>
      <c r="D13" s="61" t="s">
        <v>259</v>
      </c>
      <c r="E13" s="292">
        <f>ROUNDUP(((E3*6)*0.75)+((E4*6)*0.75)+((E3+E4)*C13),0)</f>
        <v>39</v>
      </c>
      <c r="F13" s="3"/>
      <c r="G13" s="5"/>
    </row>
    <row r="14" spans="1:7" ht="16.8" x14ac:dyDescent="0.3">
      <c r="A14" s="69" t="s">
        <v>239</v>
      </c>
      <c r="B14" s="408">
        <f>14</f>
        <v>14</v>
      </c>
      <c r="C14" s="37" t="str">
        <f t="shared" si="0"/>
        <v>+2</v>
      </c>
      <c r="D14" s="171" t="s">
        <v>260</v>
      </c>
      <c r="E14" s="443">
        <f>10+C12+4</f>
        <v>18</v>
      </c>
      <c r="F14" s="2"/>
      <c r="G14" s="5"/>
    </row>
    <row r="15" spans="1:7" ht="16.8" x14ac:dyDescent="0.3">
      <c r="A15" s="25" t="s">
        <v>238</v>
      </c>
      <c r="B15" s="409">
        <v>14</v>
      </c>
      <c r="C15" s="37" t="str">
        <f t="shared" si="0"/>
        <v>+2</v>
      </c>
      <c r="D15" s="171" t="s">
        <v>261</v>
      </c>
      <c r="E15" s="352">
        <f>E16-C12</f>
        <v>14</v>
      </c>
      <c r="F15" s="3"/>
      <c r="G15" s="5"/>
    </row>
    <row r="16" spans="1:7" ht="17.399999999999999" thickBot="1" x14ac:dyDescent="0.35">
      <c r="A16" s="27" t="s">
        <v>240</v>
      </c>
      <c r="B16" s="410">
        <v>14</v>
      </c>
      <c r="C16" s="31" t="str">
        <f t="shared" si="0"/>
        <v>+2</v>
      </c>
      <c r="D16" s="172" t="s">
        <v>262</v>
      </c>
      <c r="E16" s="39">
        <f>E14+SUM(Martial!B29:B31)</f>
        <v>18</v>
      </c>
      <c r="F16" s="3"/>
      <c r="G16" s="5"/>
    </row>
    <row r="17" spans="1:7" ht="24" thickTop="1" thickBot="1" x14ac:dyDescent="0.45">
      <c r="A17" s="7" t="s">
        <v>16</v>
      </c>
      <c r="B17" s="8"/>
      <c r="C17" s="8"/>
      <c r="D17" s="9"/>
      <c r="E17" s="342"/>
      <c r="F17" s="9"/>
      <c r="G17" s="10"/>
    </row>
    <row r="18" spans="1:7" s="14" customFormat="1" ht="17.399999999999999" thickTop="1" x14ac:dyDescent="0.3">
      <c r="A18" s="11"/>
      <c r="B18" s="12"/>
      <c r="C18" s="12"/>
      <c r="D18" s="12"/>
      <c r="E18" s="12"/>
      <c r="F18" s="12"/>
      <c r="G18" s="13"/>
    </row>
    <row r="19" spans="1:7" s="14" customFormat="1" ht="16.8" x14ac:dyDescent="0.3">
      <c r="A19" s="45"/>
      <c r="B19" s="15"/>
      <c r="C19" s="15"/>
      <c r="D19" s="15"/>
      <c r="E19" s="15"/>
      <c r="F19" s="15"/>
      <c r="G19" s="46"/>
    </row>
    <row r="20" spans="1:7" s="14" customFormat="1" ht="16.8" x14ac:dyDescent="0.3">
      <c r="A20" s="45"/>
      <c r="B20" s="15"/>
      <c r="C20" s="15"/>
      <c r="D20" s="15"/>
      <c r="E20" s="15"/>
      <c r="F20" s="15"/>
      <c r="G20" s="46"/>
    </row>
    <row r="21" spans="1:7" s="14" customFormat="1" ht="16.8" x14ac:dyDescent="0.3">
      <c r="A21" s="45"/>
      <c r="B21" s="15"/>
      <c r="C21" s="15"/>
      <c r="D21" s="15"/>
      <c r="E21" s="15"/>
      <c r="F21" s="15"/>
      <c r="G21" s="46"/>
    </row>
    <row r="22" spans="1:7" s="14" customFormat="1" ht="16.8" x14ac:dyDescent="0.3">
      <c r="A22" s="45"/>
      <c r="B22" s="15"/>
      <c r="C22" s="15"/>
      <c r="D22" s="15"/>
      <c r="E22" s="15"/>
      <c r="F22" s="15"/>
      <c r="G22" s="46"/>
    </row>
    <row r="23" spans="1:7" s="14" customFormat="1" ht="16.8" x14ac:dyDescent="0.3">
      <c r="A23" s="45"/>
      <c r="B23" s="15"/>
      <c r="C23" s="15"/>
      <c r="D23" s="15"/>
      <c r="E23" s="15"/>
      <c r="F23" s="15"/>
      <c r="G23" s="46"/>
    </row>
    <row r="24" spans="1:7" s="14" customFormat="1" ht="16.8" x14ac:dyDescent="0.3">
      <c r="A24" s="45"/>
      <c r="B24" s="15"/>
      <c r="C24" s="15"/>
      <c r="D24" s="15"/>
      <c r="E24" s="15"/>
      <c r="F24" s="15"/>
      <c r="G24" s="46"/>
    </row>
    <row r="25" spans="1:7" s="14" customFormat="1" ht="16.8" x14ac:dyDescent="0.3">
      <c r="A25" s="45"/>
      <c r="B25" s="15"/>
      <c r="C25" s="15"/>
      <c r="D25" s="15"/>
      <c r="E25" s="15"/>
      <c r="F25" s="15"/>
      <c r="G25" s="46"/>
    </row>
    <row r="26" spans="1:7" ht="17.399999999999999" thickBot="1" x14ac:dyDescent="0.35">
      <c r="A26" s="16"/>
      <c r="B26" s="17"/>
      <c r="C26" s="17"/>
      <c r="D26" s="17"/>
      <c r="E26" s="17"/>
      <c r="F26" s="17"/>
      <c r="G26" s="18"/>
    </row>
    <row r="27" spans="1:7" ht="16.2" thickTop="1" x14ac:dyDescent="0.3"/>
  </sheetData>
  <phoneticPr fontId="0" type="noConversion"/>
  <conditionalFormatting sqref="E12">
    <cfRule type="cellIs" dxfId="5" priority="4" stopIfTrue="1" operator="greaterThan">
      <formula>76</formula>
    </cfRule>
    <cfRule type="cellIs" dxfId="4" priority="5" stopIfTrue="1" operator="between">
      <formula>38</formula>
      <formula>76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workbookViewId="0">
      <pane ySplit="2" topLeftCell="A3" activePane="bottomLeft" state="frozen"/>
      <selection pane="bottomLeft" activeCell="A3" sqref="A3"/>
    </sheetView>
  </sheetViews>
  <sheetFormatPr defaultColWidth="13" defaultRowHeight="15.6" x14ac:dyDescent="0.3"/>
  <cols>
    <col min="1" max="1" width="29" style="19" bestFit="1" customWidth="1"/>
    <col min="2" max="2" width="5.8984375" style="19" bestFit="1" customWidth="1"/>
    <col min="3" max="3" width="11.59765625" style="20" hidden="1" customWidth="1"/>
    <col min="4" max="4" width="5.796875" style="20" hidden="1" customWidth="1"/>
    <col min="5" max="5" width="9.19921875" style="20" bestFit="1" customWidth="1"/>
    <col min="6" max="6" width="7.8984375" style="20" bestFit="1" customWidth="1"/>
    <col min="7" max="7" width="6" style="20" bestFit="1" customWidth="1"/>
    <col min="8" max="8" width="5.19921875" style="20" bestFit="1" customWidth="1"/>
    <col min="9" max="9" width="6.8984375" style="20" bestFit="1" customWidth="1"/>
    <col min="10" max="10" width="70.09765625" style="19" bestFit="1" customWidth="1"/>
    <col min="11" max="16384" width="13" style="1"/>
  </cols>
  <sheetData>
    <row r="1" spans="1:10" ht="23.4" thickBot="1" x14ac:dyDescent="0.45">
      <c r="A1" s="28" t="s">
        <v>6</v>
      </c>
      <c r="B1" s="21"/>
      <c r="C1" s="21"/>
      <c r="D1" s="21"/>
      <c r="E1" s="21"/>
      <c r="F1" s="21"/>
      <c r="G1" s="21"/>
      <c r="H1" s="21"/>
      <c r="I1" s="21"/>
      <c r="J1" s="21"/>
    </row>
    <row r="2" spans="1:10" s="153" customFormat="1" ht="34.200000000000003" thickBot="1" x14ac:dyDescent="0.35">
      <c r="A2" s="148" t="s">
        <v>103</v>
      </c>
      <c r="B2" s="149" t="s">
        <v>21</v>
      </c>
      <c r="C2" s="149" t="s">
        <v>23</v>
      </c>
      <c r="D2" s="149" t="s">
        <v>20</v>
      </c>
      <c r="E2" s="150" t="s">
        <v>48</v>
      </c>
      <c r="F2" s="150" t="s">
        <v>24</v>
      </c>
      <c r="G2" s="150" t="s">
        <v>50</v>
      </c>
      <c r="H2" s="151" t="s">
        <v>82</v>
      </c>
      <c r="I2" s="149" t="s">
        <v>62</v>
      </c>
      <c r="J2" s="152" t="s">
        <v>61</v>
      </c>
    </row>
    <row r="3" spans="1:10" s="14" customFormat="1" ht="16.8" x14ac:dyDescent="0.3">
      <c r="A3" s="113" t="s">
        <v>52</v>
      </c>
      <c r="B3" s="114">
        <f>1+3</f>
        <v>4</v>
      </c>
      <c r="C3" s="42" t="s">
        <v>236</v>
      </c>
      <c r="D3" s="42" t="str">
        <f>VLOOKUP(C3,'Personal File'!$A$11:$C$16,3,FALSE)</f>
        <v>+1</v>
      </c>
      <c r="E3" s="125" t="str">
        <f t="shared" ref="E3:E43" si="0">CONCATENATE(LEFT(C3,3)," (",D3,")")</f>
        <v>Con (+1)</v>
      </c>
      <c r="F3" s="42">
        <v>0</v>
      </c>
      <c r="G3" s="115">
        <f t="shared" ref="G3:G5" si="1">B3+D3+F3</f>
        <v>5</v>
      </c>
      <c r="H3" s="116">
        <f t="shared" ref="H3:H43" ca="1" si="2">RANDBETWEEN(1,20)</f>
        <v>19</v>
      </c>
      <c r="I3" s="117">
        <f t="shared" ref="I3:I5" ca="1" si="3">SUM(G3:H3)</f>
        <v>24</v>
      </c>
      <c r="J3" s="44"/>
    </row>
    <row r="4" spans="1:10" s="14" customFormat="1" ht="16.8" x14ac:dyDescent="0.3">
      <c r="A4" s="118" t="s">
        <v>53</v>
      </c>
      <c r="B4" s="114">
        <f>3+3</f>
        <v>6</v>
      </c>
      <c r="C4" s="42" t="s">
        <v>237</v>
      </c>
      <c r="D4" s="42" t="str">
        <f>VLOOKUP(C4,'Personal File'!$A$11:$C$16,3,FALSE)</f>
        <v>+4</v>
      </c>
      <c r="E4" s="100" t="str">
        <f t="shared" si="0"/>
        <v>Dex (+4)</v>
      </c>
      <c r="F4" s="407">
        <f>1</f>
        <v>1</v>
      </c>
      <c r="G4" s="115">
        <f t="shared" si="1"/>
        <v>11</v>
      </c>
      <c r="H4" s="116">
        <f t="shared" ca="1" si="2"/>
        <v>20</v>
      </c>
      <c r="I4" s="117">
        <f t="shared" ca="1" si="3"/>
        <v>31</v>
      </c>
      <c r="J4" s="444" t="s">
        <v>229</v>
      </c>
    </row>
    <row r="5" spans="1:10" s="14" customFormat="1" ht="16.8" x14ac:dyDescent="0.3">
      <c r="A5" s="119" t="s">
        <v>54</v>
      </c>
      <c r="B5" s="120">
        <f>1+1</f>
        <v>2</v>
      </c>
      <c r="C5" s="121" t="s">
        <v>238</v>
      </c>
      <c r="D5" s="121" t="str">
        <f>VLOOKUP(C5,'Personal File'!$A$11:$C$16,3,FALSE)</f>
        <v>+2</v>
      </c>
      <c r="E5" s="126" t="str">
        <f t="shared" si="0"/>
        <v>Wis (+2)</v>
      </c>
      <c r="F5" s="121">
        <f>1</f>
        <v>1</v>
      </c>
      <c r="G5" s="122">
        <f t="shared" si="1"/>
        <v>5</v>
      </c>
      <c r="H5" s="123">
        <f t="shared" ca="1" si="2"/>
        <v>1</v>
      </c>
      <c r="I5" s="124">
        <f t="shared" ca="1" si="3"/>
        <v>6</v>
      </c>
      <c r="J5" s="130" t="s">
        <v>274</v>
      </c>
    </row>
    <row r="6" spans="1:10" s="32" customFormat="1" ht="16.8" x14ac:dyDescent="0.3">
      <c r="A6" s="131" t="s">
        <v>25</v>
      </c>
      <c r="B6" s="42">
        <v>0</v>
      </c>
      <c r="C6" s="132" t="s">
        <v>239</v>
      </c>
      <c r="D6" s="133" t="str">
        <f>VLOOKUP(C6,'Personal File'!$A$11:$C$16,3,FALSE)</f>
        <v>+2</v>
      </c>
      <c r="E6" s="134" t="str">
        <f t="shared" si="0"/>
        <v>Int (+2)</v>
      </c>
      <c r="F6" s="368" t="s">
        <v>49</v>
      </c>
      <c r="G6" s="43">
        <f t="shared" ref="G6:G43" si="4">B6+D6+F6</f>
        <v>2</v>
      </c>
      <c r="H6" s="116">
        <f t="shared" ca="1" si="2"/>
        <v>11</v>
      </c>
      <c r="I6" s="43">
        <f t="shared" ref="I6:I7" ca="1" si="5">SUM(G6:H6)</f>
        <v>13</v>
      </c>
      <c r="J6" s="44"/>
    </row>
    <row r="7" spans="1:10" s="36" customFormat="1" ht="16.8" x14ac:dyDescent="0.3">
      <c r="A7" s="97" t="s">
        <v>26</v>
      </c>
      <c r="B7" s="42">
        <v>0</v>
      </c>
      <c r="C7" s="98" t="s">
        <v>237</v>
      </c>
      <c r="D7" s="99" t="str">
        <f>VLOOKUP(C7,'Personal File'!$A$11:$C$16,3,FALSE)</f>
        <v>+4</v>
      </c>
      <c r="E7" s="100" t="str">
        <f t="shared" si="0"/>
        <v>Dex (+4)</v>
      </c>
      <c r="F7" s="368" t="s">
        <v>77</v>
      </c>
      <c r="G7" s="43">
        <f t="shared" si="4"/>
        <v>6</v>
      </c>
      <c r="H7" s="116">
        <f t="shared" ca="1" si="2"/>
        <v>10</v>
      </c>
      <c r="I7" s="43">
        <f t="shared" ca="1" si="5"/>
        <v>16</v>
      </c>
      <c r="J7" s="44"/>
    </row>
    <row r="8" spans="1:10" s="34" customFormat="1" ht="16.8" x14ac:dyDescent="0.3">
      <c r="A8" s="62" t="s">
        <v>27</v>
      </c>
      <c r="B8" s="63">
        <v>2</v>
      </c>
      <c r="C8" s="64" t="s">
        <v>240</v>
      </c>
      <c r="D8" s="65" t="str">
        <f>VLOOKUP(C8,'Personal File'!$A$11:$C$16,3,FALSE)</f>
        <v>+2</v>
      </c>
      <c r="E8" s="70" t="str">
        <f t="shared" si="0"/>
        <v>Cha (+2)</v>
      </c>
      <c r="F8" s="369" t="s">
        <v>49</v>
      </c>
      <c r="G8" s="66">
        <f t="shared" si="4"/>
        <v>4</v>
      </c>
      <c r="H8" s="116">
        <f t="shared" ca="1" si="2"/>
        <v>13</v>
      </c>
      <c r="I8" s="66">
        <f t="shared" ref="I8:I43" ca="1" si="6">SUM(G8:H8)</f>
        <v>17</v>
      </c>
      <c r="J8" s="67"/>
    </row>
    <row r="9" spans="1:10" s="33" customFormat="1" ht="16.8" x14ac:dyDescent="0.3">
      <c r="A9" s="105" t="s">
        <v>28</v>
      </c>
      <c r="B9" s="42">
        <v>0</v>
      </c>
      <c r="C9" s="106" t="s">
        <v>241</v>
      </c>
      <c r="D9" s="107" t="str">
        <f>VLOOKUP(C9,'Personal File'!$A$11:$C$16,3,FALSE)</f>
        <v>+0</v>
      </c>
      <c r="E9" s="108" t="str">
        <f t="shared" si="0"/>
        <v>Str (+0)</v>
      </c>
      <c r="F9" s="368" t="s">
        <v>77</v>
      </c>
      <c r="G9" s="43">
        <f t="shared" si="4"/>
        <v>2</v>
      </c>
      <c r="H9" s="116">
        <f t="shared" ca="1" si="2"/>
        <v>14</v>
      </c>
      <c r="I9" s="43">
        <f t="shared" ca="1" si="6"/>
        <v>16</v>
      </c>
      <c r="J9" s="44"/>
    </row>
    <row r="10" spans="1:10" s="33" customFormat="1" ht="16.8" x14ac:dyDescent="0.3">
      <c r="A10" s="84" t="s">
        <v>7</v>
      </c>
      <c r="B10" s="42">
        <v>0</v>
      </c>
      <c r="C10" s="85" t="s">
        <v>236</v>
      </c>
      <c r="D10" s="86" t="str">
        <f>VLOOKUP(C10,'Personal File'!$A$11:$C$16,3,FALSE)</f>
        <v>+1</v>
      </c>
      <c r="E10" s="87" t="str">
        <f t="shared" si="0"/>
        <v>Con (+1)</v>
      </c>
      <c r="F10" s="368" t="s">
        <v>49</v>
      </c>
      <c r="G10" s="43">
        <f t="shared" si="4"/>
        <v>1</v>
      </c>
      <c r="H10" s="116">
        <f t="shared" ca="1" si="2"/>
        <v>10</v>
      </c>
      <c r="I10" s="43">
        <f t="shared" ca="1" si="6"/>
        <v>11</v>
      </c>
      <c r="J10" s="44"/>
    </row>
    <row r="11" spans="1:10" s="32" customFormat="1" ht="16.8" x14ac:dyDescent="0.3">
      <c r="A11" s="72" t="s">
        <v>93</v>
      </c>
      <c r="B11" s="63">
        <v>5</v>
      </c>
      <c r="C11" s="73" t="s">
        <v>239</v>
      </c>
      <c r="D11" s="74" t="str">
        <f>VLOOKUP(C11,'Personal File'!$A$11:$C$16,3,FALSE)</f>
        <v>+2</v>
      </c>
      <c r="E11" s="75" t="str">
        <f t="shared" si="0"/>
        <v>Int (+2)</v>
      </c>
      <c r="F11" s="369" t="s">
        <v>49</v>
      </c>
      <c r="G11" s="66">
        <f t="shared" si="4"/>
        <v>7</v>
      </c>
      <c r="H11" s="116">
        <f t="shared" ca="1" si="2"/>
        <v>19</v>
      </c>
      <c r="I11" s="66">
        <f t="shared" ca="1" si="6"/>
        <v>26</v>
      </c>
      <c r="J11" s="67"/>
    </row>
    <row r="12" spans="1:10" s="32" customFormat="1" ht="16.8" x14ac:dyDescent="0.3">
      <c r="A12" s="72" t="s">
        <v>144</v>
      </c>
      <c r="B12" s="63">
        <v>10</v>
      </c>
      <c r="C12" s="73" t="s">
        <v>239</v>
      </c>
      <c r="D12" s="74" t="str">
        <f>VLOOKUP(C12,'Personal File'!$A$11:$C$16,3,FALSE)</f>
        <v>+2</v>
      </c>
      <c r="E12" s="75" t="str">
        <f t="shared" si="0"/>
        <v>Int (+2)</v>
      </c>
      <c r="F12" s="369" t="s">
        <v>169</v>
      </c>
      <c r="G12" s="66">
        <f t="shared" ref="G12" si="7">B12+D12+F12</f>
        <v>15</v>
      </c>
      <c r="H12" s="116">
        <f t="shared" ca="1" si="2"/>
        <v>19</v>
      </c>
      <c r="I12" s="66">
        <f t="shared" ref="I12" ca="1" si="8">SUM(G12:H12)</f>
        <v>34</v>
      </c>
      <c r="J12" s="67" t="s">
        <v>183</v>
      </c>
    </row>
    <row r="13" spans="1:10" s="35" customFormat="1" ht="16.8" x14ac:dyDescent="0.3">
      <c r="A13" s="154" t="s">
        <v>29</v>
      </c>
      <c r="B13" s="155">
        <v>0</v>
      </c>
      <c r="C13" s="156" t="s">
        <v>239</v>
      </c>
      <c r="D13" s="157" t="str">
        <f>VLOOKUP(C13,'Personal File'!$A$11:$C$16,3,FALSE)</f>
        <v>+2</v>
      </c>
      <c r="E13" s="158" t="str">
        <f t="shared" si="0"/>
        <v>Int (+2)</v>
      </c>
      <c r="F13" s="370" t="s">
        <v>49</v>
      </c>
      <c r="G13" s="159">
        <f t="shared" si="4"/>
        <v>2</v>
      </c>
      <c r="H13" s="116">
        <f t="shared" ca="1" si="2"/>
        <v>6</v>
      </c>
      <c r="I13" s="159">
        <f t="shared" ca="1" si="6"/>
        <v>8</v>
      </c>
      <c r="J13" s="161"/>
    </row>
    <row r="14" spans="1:10" s="36" customFormat="1" ht="16.8" x14ac:dyDescent="0.3">
      <c r="A14" s="93" t="s">
        <v>30</v>
      </c>
      <c r="B14" s="42">
        <v>0</v>
      </c>
      <c r="C14" s="94" t="s">
        <v>240</v>
      </c>
      <c r="D14" s="95" t="str">
        <f>VLOOKUP(C14,'Personal File'!$A$11:$C$16,3,FALSE)</f>
        <v>+2</v>
      </c>
      <c r="E14" s="96" t="str">
        <f t="shared" si="0"/>
        <v>Cha (+2)</v>
      </c>
      <c r="F14" s="368" t="s">
        <v>77</v>
      </c>
      <c r="G14" s="43">
        <f t="shared" si="4"/>
        <v>4</v>
      </c>
      <c r="H14" s="116">
        <f t="shared" ca="1" si="2"/>
        <v>15</v>
      </c>
      <c r="I14" s="43">
        <f t="shared" ca="1" si="6"/>
        <v>19</v>
      </c>
      <c r="J14" s="44"/>
    </row>
    <row r="15" spans="1:10" s="36" customFormat="1" ht="16.8" x14ac:dyDescent="0.3">
      <c r="A15" s="72" t="s">
        <v>31</v>
      </c>
      <c r="B15" s="63">
        <v>10</v>
      </c>
      <c r="C15" s="73" t="s">
        <v>239</v>
      </c>
      <c r="D15" s="74" t="str">
        <f>VLOOKUP(C15,'Personal File'!$A$11:$C$16,3,FALSE)</f>
        <v>+2</v>
      </c>
      <c r="E15" s="75" t="str">
        <f t="shared" si="0"/>
        <v>Int (+2)</v>
      </c>
      <c r="F15" s="369" t="s">
        <v>77</v>
      </c>
      <c r="G15" s="66">
        <f t="shared" si="4"/>
        <v>14</v>
      </c>
      <c r="H15" s="116">
        <f t="shared" ca="1" si="2"/>
        <v>3</v>
      </c>
      <c r="I15" s="66">
        <f t="shared" ca="1" si="6"/>
        <v>17</v>
      </c>
      <c r="J15" s="67" t="s">
        <v>172</v>
      </c>
    </row>
    <row r="16" spans="1:10" s="36" customFormat="1" ht="16.8" x14ac:dyDescent="0.3">
      <c r="A16" s="62" t="s">
        <v>32</v>
      </c>
      <c r="B16" s="63">
        <v>2</v>
      </c>
      <c r="C16" s="64" t="s">
        <v>240</v>
      </c>
      <c r="D16" s="65" t="str">
        <f>VLOOKUP(C16,'Personal File'!$A$11:$C$16,3,FALSE)</f>
        <v>+2</v>
      </c>
      <c r="E16" s="70" t="str">
        <f t="shared" si="0"/>
        <v>Cha (+2)</v>
      </c>
      <c r="F16" s="371">
        <f>10+2</f>
        <v>12</v>
      </c>
      <c r="G16" s="66">
        <f t="shared" si="4"/>
        <v>16</v>
      </c>
      <c r="H16" s="116">
        <f t="shared" ca="1" si="2"/>
        <v>2</v>
      </c>
      <c r="I16" s="66">
        <f t="shared" ca="1" si="6"/>
        <v>18</v>
      </c>
      <c r="J16" s="223"/>
    </row>
    <row r="17" spans="1:10" s="36" customFormat="1" ht="16.8" x14ac:dyDescent="0.3">
      <c r="A17" s="97" t="s">
        <v>33</v>
      </c>
      <c r="B17" s="42">
        <v>0</v>
      </c>
      <c r="C17" s="98" t="s">
        <v>237</v>
      </c>
      <c r="D17" s="99" t="str">
        <f>VLOOKUP(C17,'Personal File'!$A$11:$C$16,3,FALSE)</f>
        <v>+4</v>
      </c>
      <c r="E17" s="100" t="str">
        <f t="shared" si="0"/>
        <v>Dex (+4)</v>
      </c>
      <c r="F17" s="368" t="s">
        <v>49</v>
      </c>
      <c r="G17" s="43">
        <f t="shared" si="4"/>
        <v>4</v>
      </c>
      <c r="H17" s="116">
        <f t="shared" ca="1" si="2"/>
        <v>20</v>
      </c>
      <c r="I17" s="43">
        <f t="shared" ca="1" si="6"/>
        <v>24</v>
      </c>
      <c r="J17" s="44"/>
    </row>
    <row r="18" spans="1:10" s="36" customFormat="1" ht="16.8" x14ac:dyDescent="0.3">
      <c r="A18" s="131" t="s">
        <v>34</v>
      </c>
      <c r="B18" s="42">
        <v>0</v>
      </c>
      <c r="C18" s="132" t="s">
        <v>239</v>
      </c>
      <c r="D18" s="133" t="str">
        <f>VLOOKUP(C18,'Personal File'!$A$11:$C$16,3,FALSE)</f>
        <v>+2</v>
      </c>
      <c r="E18" s="134" t="str">
        <f t="shared" si="0"/>
        <v>Int (+2)</v>
      </c>
      <c r="F18" s="368" t="s">
        <v>49</v>
      </c>
      <c r="G18" s="43">
        <f t="shared" si="4"/>
        <v>2</v>
      </c>
      <c r="H18" s="116">
        <f t="shared" ca="1" si="2"/>
        <v>5</v>
      </c>
      <c r="I18" s="43">
        <f t="shared" ca="1" si="6"/>
        <v>7</v>
      </c>
      <c r="J18" s="44"/>
    </row>
    <row r="19" spans="1:10" s="36" customFormat="1" ht="16.8" x14ac:dyDescent="0.3">
      <c r="A19" s="62" t="s">
        <v>35</v>
      </c>
      <c r="B19" s="63">
        <v>2</v>
      </c>
      <c r="C19" s="64" t="s">
        <v>240</v>
      </c>
      <c r="D19" s="65" t="str">
        <f>VLOOKUP(C19,'Personal File'!$A$11:$C$16,3,FALSE)</f>
        <v>+2</v>
      </c>
      <c r="E19" s="70" t="str">
        <f t="shared" si="0"/>
        <v>Cha (+2)</v>
      </c>
      <c r="F19" s="369" t="s">
        <v>77</v>
      </c>
      <c r="G19" s="66">
        <f t="shared" si="4"/>
        <v>6</v>
      </c>
      <c r="H19" s="116">
        <f t="shared" ca="1" si="2"/>
        <v>6</v>
      </c>
      <c r="I19" s="66">
        <f t="shared" ca="1" si="6"/>
        <v>12</v>
      </c>
      <c r="J19" s="67"/>
    </row>
    <row r="20" spans="1:10" s="36" customFormat="1" ht="16.8" x14ac:dyDescent="0.3">
      <c r="A20" s="93" t="s">
        <v>9</v>
      </c>
      <c r="B20" s="42">
        <v>0</v>
      </c>
      <c r="C20" s="94" t="s">
        <v>240</v>
      </c>
      <c r="D20" s="95" t="str">
        <f>VLOOKUP(C20,'Personal File'!$A$11:$C$16,3,FALSE)</f>
        <v>+2</v>
      </c>
      <c r="E20" s="96" t="str">
        <f t="shared" si="0"/>
        <v>Cha (+2)</v>
      </c>
      <c r="F20" s="368" t="s">
        <v>49</v>
      </c>
      <c r="G20" s="43">
        <f t="shared" si="4"/>
        <v>2</v>
      </c>
      <c r="H20" s="116">
        <f t="shared" ca="1" si="2"/>
        <v>19</v>
      </c>
      <c r="I20" s="43">
        <f t="shared" ca="1" si="6"/>
        <v>21</v>
      </c>
      <c r="J20" s="44"/>
    </row>
    <row r="21" spans="1:10" s="36" customFormat="1" ht="16.8" x14ac:dyDescent="0.3">
      <c r="A21" s="101" t="s">
        <v>36</v>
      </c>
      <c r="B21" s="42">
        <v>0</v>
      </c>
      <c r="C21" s="102" t="s">
        <v>238</v>
      </c>
      <c r="D21" s="103" t="str">
        <f>VLOOKUP(C21,'Personal File'!$A$11:$C$16,3,FALSE)</f>
        <v>+2</v>
      </c>
      <c r="E21" s="104" t="str">
        <f t="shared" si="0"/>
        <v>Wis (+2)</v>
      </c>
      <c r="F21" s="368" t="s">
        <v>49</v>
      </c>
      <c r="G21" s="43">
        <f t="shared" si="4"/>
        <v>2</v>
      </c>
      <c r="H21" s="116">
        <f t="shared" ca="1" si="2"/>
        <v>11</v>
      </c>
      <c r="I21" s="43">
        <f t="shared" ca="1" si="6"/>
        <v>13</v>
      </c>
      <c r="J21" s="44"/>
    </row>
    <row r="22" spans="1:10" s="36" customFormat="1" ht="16.8" x14ac:dyDescent="0.3">
      <c r="A22" s="76" t="s">
        <v>37</v>
      </c>
      <c r="B22" s="63">
        <v>1</v>
      </c>
      <c r="C22" s="77" t="s">
        <v>237</v>
      </c>
      <c r="D22" s="78" t="str">
        <f>VLOOKUP(C22,'Personal File'!$A$11:$C$16,3,FALSE)</f>
        <v>+4</v>
      </c>
      <c r="E22" s="79" t="str">
        <f t="shared" si="0"/>
        <v>Dex (+4)</v>
      </c>
      <c r="F22" s="369" t="s">
        <v>49</v>
      </c>
      <c r="G22" s="66">
        <f t="shared" si="4"/>
        <v>5</v>
      </c>
      <c r="H22" s="116">
        <f t="shared" ca="1" si="2"/>
        <v>4</v>
      </c>
      <c r="I22" s="66">
        <f t="shared" ca="1" si="6"/>
        <v>9</v>
      </c>
      <c r="J22" s="223" t="s">
        <v>175</v>
      </c>
    </row>
    <row r="23" spans="1:10" s="36" customFormat="1" ht="16.8" x14ac:dyDescent="0.3">
      <c r="A23" s="93" t="s">
        <v>38</v>
      </c>
      <c r="B23" s="42">
        <v>0</v>
      </c>
      <c r="C23" s="94" t="s">
        <v>240</v>
      </c>
      <c r="D23" s="95" t="str">
        <f>VLOOKUP(C23,'Personal File'!$A$11:$C$16,3,FALSE)</f>
        <v>+2</v>
      </c>
      <c r="E23" s="96" t="str">
        <f t="shared" si="0"/>
        <v>Cha (+2)</v>
      </c>
      <c r="F23" s="368" t="s">
        <v>77</v>
      </c>
      <c r="G23" s="43">
        <f t="shared" si="4"/>
        <v>4</v>
      </c>
      <c r="H23" s="116">
        <f t="shared" ca="1" si="2"/>
        <v>10</v>
      </c>
      <c r="I23" s="43">
        <f t="shared" ca="1" si="6"/>
        <v>14</v>
      </c>
      <c r="J23" s="44"/>
    </row>
    <row r="24" spans="1:10" s="36" customFormat="1" ht="16.8" x14ac:dyDescent="0.3">
      <c r="A24" s="105" t="s">
        <v>39</v>
      </c>
      <c r="B24" s="42">
        <v>0</v>
      </c>
      <c r="C24" s="106" t="s">
        <v>241</v>
      </c>
      <c r="D24" s="107" t="str">
        <f>VLOOKUP(C24,'Personal File'!$A$11:$C$16,3,FALSE)</f>
        <v>+0</v>
      </c>
      <c r="E24" s="108" t="str">
        <f t="shared" si="0"/>
        <v>Str (+0)</v>
      </c>
      <c r="F24" s="481">
        <f>2+6</f>
        <v>8</v>
      </c>
      <c r="G24" s="43">
        <f t="shared" si="4"/>
        <v>8</v>
      </c>
      <c r="H24" s="116">
        <f t="shared" ca="1" si="2"/>
        <v>15</v>
      </c>
      <c r="I24" s="43">
        <f t="shared" ca="1" si="6"/>
        <v>23</v>
      </c>
      <c r="J24" s="44"/>
    </row>
    <row r="25" spans="1:10" s="36" customFormat="1" ht="16.8" x14ac:dyDescent="0.3">
      <c r="A25" s="72" t="s">
        <v>145</v>
      </c>
      <c r="B25" s="63">
        <v>5</v>
      </c>
      <c r="C25" s="73" t="s">
        <v>239</v>
      </c>
      <c r="D25" s="74" t="str">
        <f>VLOOKUP(C25,'Personal File'!$A$11:$C$16,3,FALSE)</f>
        <v>+2</v>
      </c>
      <c r="E25" s="75" t="str">
        <f t="shared" si="0"/>
        <v>Int (+2)</v>
      </c>
      <c r="F25" s="369" t="s">
        <v>49</v>
      </c>
      <c r="G25" s="66">
        <f t="shared" si="4"/>
        <v>7</v>
      </c>
      <c r="H25" s="116">
        <f t="shared" ca="1" si="2"/>
        <v>16</v>
      </c>
      <c r="I25" s="66">
        <f t="shared" ca="1" si="6"/>
        <v>23</v>
      </c>
      <c r="J25" s="67"/>
    </row>
    <row r="26" spans="1:10" s="36" customFormat="1" ht="16.8" x14ac:dyDescent="0.3">
      <c r="A26" s="72" t="s">
        <v>73</v>
      </c>
      <c r="B26" s="63">
        <v>1</v>
      </c>
      <c r="C26" s="73" t="s">
        <v>239</v>
      </c>
      <c r="D26" s="74" t="str">
        <f>VLOOKUP(C26,'Personal File'!$A$11:$C$16,3,FALSE)</f>
        <v>+2</v>
      </c>
      <c r="E26" s="75" t="str">
        <f t="shared" si="0"/>
        <v>Int (+2)</v>
      </c>
      <c r="F26" s="369" t="s">
        <v>49</v>
      </c>
      <c r="G26" s="66">
        <f t="shared" ref="G26" si="9">B26+D26+F26</f>
        <v>3</v>
      </c>
      <c r="H26" s="116">
        <f t="shared" ca="1" si="2"/>
        <v>2</v>
      </c>
      <c r="I26" s="66">
        <f t="shared" ref="I26" ca="1" si="10">SUM(G26:H26)</f>
        <v>5</v>
      </c>
      <c r="J26" s="67"/>
    </row>
    <row r="27" spans="1:10" s="36" customFormat="1" ht="16.8" x14ac:dyDescent="0.3">
      <c r="A27" s="80" t="s">
        <v>40</v>
      </c>
      <c r="B27" s="63">
        <v>5</v>
      </c>
      <c r="C27" s="81" t="s">
        <v>238</v>
      </c>
      <c r="D27" s="82" t="str">
        <f>VLOOKUP(C27,'Personal File'!$A$11:$C$16,3,FALSE)</f>
        <v>+2</v>
      </c>
      <c r="E27" s="83" t="str">
        <f t="shared" si="0"/>
        <v>Wis (+2)</v>
      </c>
      <c r="F27" s="369" t="s">
        <v>49</v>
      </c>
      <c r="G27" s="66">
        <f t="shared" si="4"/>
        <v>7</v>
      </c>
      <c r="H27" s="116">
        <f t="shared" ca="1" si="2"/>
        <v>20</v>
      </c>
      <c r="I27" s="66">
        <f t="shared" ca="1" si="6"/>
        <v>27</v>
      </c>
      <c r="J27" s="67"/>
    </row>
    <row r="28" spans="1:10" s="36" customFormat="1" ht="16.8" x14ac:dyDescent="0.3">
      <c r="A28" s="76" t="s">
        <v>10</v>
      </c>
      <c r="B28" s="63">
        <v>8</v>
      </c>
      <c r="C28" s="77" t="s">
        <v>237</v>
      </c>
      <c r="D28" s="78" t="str">
        <f>VLOOKUP(C28,'Personal File'!$A$11:$C$16,3,FALSE)</f>
        <v>+4</v>
      </c>
      <c r="E28" s="79" t="str">
        <f t="shared" si="0"/>
        <v>Dex (+4)</v>
      </c>
      <c r="F28" s="369" t="s">
        <v>49</v>
      </c>
      <c r="G28" s="66">
        <f t="shared" si="4"/>
        <v>12</v>
      </c>
      <c r="H28" s="116">
        <f t="shared" ca="1" si="2"/>
        <v>19</v>
      </c>
      <c r="I28" s="66">
        <f t="shared" ca="1" si="6"/>
        <v>31</v>
      </c>
      <c r="J28" s="67"/>
    </row>
    <row r="29" spans="1:10" s="36" customFormat="1" ht="16.8" x14ac:dyDescent="0.3">
      <c r="A29" s="76" t="s">
        <v>41</v>
      </c>
      <c r="B29" s="63">
        <v>10</v>
      </c>
      <c r="C29" s="77" t="s">
        <v>237</v>
      </c>
      <c r="D29" s="78" t="str">
        <f>VLOOKUP(C29,'Personal File'!$A$11:$C$16,3,FALSE)</f>
        <v>+4</v>
      </c>
      <c r="E29" s="79" t="str">
        <f t="shared" si="0"/>
        <v>Dex (+4)</v>
      </c>
      <c r="F29" s="372">
        <f>2+5</f>
        <v>7</v>
      </c>
      <c r="G29" s="66">
        <f t="shared" si="4"/>
        <v>21</v>
      </c>
      <c r="H29" s="116">
        <f t="shared" ca="1" si="2"/>
        <v>10</v>
      </c>
      <c r="I29" s="66">
        <f t="shared" ca="1" si="6"/>
        <v>31</v>
      </c>
      <c r="J29" s="67" t="s">
        <v>176</v>
      </c>
    </row>
    <row r="30" spans="1:10" ht="16.8" x14ac:dyDescent="0.3">
      <c r="A30" s="93" t="s">
        <v>85</v>
      </c>
      <c r="B30" s="42">
        <v>0</v>
      </c>
      <c r="C30" s="94" t="s">
        <v>240</v>
      </c>
      <c r="D30" s="95" t="str">
        <f>VLOOKUP(C30,'Personal File'!$A$11:$C$16,3,FALSE)</f>
        <v>+2</v>
      </c>
      <c r="E30" s="96" t="str">
        <f t="shared" si="0"/>
        <v>Cha (+2)</v>
      </c>
      <c r="F30" s="368" t="s">
        <v>49</v>
      </c>
      <c r="G30" s="43">
        <f t="shared" si="4"/>
        <v>2</v>
      </c>
      <c r="H30" s="116">
        <f t="shared" ca="1" si="2"/>
        <v>13</v>
      </c>
      <c r="I30" s="43">
        <f t="shared" ca="1" si="6"/>
        <v>15</v>
      </c>
      <c r="J30" s="44"/>
    </row>
    <row r="31" spans="1:10" ht="16.8" x14ac:dyDescent="0.3">
      <c r="A31" s="162" t="s">
        <v>86</v>
      </c>
      <c r="B31" s="155">
        <v>0</v>
      </c>
      <c r="C31" s="163" t="s">
        <v>238</v>
      </c>
      <c r="D31" s="164" t="str">
        <f>VLOOKUP(C31,'Personal File'!$A$11:$C$16,3,FALSE)</f>
        <v>+2</v>
      </c>
      <c r="E31" s="165" t="str">
        <f t="shared" si="0"/>
        <v>Wis (+2)</v>
      </c>
      <c r="F31" s="370" t="s">
        <v>49</v>
      </c>
      <c r="G31" s="159">
        <f t="shared" si="4"/>
        <v>2</v>
      </c>
      <c r="H31" s="116">
        <f t="shared" ca="1" si="2"/>
        <v>4</v>
      </c>
      <c r="I31" s="159">
        <f t="shared" ca="1" si="6"/>
        <v>6</v>
      </c>
      <c r="J31" s="161"/>
    </row>
    <row r="32" spans="1:10" ht="16.8" x14ac:dyDescent="0.3">
      <c r="A32" s="97" t="s">
        <v>11</v>
      </c>
      <c r="B32" s="42">
        <v>0</v>
      </c>
      <c r="C32" s="98" t="s">
        <v>237</v>
      </c>
      <c r="D32" s="99" t="str">
        <f>VLOOKUP(C32,'Personal File'!$A$11:$C$16,3,FALSE)</f>
        <v>+4</v>
      </c>
      <c r="E32" s="100" t="str">
        <f t="shared" si="0"/>
        <v>Dex (+4)</v>
      </c>
      <c r="F32" s="368" t="s">
        <v>49</v>
      </c>
      <c r="G32" s="43">
        <f t="shared" si="4"/>
        <v>4</v>
      </c>
      <c r="H32" s="116">
        <f t="shared" ca="1" si="2"/>
        <v>15</v>
      </c>
      <c r="I32" s="43">
        <f t="shared" ca="1" si="6"/>
        <v>19</v>
      </c>
      <c r="J32" s="44"/>
    </row>
    <row r="33" spans="1:10" ht="16.8" x14ac:dyDescent="0.3">
      <c r="A33" s="72" t="s">
        <v>12</v>
      </c>
      <c r="B33" s="63">
        <v>4</v>
      </c>
      <c r="C33" s="73" t="s">
        <v>239</v>
      </c>
      <c r="D33" s="74" t="str">
        <f>VLOOKUP(C33,'Personal File'!$A$11:$C$16,3,FALSE)</f>
        <v>+2</v>
      </c>
      <c r="E33" s="75" t="str">
        <f t="shared" si="0"/>
        <v>Int (+2)</v>
      </c>
      <c r="F33" s="369" t="s">
        <v>49</v>
      </c>
      <c r="G33" s="66">
        <f t="shared" si="4"/>
        <v>6</v>
      </c>
      <c r="H33" s="116">
        <f t="shared" ca="1" si="2"/>
        <v>7</v>
      </c>
      <c r="I33" s="66">
        <f t="shared" ca="1" si="6"/>
        <v>13</v>
      </c>
      <c r="J33" s="223" t="s">
        <v>184</v>
      </c>
    </row>
    <row r="34" spans="1:10" ht="16.8" x14ac:dyDescent="0.3">
      <c r="A34" s="101" t="s">
        <v>42</v>
      </c>
      <c r="B34" s="42">
        <v>0</v>
      </c>
      <c r="C34" s="102" t="s">
        <v>238</v>
      </c>
      <c r="D34" s="103" t="str">
        <f>VLOOKUP(C34,'Personal File'!$A$11:$C$16,3,FALSE)</f>
        <v>+2</v>
      </c>
      <c r="E34" s="104" t="str">
        <f t="shared" si="0"/>
        <v>Wis (+2)</v>
      </c>
      <c r="F34" s="368" t="s">
        <v>49</v>
      </c>
      <c r="G34" s="43">
        <f t="shared" si="4"/>
        <v>2</v>
      </c>
      <c r="H34" s="116">
        <f t="shared" ca="1" si="2"/>
        <v>2</v>
      </c>
      <c r="I34" s="43">
        <f t="shared" ca="1" si="6"/>
        <v>4</v>
      </c>
      <c r="J34" s="44"/>
    </row>
    <row r="35" spans="1:10" ht="16.8" x14ac:dyDescent="0.3">
      <c r="A35" s="76" t="s">
        <v>66</v>
      </c>
      <c r="B35" s="63">
        <v>9</v>
      </c>
      <c r="C35" s="77" t="s">
        <v>237</v>
      </c>
      <c r="D35" s="78" t="str">
        <f>VLOOKUP(C35,'Personal File'!$A$11:$C$16,3,FALSE)</f>
        <v>+4</v>
      </c>
      <c r="E35" s="79" t="str">
        <f t="shared" si="0"/>
        <v>Dex (+4)</v>
      </c>
      <c r="F35" s="371">
        <f>2+2</f>
        <v>4</v>
      </c>
      <c r="G35" s="66">
        <f t="shared" si="4"/>
        <v>17</v>
      </c>
      <c r="H35" s="116">
        <f t="shared" ca="1" si="2"/>
        <v>4</v>
      </c>
      <c r="I35" s="66">
        <f t="shared" ca="1" si="6"/>
        <v>21</v>
      </c>
      <c r="J35" s="67" t="s">
        <v>172</v>
      </c>
    </row>
    <row r="36" spans="1:10" ht="16.8" x14ac:dyDescent="0.3">
      <c r="A36" s="154" t="s">
        <v>65</v>
      </c>
      <c r="B36" s="155">
        <v>0</v>
      </c>
      <c r="C36" s="156" t="s">
        <v>239</v>
      </c>
      <c r="D36" s="157" t="str">
        <f>VLOOKUP(C36,'Personal File'!$A$11:$C$16,3,FALSE)</f>
        <v>+2</v>
      </c>
      <c r="E36" s="158" t="str">
        <f t="shared" si="0"/>
        <v>Int (+2)</v>
      </c>
      <c r="F36" s="370" t="s">
        <v>49</v>
      </c>
      <c r="G36" s="159">
        <f t="shared" si="4"/>
        <v>2</v>
      </c>
      <c r="H36" s="116">
        <f t="shared" ca="1" si="2"/>
        <v>10</v>
      </c>
      <c r="I36" s="159">
        <f t="shared" ca="1" si="6"/>
        <v>12</v>
      </c>
      <c r="J36" s="160"/>
    </row>
    <row r="37" spans="1:10" ht="16.8" x14ac:dyDescent="0.3">
      <c r="A37" s="154" t="s">
        <v>43</v>
      </c>
      <c r="B37" s="155">
        <v>0</v>
      </c>
      <c r="C37" s="156" t="s">
        <v>239</v>
      </c>
      <c r="D37" s="157" t="str">
        <f>VLOOKUP(C37,'Personal File'!$A$11:$C$16,3,FALSE)</f>
        <v>+2</v>
      </c>
      <c r="E37" s="158" t="str">
        <f t="shared" si="0"/>
        <v>Int (+2)</v>
      </c>
      <c r="F37" s="370" t="s">
        <v>49</v>
      </c>
      <c r="G37" s="159">
        <f t="shared" si="4"/>
        <v>2</v>
      </c>
      <c r="H37" s="116">
        <f t="shared" ca="1" si="2"/>
        <v>1</v>
      </c>
      <c r="I37" s="159">
        <f t="shared" ca="1" si="6"/>
        <v>3</v>
      </c>
      <c r="J37" s="160"/>
    </row>
    <row r="38" spans="1:10" ht="16.8" x14ac:dyDescent="0.3">
      <c r="A38" s="80" t="s">
        <v>44</v>
      </c>
      <c r="B38" s="63">
        <v>5</v>
      </c>
      <c r="C38" s="81" t="s">
        <v>238</v>
      </c>
      <c r="D38" s="82" t="str">
        <f>VLOOKUP(C38,'Personal File'!$A$11:$C$16,3,FALSE)</f>
        <v>+2</v>
      </c>
      <c r="E38" s="83" t="str">
        <f t="shared" si="0"/>
        <v>Wis (+2)</v>
      </c>
      <c r="F38" s="369" t="s">
        <v>77</v>
      </c>
      <c r="G38" s="66">
        <f t="shared" si="4"/>
        <v>9</v>
      </c>
      <c r="H38" s="116">
        <f t="shared" ca="1" si="2"/>
        <v>2</v>
      </c>
      <c r="I38" s="66">
        <f t="shared" ca="1" si="6"/>
        <v>11</v>
      </c>
      <c r="J38" s="67"/>
    </row>
    <row r="39" spans="1:10" ht="16.8" x14ac:dyDescent="0.3">
      <c r="A39" s="101" t="s">
        <v>67</v>
      </c>
      <c r="B39" s="42">
        <v>0</v>
      </c>
      <c r="C39" s="102" t="s">
        <v>238</v>
      </c>
      <c r="D39" s="103" t="str">
        <f>VLOOKUP(C39,'Personal File'!$A$11:$C$16,3,FALSE)</f>
        <v>+2</v>
      </c>
      <c r="E39" s="104" t="str">
        <f t="shared" si="0"/>
        <v>Wis (+2)</v>
      </c>
      <c r="F39" s="368" t="s">
        <v>49</v>
      </c>
      <c r="G39" s="43">
        <f t="shared" si="4"/>
        <v>2</v>
      </c>
      <c r="H39" s="116">
        <f t="shared" ca="1" si="2"/>
        <v>4</v>
      </c>
      <c r="I39" s="43">
        <f t="shared" ca="1" si="6"/>
        <v>6</v>
      </c>
      <c r="J39" s="44"/>
    </row>
    <row r="40" spans="1:10" ht="16.8" x14ac:dyDescent="0.3">
      <c r="A40" s="105" t="s">
        <v>13</v>
      </c>
      <c r="B40" s="42">
        <v>0</v>
      </c>
      <c r="C40" s="106" t="s">
        <v>241</v>
      </c>
      <c r="D40" s="107" t="str">
        <f>VLOOKUP(C40,'Personal File'!$A$11:$C$16,3,FALSE)</f>
        <v>+0</v>
      </c>
      <c r="E40" s="108" t="str">
        <f t="shared" si="0"/>
        <v>Str (+0)</v>
      </c>
      <c r="F40" s="368" t="s">
        <v>49</v>
      </c>
      <c r="G40" s="43">
        <f t="shared" si="4"/>
        <v>0</v>
      </c>
      <c r="H40" s="116">
        <f t="shared" ca="1" si="2"/>
        <v>15</v>
      </c>
      <c r="I40" s="43">
        <f t="shared" ca="1" si="6"/>
        <v>15</v>
      </c>
      <c r="J40" s="44"/>
    </row>
    <row r="41" spans="1:10" ht="16.8" x14ac:dyDescent="0.3">
      <c r="A41" s="76" t="s">
        <v>45</v>
      </c>
      <c r="B41" s="63">
        <v>5</v>
      </c>
      <c r="C41" s="77" t="s">
        <v>237</v>
      </c>
      <c r="D41" s="78" t="str">
        <f>VLOOKUP(C41,'Personal File'!$A$11:$C$16,3,FALSE)</f>
        <v>+4</v>
      </c>
      <c r="E41" s="79" t="str">
        <f t="shared" si="0"/>
        <v>Dex (+4)</v>
      </c>
      <c r="F41" s="371">
        <f>2+2</f>
        <v>4</v>
      </c>
      <c r="G41" s="66">
        <f t="shared" si="4"/>
        <v>13</v>
      </c>
      <c r="H41" s="116">
        <f t="shared" ca="1" si="2"/>
        <v>2</v>
      </c>
      <c r="I41" s="66">
        <f t="shared" ca="1" si="6"/>
        <v>15</v>
      </c>
      <c r="J41" s="67"/>
    </row>
    <row r="42" spans="1:10" ht="16.8" x14ac:dyDescent="0.3">
      <c r="A42" s="62" t="s">
        <v>46</v>
      </c>
      <c r="B42" s="63">
        <v>10</v>
      </c>
      <c r="C42" s="64" t="s">
        <v>240</v>
      </c>
      <c r="D42" s="65" t="str">
        <f>VLOOKUP(C42,'Personal File'!$A$11:$C$16,3,FALSE)</f>
        <v>+2</v>
      </c>
      <c r="E42" s="70" t="str">
        <f t="shared" si="0"/>
        <v>Cha (+2)</v>
      </c>
      <c r="F42" s="369" t="s">
        <v>49</v>
      </c>
      <c r="G42" s="66">
        <f t="shared" si="4"/>
        <v>12</v>
      </c>
      <c r="H42" s="116">
        <f t="shared" ca="1" si="2"/>
        <v>11</v>
      </c>
      <c r="I42" s="66">
        <f t="shared" ca="1" si="6"/>
        <v>23</v>
      </c>
      <c r="J42" s="67"/>
    </row>
    <row r="43" spans="1:10" ht="17.399999999999999" thickBot="1" x14ac:dyDescent="0.35">
      <c r="A43" s="433" t="s">
        <v>47</v>
      </c>
      <c r="B43" s="434">
        <v>0</v>
      </c>
      <c r="C43" s="435" t="s">
        <v>237</v>
      </c>
      <c r="D43" s="436" t="str">
        <f>VLOOKUP(C43,'Personal File'!$A$11:$C$16,3,FALSE)</f>
        <v>+4</v>
      </c>
      <c r="E43" s="437" t="str">
        <f t="shared" si="0"/>
        <v>Dex (+4)</v>
      </c>
      <c r="F43" s="438" t="s">
        <v>77</v>
      </c>
      <c r="G43" s="439">
        <f t="shared" si="4"/>
        <v>6</v>
      </c>
      <c r="H43" s="135">
        <f t="shared" ca="1" si="2"/>
        <v>1</v>
      </c>
      <c r="I43" s="439">
        <f t="shared" ca="1" si="6"/>
        <v>7</v>
      </c>
      <c r="J43" s="440"/>
    </row>
    <row r="44" spans="1:10" ht="16.2" thickTop="1" x14ac:dyDescent="0.3">
      <c r="B44" s="41">
        <f>SUM(B6:B43)</f>
        <v>94</v>
      </c>
      <c r="E44" s="225">
        <f>SUM(E45:E52)</f>
        <v>94</v>
      </c>
    </row>
    <row r="45" spans="1:10" x14ac:dyDescent="0.3">
      <c r="B45" s="41"/>
      <c r="E45" s="224">
        <f>4*(8+'Personal File'!$C$14)</f>
        <v>40</v>
      </c>
      <c r="F45" s="109" t="s">
        <v>87</v>
      </c>
    </row>
    <row r="46" spans="1:10" x14ac:dyDescent="0.3">
      <c r="E46" s="226">
        <f>8+'Personal File'!$C$14</f>
        <v>10</v>
      </c>
      <c r="F46" s="109" t="s">
        <v>88</v>
      </c>
    </row>
    <row r="47" spans="1:10" x14ac:dyDescent="0.3">
      <c r="E47" s="226">
        <f>8+'Personal File'!$C$14</f>
        <v>10</v>
      </c>
      <c r="F47" s="109" t="s">
        <v>92</v>
      </c>
    </row>
    <row r="48" spans="1:10" x14ac:dyDescent="0.3">
      <c r="E48" s="226">
        <f>8+'Personal File'!$C$14</f>
        <v>10</v>
      </c>
      <c r="F48" s="109" t="s">
        <v>127</v>
      </c>
    </row>
    <row r="49" spans="5:6" x14ac:dyDescent="0.3">
      <c r="E49" s="224">
        <f>6+'Personal File'!$C$14</f>
        <v>8</v>
      </c>
      <c r="F49" s="109" t="s">
        <v>146</v>
      </c>
    </row>
    <row r="50" spans="5:6" x14ac:dyDescent="0.3">
      <c r="E50" s="224">
        <f>6+'Personal File'!$C$14</f>
        <v>8</v>
      </c>
      <c r="F50" s="109" t="s">
        <v>147</v>
      </c>
    </row>
    <row r="51" spans="5:6" x14ac:dyDescent="0.3">
      <c r="E51" s="224">
        <f>6+'Personal File'!$C$14</f>
        <v>8</v>
      </c>
      <c r="F51" s="109" t="s">
        <v>168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showGridLines="0" workbookViewId="0"/>
  </sheetViews>
  <sheetFormatPr defaultColWidth="8.69921875" defaultRowHeight="16.8" x14ac:dyDescent="0.3"/>
  <cols>
    <col min="1" max="1" width="41.8984375" style="90" bestFit="1" customWidth="1"/>
    <col min="2" max="2" width="2.19921875" style="91" customWidth="1"/>
    <col min="3" max="3" width="15.8984375" style="38" bestFit="1" customWidth="1"/>
    <col min="4" max="4" width="13.19921875" style="38" bestFit="1" customWidth="1"/>
    <col min="5" max="5" width="9.296875" style="38" bestFit="1" customWidth="1"/>
    <col min="6" max="6" width="12.296875" style="38" bestFit="1" customWidth="1"/>
    <col min="7" max="7" width="11.69921875" style="38" bestFit="1" customWidth="1"/>
    <col min="8" max="16384" width="8.69921875" style="88"/>
  </cols>
  <sheetData>
    <row r="1" spans="1:7" ht="22.2" thickTop="1" thickBot="1" x14ac:dyDescent="0.45">
      <c r="A1" s="287" t="s">
        <v>71</v>
      </c>
      <c r="B1" s="88"/>
      <c r="C1" s="401" t="s">
        <v>142</v>
      </c>
      <c r="D1" s="402" t="s">
        <v>212</v>
      </c>
      <c r="E1" s="403" t="s">
        <v>216</v>
      </c>
      <c r="F1" s="403" t="s">
        <v>217</v>
      </c>
      <c r="G1" s="404" t="s">
        <v>210</v>
      </c>
    </row>
    <row r="2" spans="1:7" x14ac:dyDescent="0.3">
      <c r="A2" s="111" t="s">
        <v>164</v>
      </c>
      <c r="B2" s="88"/>
      <c r="C2" s="379" t="s">
        <v>143</v>
      </c>
      <c r="D2" s="377">
        <v>15</v>
      </c>
      <c r="E2" s="374" t="s">
        <v>218</v>
      </c>
      <c r="F2" s="374" t="s">
        <v>218</v>
      </c>
      <c r="G2" s="400" t="s">
        <v>218</v>
      </c>
    </row>
    <row r="3" spans="1:7" x14ac:dyDescent="0.3">
      <c r="A3" s="111" t="s">
        <v>165</v>
      </c>
      <c r="B3" s="88"/>
      <c r="C3" s="379" t="s">
        <v>187</v>
      </c>
      <c r="D3" s="377">
        <v>15</v>
      </c>
      <c r="E3" s="374" t="s">
        <v>218</v>
      </c>
      <c r="F3" s="374" t="s">
        <v>218</v>
      </c>
      <c r="G3" s="400" t="s">
        <v>218</v>
      </c>
    </row>
    <row r="4" spans="1:7" x14ac:dyDescent="0.3">
      <c r="A4" s="335" t="s">
        <v>224</v>
      </c>
      <c r="B4" s="88"/>
      <c r="C4" s="379" t="s">
        <v>211</v>
      </c>
      <c r="D4" s="377">
        <v>15</v>
      </c>
      <c r="E4" s="374" t="s">
        <v>218</v>
      </c>
      <c r="F4" s="374" t="s">
        <v>218</v>
      </c>
      <c r="G4" s="400" t="s">
        <v>218</v>
      </c>
    </row>
    <row r="5" spans="1:7" x14ac:dyDescent="0.3">
      <c r="A5" s="335" t="s">
        <v>264</v>
      </c>
      <c r="B5" s="88"/>
      <c r="C5" s="379" t="s">
        <v>213</v>
      </c>
      <c r="D5" s="377">
        <v>17</v>
      </c>
      <c r="E5" s="374" t="s">
        <v>218</v>
      </c>
      <c r="F5" s="374" t="s">
        <v>218</v>
      </c>
      <c r="G5" s="400" t="s">
        <v>218</v>
      </c>
    </row>
    <row r="6" spans="1:7" x14ac:dyDescent="0.3">
      <c r="A6" s="111" t="s">
        <v>166</v>
      </c>
      <c r="B6" s="88"/>
      <c r="C6" s="379" t="s">
        <v>214</v>
      </c>
      <c r="D6" s="377">
        <v>17</v>
      </c>
      <c r="E6" s="374" t="s">
        <v>218</v>
      </c>
      <c r="F6" s="374" t="s">
        <v>218</v>
      </c>
      <c r="G6" s="400" t="s">
        <v>218</v>
      </c>
    </row>
    <row r="7" spans="1:7" ht="20.399999999999999" x14ac:dyDescent="0.45">
      <c r="A7" s="359" t="s">
        <v>177</v>
      </c>
      <c r="B7" s="88"/>
      <c r="C7" s="379" t="s">
        <v>171</v>
      </c>
      <c r="D7" s="377">
        <v>19</v>
      </c>
      <c r="E7" s="374" t="s">
        <v>218</v>
      </c>
      <c r="F7" s="374" t="s">
        <v>218</v>
      </c>
      <c r="G7" s="482" t="s">
        <v>289</v>
      </c>
    </row>
    <row r="8" spans="1:7" ht="20.399999999999999" x14ac:dyDescent="0.45">
      <c r="A8" s="456" t="s">
        <v>202</v>
      </c>
      <c r="B8" s="88"/>
      <c r="C8" s="379" t="s">
        <v>170</v>
      </c>
      <c r="D8" s="377">
        <v>19</v>
      </c>
      <c r="E8" s="374" t="s">
        <v>218</v>
      </c>
      <c r="F8" s="374" t="s">
        <v>218</v>
      </c>
      <c r="G8" s="482" t="s">
        <v>289</v>
      </c>
    </row>
    <row r="9" spans="1:7" ht="21" thickBot="1" x14ac:dyDescent="0.5">
      <c r="A9" s="290" t="s">
        <v>271</v>
      </c>
      <c r="B9" s="88"/>
      <c r="C9" s="379" t="s">
        <v>178</v>
      </c>
      <c r="D9" s="377">
        <v>21</v>
      </c>
      <c r="E9" s="374" t="s">
        <v>218</v>
      </c>
      <c r="F9" s="374" t="s">
        <v>218</v>
      </c>
      <c r="G9" s="482" t="s">
        <v>292</v>
      </c>
    </row>
    <row r="10" spans="1:7" ht="21.6" thickTop="1" thickBot="1" x14ac:dyDescent="0.5">
      <c r="B10" s="88"/>
      <c r="C10" s="379" t="s">
        <v>215</v>
      </c>
      <c r="D10" s="377">
        <v>21</v>
      </c>
      <c r="E10" s="374" t="s">
        <v>218</v>
      </c>
      <c r="F10" s="374" t="s">
        <v>218</v>
      </c>
      <c r="G10" s="482" t="s">
        <v>291</v>
      </c>
    </row>
    <row r="11" spans="1:7" ht="22.8" thickTop="1" thickBot="1" x14ac:dyDescent="0.5">
      <c r="A11" s="287" t="s">
        <v>161</v>
      </c>
      <c r="B11" s="88"/>
      <c r="C11" s="380" t="s">
        <v>186</v>
      </c>
      <c r="D11" s="378">
        <v>23</v>
      </c>
      <c r="E11" s="375" t="s">
        <v>289</v>
      </c>
      <c r="F11" s="375" t="s">
        <v>289</v>
      </c>
      <c r="G11" s="376" t="s">
        <v>290</v>
      </c>
    </row>
    <row r="12" spans="1:7" x14ac:dyDescent="0.3">
      <c r="A12" s="285" t="s">
        <v>75</v>
      </c>
      <c r="C12" s="373" t="s">
        <v>218</v>
      </c>
      <c r="D12" s="15" t="s">
        <v>209</v>
      </c>
    </row>
    <row r="13" spans="1:7" ht="17.399999999999999" thickBot="1" x14ac:dyDescent="0.35">
      <c r="A13" s="89" t="s">
        <v>270</v>
      </c>
    </row>
    <row r="14" spans="1:7" ht="22.2" thickTop="1" thickBot="1" x14ac:dyDescent="0.35">
      <c r="A14" s="111" t="str">
        <f>CONCATENATE("Trap Sense +",2+2)</f>
        <v>Trap Sense +4</v>
      </c>
      <c r="C14" s="398" t="s">
        <v>68</v>
      </c>
      <c r="D14" s="399"/>
      <c r="F14" s="386" t="s">
        <v>57</v>
      </c>
      <c r="G14" s="387"/>
    </row>
    <row r="15" spans="1:7" x14ac:dyDescent="0.3">
      <c r="A15" s="89" t="s">
        <v>268</v>
      </c>
      <c r="C15" s="392" t="s">
        <v>84</v>
      </c>
      <c r="D15" s="393"/>
      <c r="F15" s="388" t="s">
        <v>141</v>
      </c>
      <c r="G15" s="389"/>
    </row>
    <row r="16" spans="1:7" ht="17.399999999999999" thickBot="1" x14ac:dyDescent="0.35">
      <c r="A16" s="89" t="s">
        <v>198</v>
      </c>
      <c r="C16" s="394" t="s">
        <v>125</v>
      </c>
      <c r="D16" s="395"/>
      <c r="F16" s="390" t="s">
        <v>149</v>
      </c>
      <c r="G16" s="391"/>
    </row>
    <row r="17" spans="1:4" ht="18" thickTop="1" thickBot="1" x14ac:dyDescent="0.35">
      <c r="A17" s="89" t="s">
        <v>263</v>
      </c>
      <c r="C17" s="396" t="s">
        <v>89</v>
      </c>
      <c r="D17" s="397"/>
    </row>
    <row r="18" spans="1:4" ht="17.399999999999999" thickTop="1" x14ac:dyDescent="0.3">
      <c r="A18" s="111" t="s">
        <v>185</v>
      </c>
    </row>
    <row r="19" spans="1:4" x14ac:dyDescent="0.3">
      <c r="A19" s="111" t="s">
        <v>76</v>
      </c>
    </row>
    <row r="20" spans="1:4" x14ac:dyDescent="0.3">
      <c r="A20" s="111" t="s">
        <v>167</v>
      </c>
    </row>
    <row r="21" spans="1:4" x14ac:dyDescent="0.3">
      <c r="A21" s="111" t="s">
        <v>281</v>
      </c>
    </row>
    <row r="22" spans="1:4" x14ac:dyDescent="0.3">
      <c r="A22" s="111" t="s">
        <v>179</v>
      </c>
    </row>
    <row r="23" spans="1:4" x14ac:dyDescent="0.3">
      <c r="A23" s="286" t="s">
        <v>140</v>
      </c>
    </row>
    <row r="24" spans="1:4" ht="17.399999999999999" thickBot="1" x14ac:dyDescent="0.35">
      <c r="A24" s="455" t="s">
        <v>188</v>
      </c>
    </row>
    <row r="25" spans="1:4" ht="17.399999999999999" thickTop="1" x14ac:dyDescent="0.3"/>
    <row r="26" spans="1:4" x14ac:dyDescent="0.3">
      <c r="A26" s="88"/>
    </row>
  </sheetData>
  <sortState xmlns:xlrd2="http://schemas.microsoft.com/office/spreadsheetml/2017/richdata2" ref="C11:G23">
    <sortCondition ref="D11:D23"/>
    <sortCondition ref="C11:C2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2"/>
  <sheetViews>
    <sheetView showGridLines="0" workbookViewId="0"/>
  </sheetViews>
  <sheetFormatPr defaultColWidth="13" defaultRowHeight="15.6" x14ac:dyDescent="0.3"/>
  <cols>
    <col min="1" max="1" width="30.19921875" style="181" bestFit="1" customWidth="1"/>
    <col min="2" max="2" width="8.59765625" style="181" bestFit="1" customWidth="1"/>
    <col min="3" max="3" width="4.3984375" style="181" bestFit="1" customWidth="1"/>
    <col min="4" max="4" width="6.19921875" style="181" bestFit="1" customWidth="1"/>
    <col min="5" max="5" width="8.5" style="181" bestFit="1" customWidth="1"/>
    <col min="6" max="6" width="8.8984375" style="181" bestFit="1" customWidth="1"/>
    <col min="7" max="7" width="4.3984375" style="181" bestFit="1" customWidth="1"/>
    <col min="8" max="8" width="5.59765625" style="181" bestFit="1" customWidth="1"/>
    <col min="9" max="9" width="5.5" style="181" bestFit="1" customWidth="1"/>
    <col min="10" max="10" width="6.19921875" style="181" bestFit="1" customWidth="1"/>
    <col min="11" max="11" width="37.796875" style="181" bestFit="1" customWidth="1"/>
    <col min="12" max="12" width="3" style="174" customWidth="1"/>
    <col min="13" max="13" width="8.796875" style="174" bestFit="1" customWidth="1"/>
    <col min="14" max="14" width="8.8984375" style="174" bestFit="1" customWidth="1"/>
    <col min="15" max="16384" width="13" style="174"/>
  </cols>
  <sheetData>
    <row r="1" spans="1:14" ht="23.4" thickBot="1" x14ac:dyDescent="0.35">
      <c r="A1" s="173" t="s">
        <v>14</v>
      </c>
      <c r="B1" s="173"/>
      <c r="C1" s="173"/>
      <c r="D1" s="173"/>
      <c r="E1" s="173"/>
      <c r="F1" s="173"/>
      <c r="G1" s="173"/>
      <c r="H1" s="173"/>
      <c r="I1" s="173"/>
      <c r="J1" s="173"/>
      <c r="K1" s="173"/>
    </row>
    <row r="2" spans="1:14" ht="16.8" thickTop="1" thickBot="1" x14ac:dyDescent="0.35">
      <c r="A2" s="175" t="s">
        <v>0</v>
      </c>
      <c r="B2" s="176" t="s">
        <v>1</v>
      </c>
      <c r="C2" s="176" t="s">
        <v>17</v>
      </c>
      <c r="D2" s="176" t="s">
        <v>18</v>
      </c>
      <c r="E2" s="177" t="s">
        <v>51</v>
      </c>
      <c r="F2" s="176" t="s">
        <v>15</v>
      </c>
      <c r="G2" s="176" t="s">
        <v>19</v>
      </c>
      <c r="H2" s="178" t="s">
        <v>69</v>
      </c>
      <c r="I2" s="179" t="s">
        <v>82</v>
      </c>
      <c r="J2" s="178" t="s">
        <v>62</v>
      </c>
      <c r="K2" s="180" t="s">
        <v>61</v>
      </c>
      <c r="M2" s="228" t="s">
        <v>150</v>
      </c>
    </row>
    <row r="3" spans="1:14" x14ac:dyDescent="0.3">
      <c r="A3" s="311" t="s">
        <v>227</v>
      </c>
      <c r="B3" s="312" t="s">
        <v>116</v>
      </c>
      <c r="C3" s="313">
        <v>1</v>
      </c>
      <c r="D3" s="314" t="s">
        <v>70</v>
      </c>
      <c r="E3" s="314" t="s">
        <v>228</v>
      </c>
      <c r="F3" s="315" t="s">
        <v>111</v>
      </c>
      <c r="G3" s="479">
        <v>2</v>
      </c>
      <c r="H3" s="316" t="str">
        <f>CONCATENATE("+",'Personal File'!$B$8+'Personal File'!$C$12+D3)</f>
        <v>+10</v>
      </c>
      <c r="I3" s="317">
        <f t="shared" ref="I3:I13" ca="1" si="0">RANDBETWEEN(1,20)</f>
        <v>15</v>
      </c>
      <c r="J3" s="318">
        <f t="shared" ref="J3" ca="1" si="1">I3+H3</f>
        <v>25</v>
      </c>
      <c r="K3" s="319" t="s">
        <v>300</v>
      </c>
      <c r="M3" s="229">
        <v>8000</v>
      </c>
      <c r="N3" s="457"/>
    </row>
    <row r="4" spans="1:14" x14ac:dyDescent="0.3">
      <c r="A4" s="320" t="s">
        <v>226</v>
      </c>
      <c r="B4" s="277" t="s">
        <v>116</v>
      </c>
      <c r="C4" s="321">
        <v>1</v>
      </c>
      <c r="D4" s="322" t="s">
        <v>70</v>
      </c>
      <c r="E4" s="322" t="s">
        <v>228</v>
      </c>
      <c r="F4" s="323" t="s">
        <v>111</v>
      </c>
      <c r="G4" s="353" t="s">
        <v>135</v>
      </c>
      <c r="H4" s="324" t="str">
        <f>CONCATENATE("+",H3-5)</f>
        <v>+5</v>
      </c>
      <c r="I4" s="325">
        <f t="shared" ca="1" si="0"/>
        <v>7</v>
      </c>
      <c r="J4" s="326">
        <f t="shared" ref="J4:J5" ca="1" si="2">I4+H4</f>
        <v>12</v>
      </c>
      <c r="K4" s="306" t="s">
        <v>300</v>
      </c>
      <c r="M4" s="354" t="s">
        <v>135</v>
      </c>
    </row>
    <row r="5" spans="1:14" x14ac:dyDescent="0.3">
      <c r="A5" s="320" t="s">
        <v>225</v>
      </c>
      <c r="B5" s="277" t="s">
        <v>116</v>
      </c>
      <c r="C5" s="321">
        <v>1</v>
      </c>
      <c r="D5" s="322" t="s">
        <v>70</v>
      </c>
      <c r="E5" s="322" t="s">
        <v>228</v>
      </c>
      <c r="F5" s="323" t="s">
        <v>111</v>
      </c>
      <c r="G5" s="353" t="s">
        <v>135</v>
      </c>
      <c r="H5" s="324" t="str">
        <f>CONCATENATE("+",'Personal File'!$B$8+'Personal File'!$C$12+D5)</f>
        <v>+10</v>
      </c>
      <c r="I5" s="304">
        <f t="shared" ca="1" si="0"/>
        <v>2</v>
      </c>
      <c r="J5" s="305">
        <f t="shared" ca="1" si="2"/>
        <v>12</v>
      </c>
      <c r="K5" s="306" t="s">
        <v>300</v>
      </c>
      <c r="M5" s="354" t="s">
        <v>135</v>
      </c>
    </row>
    <row r="6" spans="1:14" x14ac:dyDescent="0.3">
      <c r="A6" s="298" t="s">
        <v>194</v>
      </c>
      <c r="B6" s="336" t="s">
        <v>135</v>
      </c>
      <c r="C6" s="405" t="s">
        <v>116</v>
      </c>
      <c r="D6" s="337" t="s">
        <v>135</v>
      </c>
      <c r="E6" s="337" t="s">
        <v>135</v>
      </c>
      <c r="F6" s="338" t="s">
        <v>135</v>
      </c>
      <c r="G6" s="310" t="s">
        <v>135</v>
      </c>
      <c r="H6" s="310" t="s">
        <v>135</v>
      </c>
      <c r="I6" s="406" t="s">
        <v>135</v>
      </c>
      <c r="J6" s="310" t="s">
        <v>135</v>
      </c>
      <c r="K6" s="339"/>
      <c r="M6" s="309">
        <v>3000</v>
      </c>
      <c r="N6" s="457"/>
    </row>
    <row r="7" spans="1:14" x14ac:dyDescent="0.3">
      <c r="A7" s="320" t="s">
        <v>96</v>
      </c>
      <c r="B7" s="277" t="s">
        <v>279</v>
      </c>
      <c r="C7" s="321">
        <v>0</v>
      </c>
      <c r="D7" s="322">
        <v>0</v>
      </c>
      <c r="E7" s="322" t="s">
        <v>112</v>
      </c>
      <c r="F7" s="323" t="s">
        <v>113</v>
      </c>
      <c r="G7" s="307">
        <v>1</v>
      </c>
      <c r="H7" s="324" t="str">
        <f>CONCATENATE("+",'Personal File'!$B$8+'Personal File'!$C$12+D7)</f>
        <v>+9</v>
      </c>
      <c r="I7" s="325">
        <f t="shared" ca="1" si="0"/>
        <v>18</v>
      </c>
      <c r="J7" s="326">
        <f t="shared" ref="J7" ca="1" si="3">I7+H7</f>
        <v>27</v>
      </c>
      <c r="K7" s="328" t="s">
        <v>180</v>
      </c>
      <c r="M7" s="308">
        <v>0</v>
      </c>
    </row>
    <row r="8" spans="1:14" x14ac:dyDescent="0.3">
      <c r="A8" s="320" t="s">
        <v>193</v>
      </c>
      <c r="B8" s="277" t="s">
        <v>279</v>
      </c>
      <c r="C8" s="321">
        <v>0</v>
      </c>
      <c r="D8" s="322">
        <v>0</v>
      </c>
      <c r="E8" s="322" t="s">
        <v>112</v>
      </c>
      <c r="F8" s="323" t="s">
        <v>113</v>
      </c>
      <c r="G8" s="357" t="s">
        <v>135</v>
      </c>
      <c r="H8" s="324" t="str">
        <f>CONCATENATE("+",H7-5)</f>
        <v>+4</v>
      </c>
      <c r="I8" s="325">
        <f t="shared" ref="I8:I15" ca="1" si="4">RANDBETWEEN(1,20)</f>
        <v>7</v>
      </c>
      <c r="J8" s="326">
        <f t="shared" ref="J8:J14" ca="1" si="5">I8+H8</f>
        <v>11</v>
      </c>
      <c r="K8" s="328" t="s">
        <v>180</v>
      </c>
      <c r="M8" s="354" t="s">
        <v>135</v>
      </c>
    </row>
    <row r="9" spans="1:14" x14ac:dyDescent="0.3">
      <c r="A9" s="298" t="s">
        <v>201</v>
      </c>
      <c r="B9" s="299" t="s">
        <v>279</v>
      </c>
      <c r="C9" s="300">
        <v>0</v>
      </c>
      <c r="D9" s="301">
        <v>0</v>
      </c>
      <c r="E9" s="301" t="s">
        <v>112</v>
      </c>
      <c r="F9" s="302" t="s">
        <v>113</v>
      </c>
      <c r="G9" s="310" t="s">
        <v>135</v>
      </c>
      <c r="H9" s="303" t="str">
        <f>CONCATENATE("+",'Personal File'!$B$8+'Personal File'!$C$12+D9)</f>
        <v>+9</v>
      </c>
      <c r="I9" s="304">
        <f t="shared" ca="1" si="4"/>
        <v>17</v>
      </c>
      <c r="J9" s="305">
        <f t="shared" ca="1" si="5"/>
        <v>26</v>
      </c>
      <c r="K9" s="327" t="s">
        <v>180</v>
      </c>
      <c r="M9" s="355" t="s">
        <v>135</v>
      </c>
    </row>
    <row r="10" spans="1:14" x14ac:dyDescent="0.3">
      <c r="A10" s="320" t="s">
        <v>287</v>
      </c>
      <c r="B10" s="277" t="s">
        <v>278</v>
      </c>
      <c r="C10" s="321">
        <v>0</v>
      </c>
      <c r="D10" s="322" t="s">
        <v>70</v>
      </c>
      <c r="E10" s="322" t="s">
        <v>94</v>
      </c>
      <c r="F10" s="323" t="s">
        <v>95</v>
      </c>
      <c r="G10" s="353">
        <v>0.5</v>
      </c>
      <c r="H10" s="324" t="str">
        <f>CONCATENATE("+",'Personal File'!$B$8+'Personal File'!$C$12+D10)</f>
        <v>+10</v>
      </c>
      <c r="I10" s="325">
        <f t="shared" ca="1" si="0"/>
        <v>2</v>
      </c>
      <c r="J10" s="326">
        <f t="shared" ref="J10:J12" ca="1" si="6">I10+H10</f>
        <v>12</v>
      </c>
      <c r="K10" s="328" t="s">
        <v>180</v>
      </c>
      <c r="M10" s="308">
        <v>2000</v>
      </c>
    </row>
    <row r="11" spans="1:14" x14ac:dyDescent="0.3">
      <c r="A11" s="320" t="s">
        <v>200</v>
      </c>
      <c r="B11" s="277" t="s">
        <v>278</v>
      </c>
      <c r="C11" s="321">
        <v>0</v>
      </c>
      <c r="D11" s="322" t="s">
        <v>70</v>
      </c>
      <c r="E11" s="322" t="s">
        <v>94</v>
      </c>
      <c r="F11" s="323" t="s">
        <v>95</v>
      </c>
      <c r="G11" s="353" t="s">
        <v>135</v>
      </c>
      <c r="H11" s="324" t="str">
        <f>CONCATENATE("+",H10-5)</f>
        <v>+5</v>
      </c>
      <c r="I11" s="325">
        <f t="shared" ca="1" si="4"/>
        <v>3</v>
      </c>
      <c r="J11" s="326">
        <f t="shared" ca="1" si="6"/>
        <v>8</v>
      </c>
      <c r="K11" s="328" t="s">
        <v>180</v>
      </c>
      <c r="M11" s="354" t="s">
        <v>135</v>
      </c>
    </row>
    <row r="12" spans="1:14" x14ac:dyDescent="0.3">
      <c r="A12" s="298" t="s">
        <v>293</v>
      </c>
      <c r="B12" s="299" t="s">
        <v>278</v>
      </c>
      <c r="C12" s="300">
        <v>0</v>
      </c>
      <c r="D12" s="301" t="s">
        <v>70</v>
      </c>
      <c r="E12" s="301" t="s">
        <v>94</v>
      </c>
      <c r="F12" s="302" t="s">
        <v>95</v>
      </c>
      <c r="G12" s="310" t="s">
        <v>135</v>
      </c>
      <c r="H12" s="303" t="str">
        <f>CONCATENATE("+",'Personal File'!$B$8+'Personal File'!$C$12+D12)</f>
        <v>+10</v>
      </c>
      <c r="I12" s="304">
        <f t="shared" ca="1" si="4"/>
        <v>12</v>
      </c>
      <c r="J12" s="305">
        <f t="shared" ca="1" si="6"/>
        <v>22</v>
      </c>
      <c r="K12" s="327" t="s">
        <v>180</v>
      </c>
      <c r="M12" s="354" t="s">
        <v>135</v>
      </c>
    </row>
    <row r="13" spans="1:14" x14ac:dyDescent="0.3">
      <c r="A13" s="320" t="s">
        <v>294</v>
      </c>
      <c r="B13" s="277" t="s">
        <v>298</v>
      </c>
      <c r="C13" s="321">
        <v>0</v>
      </c>
      <c r="D13" s="322" t="s">
        <v>49</v>
      </c>
      <c r="E13" s="322" t="s">
        <v>94</v>
      </c>
      <c r="F13" s="323" t="s">
        <v>111</v>
      </c>
      <c r="G13" s="428">
        <v>2</v>
      </c>
      <c r="H13" s="485">
        <v>0</v>
      </c>
      <c r="I13" s="325">
        <f t="shared" ca="1" si="0"/>
        <v>19</v>
      </c>
      <c r="J13" s="326">
        <f t="shared" ca="1" si="5"/>
        <v>19</v>
      </c>
      <c r="K13" s="328" t="s">
        <v>297</v>
      </c>
      <c r="M13" s="308">
        <v>800</v>
      </c>
      <c r="N13" s="457"/>
    </row>
    <row r="14" spans="1:14" x14ac:dyDescent="0.3">
      <c r="A14" s="320" t="s">
        <v>295</v>
      </c>
      <c r="B14" s="277" t="s">
        <v>298</v>
      </c>
      <c r="C14" s="321">
        <v>0</v>
      </c>
      <c r="D14" s="322" t="s">
        <v>49</v>
      </c>
      <c r="E14" s="322" t="s">
        <v>94</v>
      </c>
      <c r="F14" s="323" t="s">
        <v>111</v>
      </c>
      <c r="G14" s="353" t="s">
        <v>135</v>
      </c>
      <c r="H14" s="485">
        <v>0</v>
      </c>
      <c r="I14" s="325">
        <f t="shared" ca="1" si="4"/>
        <v>19</v>
      </c>
      <c r="J14" s="326">
        <f t="shared" ca="1" si="5"/>
        <v>19</v>
      </c>
      <c r="K14" s="328" t="s">
        <v>297</v>
      </c>
      <c r="M14" s="354" t="s">
        <v>135</v>
      </c>
    </row>
    <row r="15" spans="1:14" ht="16.2" thickBot="1" x14ac:dyDescent="0.35">
      <c r="A15" s="350" t="s">
        <v>296</v>
      </c>
      <c r="B15" s="329" t="s">
        <v>298</v>
      </c>
      <c r="C15" s="330">
        <v>0</v>
      </c>
      <c r="D15" s="331" t="s">
        <v>49</v>
      </c>
      <c r="E15" s="331" t="s">
        <v>94</v>
      </c>
      <c r="F15" s="332" t="s">
        <v>111</v>
      </c>
      <c r="G15" s="334" t="s">
        <v>135</v>
      </c>
      <c r="H15" s="486">
        <v>0</v>
      </c>
      <c r="I15" s="187">
        <f t="shared" ca="1" si="4"/>
        <v>8</v>
      </c>
      <c r="J15" s="333">
        <f t="shared" ref="J15" ca="1" si="7">I15+H15</f>
        <v>8</v>
      </c>
      <c r="K15" s="351" t="s">
        <v>297</v>
      </c>
      <c r="M15" s="356" t="s">
        <v>135</v>
      </c>
    </row>
    <row r="16" spans="1:14" ht="6" customHeight="1" thickTop="1" thickBot="1" x14ac:dyDescent="0.35"/>
    <row r="17" spans="1:14" ht="16.8" thickTop="1" thickBot="1" x14ac:dyDescent="0.35">
      <c r="A17" s="175" t="s">
        <v>3</v>
      </c>
      <c r="B17" s="176" t="s">
        <v>4</v>
      </c>
      <c r="C17" s="176" t="s">
        <v>17</v>
      </c>
      <c r="D17" s="176" t="s">
        <v>18</v>
      </c>
      <c r="E17" s="177" t="s">
        <v>51</v>
      </c>
      <c r="F17" s="176" t="s">
        <v>5</v>
      </c>
      <c r="G17" s="176" t="s">
        <v>19</v>
      </c>
      <c r="H17" s="178" t="s">
        <v>69</v>
      </c>
      <c r="I17" s="179" t="s">
        <v>82</v>
      </c>
      <c r="J17" s="178" t="s">
        <v>62</v>
      </c>
      <c r="K17" s="180" t="s">
        <v>61</v>
      </c>
      <c r="M17" s="228" t="s">
        <v>150</v>
      </c>
    </row>
    <row r="18" spans="1:14" x14ac:dyDescent="0.3">
      <c r="A18" s="464" t="s">
        <v>272</v>
      </c>
      <c r="B18" s="465" t="s">
        <v>116</v>
      </c>
      <c r="C18" s="466" t="s">
        <v>49</v>
      </c>
      <c r="D18" s="466" t="s">
        <v>49</v>
      </c>
      <c r="E18" s="465" t="s">
        <v>112</v>
      </c>
      <c r="F18" s="466" t="s">
        <v>269</v>
      </c>
      <c r="G18" s="467" t="s">
        <v>135</v>
      </c>
      <c r="H18" s="468" t="str">
        <f>CONCATENATE("+",'Personal File'!$B$8+'Personal File'!$C$12+D18)</f>
        <v>+9</v>
      </c>
      <c r="I18" s="325">
        <f ca="1">RANDBETWEEN(1,20)</f>
        <v>14</v>
      </c>
      <c r="J18" s="469">
        <f ca="1">I18+H18</f>
        <v>23</v>
      </c>
      <c r="K18" s="470" t="s">
        <v>299</v>
      </c>
      <c r="M18" s="471" t="s">
        <v>135</v>
      </c>
    </row>
    <row r="19" spans="1:14" x14ac:dyDescent="0.3">
      <c r="A19" s="320" t="s">
        <v>136</v>
      </c>
      <c r="B19" s="277" t="s">
        <v>280</v>
      </c>
      <c r="C19" s="358" t="s">
        <v>70</v>
      </c>
      <c r="D19" s="358" t="s">
        <v>70</v>
      </c>
      <c r="E19" s="277" t="s">
        <v>112</v>
      </c>
      <c r="F19" s="358" t="s">
        <v>133</v>
      </c>
      <c r="G19" s="428">
        <v>0</v>
      </c>
      <c r="H19" s="429" t="str">
        <f>CONCATENATE("+",'Personal File'!$B$8+'Personal File'!$C$12+D19)</f>
        <v>+10</v>
      </c>
      <c r="I19" s="325">
        <f ca="1">RANDBETWEEN(1,20)</f>
        <v>8</v>
      </c>
      <c r="J19" s="326">
        <f ca="1">I19+H19</f>
        <v>18</v>
      </c>
      <c r="K19" s="306" t="s">
        <v>300</v>
      </c>
      <c r="M19" s="284">
        <v>8000</v>
      </c>
      <c r="N19" s="457"/>
    </row>
    <row r="20" spans="1:14" x14ac:dyDescent="0.3">
      <c r="A20" s="320" t="s">
        <v>195</v>
      </c>
      <c r="B20" s="277" t="s">
        <v>280</v>
      </c>
      <c r="C20" s="358" t="s">
        <v>70</v>
      </c>
      <c r="D20" s="358" t="s">
        <v>70</v>
      </c>
      <c r="E20" s="277" t="s">
        <v>112</v>
      </c>
      <c r="F20" s="358" t="s">
        <v>133</v>
      </c>
      <c r="G20" s="353" t="s">
        <v>135</v>
      </c>
      <c r="H20" s="324" t="str">
        <f>CONCATENATE("+",H19-5)</f>
        <v>+5</v>
      </c>
      <c r="I20" s="325">
        <f t="shared" ref="I20:I21" ca="1" si="8">RANDBETWEEN(1,20)</f>
        <v>4</v>
      </c>
      <c r="J20" s="326">
        <f t="shared" ref="J20" ca="1" si="9">I20+H20</f>
        <v>9</v>
      </c>
      <c r="K20" s="306" t="s">
        <v>300</v>
      </c>
      <c r="M20" s="354" t="s">
        <v>135</v>
      </c>
    </row>
    <row r="21" spans="1:14" x14ac:dyDescent="0.3">
      <c r="A21" s="320" t="s">
        <v>231</v>
      </c>
      <c r="B21" s="277" t="s">
        <v>280</v>
      </c>
      <c r="C21" s="358" t="s">
        <v>70</v>
      </c>
      <c r="D21" s="358" t="s">
        <v>70</v>
      </c>
      <c r="E21" s="277" t="s">
        <v>112</v>
      </c>
      <c r="F21" s="358" t="s">
        <v>133</v>
      </c>
      <c r="G21" s="353" t="s">
        <v>135</v>
      </c>
      <c r="H21" s="324" t="str">
        <f>CONCATENATE("+",'Personal File'!$B$8+'Personal File'!$C$12+D21)</f>
        <v>+10</v>
      </c>
      <c r="I21" s="325">
        <f t="shared" ca="1" si="8"/>
        <v>1</v>
      </c>
      <c r="J21" s="326">
        <f t="shared" ref="J21" ca="1" si="10">I21+H21</f>
        <v>11</v>
      </c>
      <c r="K21" s="306" t="s">
        <v>300</v>
      </c>
      <c r="M21" s="354" t="s">
        <v>135</v>
      </c>
    </row>
    <row r="22" spans="1:14" x14ac:dyDescent="0.3">
      <c r="A22" s="411" t="s">
        <v>205</v>
      </c>
      <c r="B22" s="412" t="s">
        <v>135</v>
      </c>
      <c r="C22" s="412" t="s">
        <v>116</v>
      </c>
      <c r="D22" s="413" t="s">
        <v>206</v>
      </c>
      <c r="E22" s="413" t="s">
        <v>207</v>
      </c>
      <c r="F22" s="414" t="s">
        <v>135</v>
      </c>
      <c r="G22" s="415" t="s">
        <v>135</v>
      </c>
      <c r="H22" s="416" t="s">
        <v>135</v>
      </c>
      <c r="I22" s="417" t="s">
        <v>135</v>
      </c>
      <c r="J22" s="416" t="s">
        <v>135</v>
      </c>
      <c r="K22" s="418"/>
      <c r="M22" s="419">
        <v>1000</v>
      </c>
      <c r="N22" s="457"/>
    </row>
    <row r="23" spans="1:14" x14ac:dyDescent="0.3">
      <c r="A23" s="320" t="s">
        <v>288</v>
      </c>
      <c r="B23" s="277">
        <v>1</v>
      </c>
      <c r="C23" s="358" t="s">
        <v>49</v>
      </c>
      <c r="D23" s="358" t="s">
        <v>70</v>
      </c>
      <c r="E23" s="277" t="s">
        <v>112</v>
      </c>
      <c r="F23" s="358" t="s">
        <v>233</v>
      </c>
      <c r="G23" s="428">
        <v>2</v>
      </c>
      <c r="H23" s="429" t="str">
        <f>CONCATENATE("+",'Personal File'!$B$8+'Personal File'!$C$12+D23)</f>
        <v>+10</v>
      </c>
      <c r="I23" s="325">
        <f ca="1">RANDBETWEEN(1,20)</f>
        <v>10</v>
      </c>
      <c r="J23" s="326">
        <f ca="1">I23+H23</f>
        <v>20</v>
      </c>
      <c r="K23" s="306" t="s">
        <v>299</v>
      </c>
      <c r="M23" s="284">
        <v>8000</v>
      </c>
    </row>
    <row r="24" spans="1:14" x14ac:dyDescent="0.3">
      <c r="A24" s="320" t="s">
        <v>230</v>
      </c>
      <c r="B24" s="277">
        <v>1</v>
      </c>
      <c r="C24" s="358" t="s">
        <v>49</v>
      </c>
      <c r="D24" s="358" t="s">
        <v>70</v>
      </c>
      <c r="E24" s="277" t="s">
        <v>112</v>
      </c>
      <c r="F24" s="358" t="s">
        <v>233</v>
      </c>
      <c r="G24" s="353" t="s">
        <v>135</v>
      </c>
      <c r="H24" s="324" t="str">
        <f>CONCATENATE("+",H23-5)</f>
        <v>+5</v>
      </c>
      <c r="I24" s="325">
        <f t="shared" ref="I24:I25" ca="1" si="11">RANDBETWEEN(1,20)</f>
        <v>19</v>
      </c>
      <c r="J24" s="326">
        <f t="shared" ref="J24:J25" ca="1" si="12">I24+H24</f>
        <v>24</v>
      </c>
      <c r="K24" s="306" t="s">
        <v>299</v>
      </c>
      <c r="M24" s="354" t="s">
        <v>135</v>
      </c>
    </row>
    <row r="25" spans="1:14" x14ac:dyDescent="0.3">
      <c r="A25" s="411" t="s">
        <v>232</v>
      </c>
      <c r="B25" s="420">
        <v>1</v>
      </c>
      <c r="C25" s="421" t="s">
        <v>49</v>
      </c>
      <c r="D25" s="421" t="s">
        <v>70</v>
      </c>
      <c r="E25" s="420" t="s">
        <v>112</v>
      </c>
      <c r="F25" s="421" t="s">
        <v>233</v>
      </c>
      <c r="G25" s="415" t="s">
        <v>135</v>
      </c>
      <c r="H25" s="425" t="str">
        <f>CONCATENATE("+",'Personal File'!$B$8+'Personal File'!$C$12+D25)</f>
        <v>+10</v>
      </c>
      <c r="I25" s="422">
        <f t="shared" ca="1" si="11"/>
        <v>14</v>
      </c>
      <c r="J25" s="423">
        <f t="shared" ca="1" si="12"/>
        <v>24</v>
      </c>
      <c r="K25" s="426" t="s">
        <v>299</v>
      </c>
      <c r="M25" s="427" t="s">
        <v>135</v>
      </c>
    </row>
    <row r="26" spans="1:14" ht="16.2" thickBot="1" x14ac:dyDescent="0.35">
      <c r="A26" s="182" t="s">
        <v>126</v>
      </c>
      <c r="B26" s="183" t="s">
        <v>135</v>
      </c>
      <c r="C26" s="184" t="s">
        <v>49</v>
      </c>
      <c r="D26" s="184" t="s">
        <v>74</v>
      </c>
      <c r="E26" s="183" t="s">
        <v>135</v>
      </c>
      <c r="F26" s="184" t="s">
        <v>135</v>
      </c>
      <c r="G26" s="185" t="s">
        <v>135</v>
      </c>
      <c r="H26" s="186" t="str">
        <f>CONCATENATE("+",'Personal File'!$B$8+'Personal File'!$C$12+D26)</f>
        <v>+13</v>
      </c>
      <c r="I26" s="187">
        <f ca="1">RANDBETWEEN(1,20)</f>
        <v>19</v>
      </c>
      <c r="J26" s="188">
        <f ca="1">I26+H26</f>
        <v>32</v>
      </c>
      <c r="K26" s="189"/>
      <c r="M26" s="424" t="s">
        <v>135</v>
      </c>
    </row>
    <row r="27" spans="1:14" ht="6" customHeight="1" thickTop="1" thickBot="1" x14ac:dyDescent="0.35">
      <c r="D27" s="190"/>
      <c r="E27" s="190"/>
      <c r="G27" s="191"/>
      <c r="H27" s="191"/>
      <c r="I27" s="191"/>
      <c r="J27" s="191"/>
    </row>
    <row r="28" spans="1:14" ht="16.8" thickTop="1" thickBot="1" x14ac:dyDescent="0.35">
      <c r="A28" s="175" t="s">
        <v>55</v>
      </c>
      <c r="B28" s="176" t="s">
        <v>8</v>
      </c>
      <c r="C28" s="176" t="s">
        <v>22</v>
      </c>
      <c r="D28" s="176" t="s">
        <v>62</v>
      </c>
      <c r="E28" s="176" t="s">
        <v>63</v>
      </c>
      <c r="F28" s="176" t="s">
        <v>64</v>
      </c>
      <c r="G28" s="176" t="s">
        <v>19</v>
      </c>
      <c r="H28" s="192" t="s">
        <v>61</v>
      </c>
      <c r="I28" s="193"/>
      <c r="J28" s="193"/>
      <c r="K28" s="194"/>
      <c r="M28" s="228" t="s">
        <v>150</v>
      </c>
    </row>
    <row r="29" spans="1:14" x14ac:dyDescent="0.3">
      <c r="A29" s="227" t="s">
        <v>199</v>
      </c>
      <c r="B29" s="477" t="s">
        <v>158</v>
      </c>
      <c r="C29" s="195">
        <v>6</v>
      </c>
      <c r="D29" s="144">
        <v>0</v>
      </c>
      <c r="E29" s="196">
        <v>0</v>
      </c>
      <c r="F29" s="197" t="s">
        <v>134</v>
      </c>
      <c r="G29" s="476" t="s">
        <v>284</v>
      </c>
      <c r="H29" s="199"/>
      <c r="I29" s="200"/>
      <c r="J29" s="200"/>
      <c r="K29" s="201"/>
      <c r="M29" s="293">
        <f>3400+500</f>
        <v>3900</v>
      </c>
      <c r="N29" s="457"/>
    </row>
    <row r="30" spans="1:14" x14ac:dyDescent="0.3">
      <c r="A30" s="275" t="s">
        <v>163</v>
      </c>
      <c r="B30" s="277" t="s">
        <v>135</v>
      </c>
      <c r="C30" s="276" t="s">
        <v>135</v>
      </c>
      <c r="D30" s="277" t="s">
        <v>135</v>
      </c>
      <c r="E30" s="278" t="s">
        <v>135</v>
      </c>
      <c r="F30" s="279" t="s">
        <v>135</v>
      </c>
      <c r="G30" s="280">
        <v>2</v>
      </c>
      <c r="H30" s="281"/>
      <c r="I30" s="282"/>
      <c r="J30" s="282"/>
      <c r="K30" s="283"/>
      <c r="M30" s="284">
        <v>5000</v>
      </c>
    </row>
    <row r="31" spans="1:14" ht="16.2" thickBot="1" x14ac:dyDescent="0.35">
      <c r="A31" s="146" t="s">
        <v>189</v>
      </c>
      <c r="B31" s="147" t="s">
        <v>135</v>
      </c>
      <c r="C31" s="232" t="s">
        <v>135</v>
      </c>
      <c r="D31" s="147" t="s">
        <v>135</v>
      </c>
      <c r="E31" s="233" t="s">
        <v>135</v>
      </c>
      <c r="F31" s="147" t="s">
        <v>135</v>
      </c>
      <c r="G31" s="478">
        <v>0</v>
      </c>
      <c r="H31" s="272" t="s">
        <v>190</v>
      </c>
      <c r="I31" s="202"/>
      <c r="J31" s="202"/>
      <c r="K31" s="203"/>
      <c r="M31" s="231">
        <v>4000</v>
      </c>
      <c r="N31" s="457"/>
    </row>
    <row r="32" spans="1:14" ht="6.75" customHeight="1" thickTop="1" thickBot="1" x14ac:dyDescent="0.35"/>
    <row r="33" spans="1:13" ht="16.8" thickTop="1" thickBot="1" x14ac:dyDescent="0.35">
      <c r="A33" s="204"/>
      <c r="B33" s="191"/>
      <c r="D33" s="205" t="s">
        <v>56</v>
      </c>
      <c r="E33" s="206"/>
      <c r="F33" s="192" t="s">
        <v>2</v>
      </c>
      <c r="G33" s="176" t="s">
        <v>19</v>
      </c>
      <c r="H33" s="178" t="s">
        <v>69</v>
      </c>
      <c r="I33" s="192" t="s">
        <v>61</v>
      </c>
      <c r="J33" s="193"/>
      <c r="K33" s="194"/>
      <c r="M33" s="228" t="s">
        <v>150</v>
      </c>
    </row>
    <row r="34" spans="1:13" x14ac:dyDescent="0.3">
      <c r="A34" s="204"/>
      <c r="B34" s="191"/>
      <c r="D34" s="207" t="s">
        <v>115</v>
      </c>
      <c r="E34" s="208"/>
      <c r="F34" s="209">
        <v>7</v>
      </c>
      <c r="G34" s="198">
        <f t="shared" ref="G34" si="13">F34*0.25</f>
        <v>1.75</v>
      </c>
      <c r="H34" s="210" t="s">
        <v>114</v>
      </c>
      <c r="I34" s="211"/>
      <c r="J34" s="212"/>
      <c r="K34" s="213"/>
      <c r="M34" s="230">
        <v>0</v>
      </c>
    </row>
    <row r="35" spans="1:13" ht="16.2" thickBot="1" x14ac:dyDescent="0.35">
      <c r="A35" s="204"/>
      <c r="B35" s="191"/>
      <c r="D35" s="214" t="s">
        <v>275</v>
      </c>
      <c r="E35" s="215"/>
      <c r="F35" s="216">
        <v>8</v>
      </c>
      <c r="G35" s="217">
        <f>F35*0.05</f>
        <v>0.4</v>
      </c>
      <c r="H35" s="218" t="s">
        <v>114</v>
      </c>
      <c r="I35" s="219"/>
      <c r="J35" s="220"/>
      <c r="K35" s="221"/>
      <c r="M35" s="231">
        <v>0</v>
      </c>
    </row>
    <row r="36" spans="1:13" ht="6" customHeight="1" thickTop="1" thickBot="1" x14ac:dyDescent="0.35"/>
    <row r="37" spans="1:13" ht="16.8" thickTop="1" thickBot="1" x14ac:dyDescent="0.35">
      <c r="D37" s="205" t="s">
        <v>154</v>
      </c>
      <c r="E37" s="193"/>
      <c r="F37" s="193"/>
      <c r="G37" s="193"/>
      <c r="H37" s="265" t="s">
        <v>2</v>
      </c>
      <c r="I37" s="265" t="s">
        <v>155</v>
      </c>
      <c r="J37" s="265" t="s">
        <v>156</v>
      </c>
      <c r="K37" s="194" t="s">
        <v>222</v>
      </c>
      <c r="L37" s="266"/>
      <c r="M37" s="228" t="s">
        <v>150</v>
      </c>
    </row>
    <row r="38" spans="1:13" x14ac:dyDescent="0.3">
      <c r="D38" s="430" t="s">
        <v>234</v>
      </c>
      <c r="E38" s="431"/>
      <c r="F38" s="431"/>
      <c r="G38" s="431"/>
      <c r="H38" s="299">
        <v>24</v>
      </c>
      <c r="I38" s="299" t="s">
        <v>235</v>
      </c>
      <c r="J38" s="299" t="s">
        <v>235</v>
      </c>
      <c r="K38" s="432" t="s">
        <v>235</v>
      </c>
      <c r="L38" s="266"/>
      <c r="M38" s="230" t="s">
        <v>235</v>
      </c>
    </row>
    <row r="39" spans="1:13" x14ac:dyDescent="0.3">
      <c r="D39" s="267" t="s">
        <v>221</v>
      </c>
      <c r="E39" s="268"/>
      <c r="F39" s="268"/>
      <c r="G39" s="268"/>
      <c r="H39" s="145">
        <v>0</v>
      </c>
      <c r="I39" s="145">
        <v>4</v>
      </c>
      <c r="J39" s="145">
        <v>8</v>
      </c>
      <c r="K39" s="269"/>
      <c r="L39" s="266"/>
      <c r="M39" s="230">
        <f>25*H39*I39*J39</f>
        <v>0</v>
      </c>
    </row>
    <row r="40" spans="1:13" x14ac:dyDescent="0.3">
      <c r="C40" s="458"/>
      <c r="D40" s="381" t="s">
        <v>219</v>
      </c>
      <c r="E40" s="382"/>
      <c r="F40" s="382"/>
      <c r="G40" s="382"/>
      <c r="H40" s="383">
        <v>1</v>
      </c>
      <c r="I40" s="383">
        <v>0</v>
      </c>
      <c r="J40" s="383">
        <v>1</v>
      </c>
      <c r="K40" s="384" t="s">
        <v>223</v>
      </c>
      <c r="L40" s="266"/>
      <c r="M40" s="308">
        <v>460</v>
      </c>
    </row>
    <row r="41" spans="1:13" ht="16.2" thickBot="1" x14ac:dyDescent="0.35">
      <c r="D41" s="270" t="s">
        <v>220</v>
      </c>
      <c r="E41" s="271"/>
      <c r="F41" s="271"/>
      <c r="G41" s="271"/>
      <c r="H41" s="147">
        <v>1</v>
      </c>
      <c r="I41" s="147">
        <v>1</v>
      </c>
      <c r="J41" s="147">
        <v>1</v>
      </c>
      <c r="K41" s="385" t="s">
        <v>223</v>
      </c>
      <c r="L41" s="266"/>
      <c r="M41" s="231">
        <v>820</v>
      </c>
    </row>
    <row r="42" spans="1:13" ht="16.2" thickTop="1" x14ac:dyDescent="0.3"/>
  </sheetData>
  <phoneticPr fontId="0" type="noConversion"/>
  <conditionalFormatting sqref="I3:I5">
    <cfRule type="cellIs" dxfId="3" priority="1" operator="greaterThanOrEqual">
      <formula>17</formula>
    </cfRule>
  </conditionalFormatting>
  <conditionalFormatting sqref="I18">
    <cfRule type="cellIs" dxfId="2" priority="2" operator="equal">
      <formula>20</formula>
    </cfRule>
  </conditionalFormatting>
  <conditionalFormatting sqref="I23:I25">
    <cfRule type="cellIs" dxfId="1" priority="5"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showGridLines="0" workbookViewId="0"/>
  </sheetViews>
  <sheetFormatPr defaultColWidth="13" defaultRowHeight="15.6" x14ac:dyDescent="0.3"/>
  <cols>
    <col min="1" max="1" width="23.8984375" style="23" bestFit="1" customWidth="1"/>
    <col min="2" max="2" width="4.5" style="23" bestFit="1" customWidth="1"/>
    <col min="3" max="3" width="5.59765625" style="24" bestFit="1" customWidth="1"/>
    <col min="4" max="5" width="26.59765625" style="1" customWidth="1"/>
    <col min="6" max="6" width="2.8984375" style="23" customWidth="1"/>
    <col min="7" max="7" width="9.296875" style="1" bestFit="1" customWidth="1"/>
    <col min="8" max="16384" width="13" style="1"/>
  </cols>
  <sheetData>
    <row r="1" spans="1:7" ht="23.4" thickBot="1" x14ac:dyDescent="0.45">
      <c r="A1" s="22" t="s">
        <v>58</v>
      </c>
      <c r="B1" s="22"/>
      <c r="C1" s="47"/>
      <c r="D1" s="22"/>
      <c r="E1" s="22"/>
    </row>
    <row r="2" spans="1:7" s="23" customFormat="1" ht="16.8" thickTop="1" thickBot="1" x14ac:dyDescent="0.35">
      <c r="A2" s="48" t="s">
        <v>59</v>
      </c>
      <c r="B2" s="170" t="s">
        <v>2</v>
      </c>
      <c r="C2" s="49" t="s">
        <v>19</v>
      </c>
      <c r="D2" s="50" t="s">
        <v>60</v>
      </c>
      <c r="E2" s="51" t="s">
        <v>61</v>
      </c>
      <c r="G2" s="254" t="s">
        <v>150</v>
      </c>
    </row>
    <row r="3" spans="1:7" x14ac:dyDescent="0.3">
      <c r="A3" s="136" t="s">
        <v>117</v>
      </c>
      <c r="B3" s="166">
        <v>1</v>
      </c>
      <c r="C3" s="59">
        <v>3</v>
      </c>
      <c r="D3" s="137"/>
      <c r="E3" s="58"/>
      <c r="G3" s="255">
        <v>0</v>
      </c>
    </row>
    <row r="4" spans="1:7" x14ac:dyDescent="0.3">
      <c r="A4" s="110" t="s">
        <v>159</v>
      </c>
      <c r="B4" s="166">
        <v>1</v>
      </c>
      <c r="C4" s="68" t="s">
        <v>158</v>
      </c>
      <c r="D4" s="141" t="s">
        <v>160</v>
      </c>
      <c r="E4" s="53"/>
      <c r="G4" s="256">
        <v>500</v>
      </c>
    </row>
    <row r="5" spans="1:7" x14ac:dyDescent="0.3">
      <c r="A5" s="110" t="s">
        <v>181</v>
      </c>
      <c r="B5" s="166">
        <v>1</v>
      </c>
      <c r="C5" s="68">
        <v>1</v>
      </c>
      <c r="D5" s="141"/>
      <c r="E5" s="53"/>
      <c r="G5" s="256">
        <v>2500</v>
      </c>
    </row>
    <row r="6" spans="1:7" x14ac:dyDescent="0.3">
      <c r="A6" s="472" t="s">
        <v>282</v>
      </c>
      <c r="B6" s="473">
        <v>1</v>
      </c>
      <c r="C6" s="365">
        <v>0</v>
      </c>
      <c r="D6" s="474" t="s">
        <v>283</v>
      </c>
      <c r="E6" s="367"/>
      <c r="F6" s="288"/>
      <c r="G6" s="295">
        <v>2300</v>
      </c>
    </row>
    <row r="7" spans="1:7" x14ac:dyDescent="0.3">
      <c r="A7" s="459" t="s">
        <v>182</v>
      </c>
      <c r="B7" s="460">
        <v>1</v>
      </c>
      <c r="C7" s="461">
        <v>0</v>
      </c>
      <c r="D7" s="475" t="s">
        <v>283</v>
      </c>
      <c r="E7" s="480" t="s">
        <v>285</v>
      </c>
      <c r="G7" s="256">
        <v>1500</v>
      </c>
    </row>
    <row r="8" spans="1:7" x14ac:dyDescent="0.3">
      <c r="A8" s="110" t="s">
        <v>157</v>
      </c>
      <c r="B8" s="166">
        <v>1</v>
      </c>
      <c r="C8" s="52">
        <v>0</v>
      </c>
      <c r="D8" s="138"/>
      <c r="E8" s="53"/>
      <c r="G8" s="256">
        <v>500</v>
      </c>
    </row>
    <row r="9" spans="1:7" x14ac:dyDescent="0.3">
      <c r="A9" s="248" t="s">
        <v>192</v>
      </c>
      <c r="B9" s="249">
        <v>1</v>
      </c>
      <c r="C9" s="250">
        <v>0</v>
      </c>
      <c r="D9" s="297"/>
      <c r="E9" s="294"/>
      <c r="G9" s="295">
        <v>2100</v>
      </c>
    </row>
    <row r="10" spans="1:7" x14ac:dyDescent="0.3">
      <c r="A10" s="248" t="s">
        <v>191</v>
      </c>
      <c r="B10" s="249">
        <v>1</v>
      </c>
      <c r="C10" s="250">
        <v>0</v>
      </c>
      <c r="D10" s="296"/>
      <c r="E10" s="294"/>
      <c r="G10" s="295">
        <v>900</v>
      </c>
    </row>
    <row r="11" spans="1:7" ht="16.2" thickBot="1" x14ac:dyDescent="0.35">
      <c r="A11" s="142" t="s">
        <v>173</v>
      </c>
      <c r="B11" s="167">
        <v>1</v>
      </c>
      <c r="C11" s="54">
        <v>0</v>
      </c>
      <c r="D11" s="143"/>
      <c r="E11" s="55"/>
      <c r="G11" s="257">
        <v>3500</v>
      </c>
    </row>
    <row r="12" spans="1:7" ht="24" thickTop="1" thickBot="1" x14ac:dyDescent="0.45">
      <c r="A12" s="22" t="s">
        <v>131</v>
      </c>
      <c r="B12" s="22"/>
      <c r="C12" s="56"/>
      <c r="D12" s="22"/>
      <c r="E12" s="57"/>
    </row>
    <row r="13" spans="1:7" ht="16.8" thickTop="1" thickBot="1" x14ac:dyDescent="0.35">
      <c r="A13" s="48" t="s">
        <v>59</v>
      </c>
      <c r="B13" s="170" t="s">
        <v>2</v>
      </c>
      <c r="C13" s="49" t="s">
        <v>19</v>
      </c>
      <c r="D13" s="50" t="s">
        <v>60</v>
      </c>
      <c r="E13" s="51" t="s">
        <v>61</v>
      </c>
      <c r="G13" s="254" t="s">
        <v>150</v>
      </c>
    </row>
    <row r="14" spans="1:7" x14ac:dyDescent="0.3">
      <c r="A14" s="234" t="s">
        <v>151</v>
      </c>
      <c r="B14" s="166">
        <v>1</v>
      </c>
      <c r="C14" s="52">
        <v>1</v>
      </c>
      <c r="D14" s="235"/>
      <c r="E14" s="236"/>
      <c r="F14" s="71"/>
      <c r="G14" s="255">
        <v>0</v>
      </c>
    </row>
    <row r="15" spans="1:7" x14ac:dyDescent="0.3">
      <c r="A15" s="110" t="s">
        <v>123</v>
      </c>
      <c r="B15" s="166">
        <v>1</v>
      </c>
      <c r="C15" s="52">
        <v>5</v>
      </c>
      <c r="D15" s="235" t="s">
        <v>78</v>
      </c>
      <c r="E15" s="236"/>
      <c r="F15" s="71"/>
      <c r="G15" s="256">
        <v>0</v>
      </c>
    </row>
    <row r="16" spans="1:7" x14ac:dyDescent="0.3">
      <c r="A16" s="110" t="s">
        <v>104</v>
      </c>
      <c r="B16" s="166">
        <v>1</v>
      </c>
      <c r="C16" s="52">
        <v>2.5</v>
      </c>
      <c r="D16" s="235" t="s">
        <v>122</v>
      </c>
      <c r="E16" s="237"/>
      <c r="F16" s="71"/>
      <c r="G16" s="256">
        <v>0</v>
      </c>
    </row>
    <row r="17" spans="1:7" x14ac:dyDescent="0.3">
      <c r="A17" s="248" t="s">
        <v>276</v>
      </c>
      <c r="B17" s="249">
        <v>1</v>
      </c>
      <c r="C17" s="250">
        <v>1</v>
      </c>
      <c r="D17" s="235">
        <v>150</v>
      </c>
      <c r="E17" s="237"/>
      <c r="F17" s="71"/>
      <c r="G17" s="256">
        <v>1400</v>
      </c>
    </row>
    <row r="18" spans="1:7" x14ac:dyDescent="0.3">
      <c r="A18" s="110" t="s">
        <v>128</v>
      </c>
      <c r="B18" s="166">
        <v>1</v>
      </c>
      <c r="C18" s="68">
        <v>2</v>
      </c>
      <c r="D18" s="235" t="s">
        <v>79</v>
      </c>
      <c r="E18" s="237"/>
      <c r="F18" s="71"/>
      <c r="G18" s="256">
        <v>300</v>
      </c>
    </row>
    <row r="19" spans="1:7" x14ac:dyDescent="0.3">
      <c r="A19" s="110" t="s">
        <v>119</v>
      </c>
      <c r="B19" s="166">
        <v>2</v>
      </c>
      <c r="C19" s="68">
        <f>B19/10</f>
        <v>0.2</v>
      </c>
      <c r="D19" s="235"/>
      <c r="E19" s="237"/>
      <c r="F19" s="71"/>
      <c r="G19" s="256">
        <v>0</v>
      </c>
    </row>
    <row r="20" spans="1:7" x14ac:dyDescent="0.3">
      <c r="A20" s="238" t="s">
        <v>120</v>
      </c>
      <c r="B20" s="239">
        <v>1</v>
      </c>
      <c r="C20" s="260">
        <v>1</v>
      </c>
      <c r="D20" s="261" t="s">
        <v>121</v>
      </c>
      <c r="E20" s="242"/>
      <c r="F20" s="71"/>
      <c r="G20" s="263">
        <v>0</v>
      </c>
    </row>
    <row r="21" spans="1:7" x14ac:dyDescent="0.3">
      <c r="A21" s="243" t="s">
        <v>152</v>
      </c>
      <c r="B21" s="244">
        <v>1</v>
      </c>
      <c r="C21" s="258">
        <f>B21*0.5</f>
        <v>0.5</v>
      </c>
      <c r="D21" s="259"/>
      <c r="E21" s="247"/>
      <c r="F21" s="71"/>
      <c r="G21" s="262">
        <v>0</v>
      </c>
    </row>
    <row r="22" spans="1:7" x14ac:dyDescent="0.3">
      <c r="A22" s="110" t="s">
        <v>132</v>
      </c>
      <c r="B22" s="166">
        <v>1</v>
      </c>
      <c r="C22" s="68">
        <v>1</v>
      </c>
      <c r="D22" s="235"/>
      <c r="E22" s="237"/>
      <c r="F22" s="71"/>
      <c r="G22" s="256">
        <v>0</v>
      </c>
    </row>
    <row r="23" spans="1:7" x14ac:dyDescent="0.3">
      <c r="A23" s="110" t="s">
        <v>130</v>
      </c>
      <c r="B23" s="166">
        <v>27</v>
      </c>
      <c r="C23" s="68">
        <f>B23/200</f>
        <v>0.13500000000000001</v>
      </c>
      <c r="D23" s="235"/>
      <c r="E23" s="237"/>
      <c r="F23" s="71"/>
      <c r="G23" s="264">
        <f>B23/100</f>
        <v>0.27</v>
      </c>
    </row>
    <row r="24" spans="1:7" x14ac:dyDescent="0.3">
      <c r="A24" s="238" t="s">
        <v>129</v>
      </c>
      <c r="B24" s="239">
        <v>42</v>
      </c>
      <c r="C24" s="240">
        <f>B24/150</f>
        <v>0.28000000000000003</v>
      </c>
      <c r="D24" s="241"/>
      <c r="E24" s="242"/>
      <c r="F24" s="71"/>
      <c r="G24" s="291">
        <f>B24/20</f>
        <v>2.1</v>
      </c>
    </row>
    <row r="25" spans="1:7" x14ac:dyDescent="0.3">
      <c r="A25" s="243" t="s">
        <v>153</v>
      </c>
      <c r="B25" s="244">
        <v>1</v>
      </c>
      <c r="C25" s="245">
        <f>B25*0.5</f>
        <v>0.5</v>
      </c>
      <c r="D25" s="246"/>
      <c r="E25" s="247"/>
      <c r="F25" s="71"/>
      <c r="G25" s="262">
        <v>0</v>
      </c>
    </row>
    <row r="26" spans="1:7" x14ac:dyDescent="0.3">
      <c r="A26" s="248" t="s">
        <v>106</v>
      </c>
      <c r="B26" s="249">
        <v>1</v>
      </c>
      <c r="C26" s="250">
        <v>2</v>
      </c>
      <c r="D26" s="251"/>
      <c r="E26" s="237"/>
      <c r="F26" s="71"/>
      <c r="G26" s="256">
        <v>0</v>
      </c>
    </row>
    <row r="27" spans="1:7" x14ac:dyDescent="0.3">
      <c r="A27" s="363" t="s">
        <v>204</v>
      </c>
      <c r="B27" s="364">
        <v>1</v>
      </c>
      <c r="C27" s="365">
        <v>0</v>
      </c>
      <c r="D27" s="366"/>
      <c r="E27" s="367"/>
      <c r="F27" s="288"/>
      <c r="G27" s="262" t="s">
        <v>135</v>
      </c>
    </row>
    <row r="28" spans="1:7" x14ac:dyDescent="0.3">
      <c r="A28" s="248" t="s">
        <v>277</v>
      </c>
      <c r="B28" s="249">
        <v>1</v>
      </c>
      <c r="C28" s="463">
        <v>0.02</v>
      </c>
      <c r="D28" s="251"/>
      <c r="E28" s="237"/>
      <c r="F28" s="71"/>
      <c r="G28" s="256" t="s">
        <v>235</v>
      </c>
    </row>
    <row r="29" spans="1:7" ht="16.2" thickBot="1" x14ac:dyDescent="0.35">
      <c r="A29" s="142"/>
      <c r="B29" s="167"/>
      <c r="C29" s="54"/>
      <c r="D29" s="252"/>
      <c r="E29" s="253"/>
      <c r="F29" s="71"/>
      <c r="G29" s="257"/>
    </row>
    <row r="30" spans="1:7" ht="24" thickTop="1" thickBot="1" x14ac:dyDescent="0.45">
      <c r="A30" s="19"/>
      <c r="B30" s="19"/>
      <c r="D30" s="360" t="s">
        <v>203</v>
      </c>
      <c r="E30" s="57"/>
    </row>
    <row r="31" spans="1:7" s="23" customFormat="1" ht="16.8" thickTop="1" thickBot="1" x14ac:dyDescent="0.35">
      <c r="A31" s="48" t="s">
        <v>59</v>
      </c>
      <c r="B31" s="170" t="s">
        <v>2</v>
      </c>
      <c r="C31" s="49" t="s">
        <v>19</v>
      </c>
      <c r="D31" s="445" t="s">
        <v>265</v>
      </c>
      <c r="E31" s="446" t="s">
        <v>61</v>
      </c>
      <c r="G31" s="254" t="s">
        <v>150</v>
      </c>
    </row>
    <row r="32" spans="1:7" x14ac:dyDescent="0.3">
      <c r="A32" s="110" t="s">
        <v>98</v>
      </c>
      <c r="B32" s="166">
        <v>1</v>
      </c>
      <c r="C32" s="68">
        <v>1</v>
      </c>
      <c r="D32" s="447" t="s">
        <v>266</v>
      </c>
      <c r="E32" s="448" t="s">
        <v>97</v>
      </c>
      <c r="G32" s="256">
        <v>100</v>
      </c>
    </row>
    <row r="33" spans="1:7" x14ac:dyDescent="0.3">
      <c r="A33" s="110" t="s">
        <v>90</v>
      </c>
      <c r="B33" s="166">
        <v>1</v>
      </c>
      <c r="C33" s="68">
        <v>5</v>
      </c>
      <c r="D33" s="447" t="s">
        <v>266</v>
      </c>
      <c r="E33" s="448"/>
      <c r="G33" s="256">
        <v>0</v>
      </c>
    </row>
    <row r="34" spans="1:7" x14ac:dyDescent="0.3">
      <c r="A34" s="139" t="s">
        <v>115</v>
      </c>
      <c r="B34" s="168">
        <v>80</v>
      </c>
      <c r="C34" s="52">
        <f>B34*0.25</f>
        <v>20</v>
      </c>
      <c r="D34" s="447" t="s">
        <v>266</v>
      </c>
      <c r="E34" s="448"/>
      <c r="G34" s="256">
        <v>0</v>
      </c>
    </row>
    <row r="35" spans="1:7" x14ac:dyDescent="0.3">
      <c r="A35" s="110" t="s">
        <v>118</v>
      </c>
      <c r="B35" s="166">
        <v>7</v>
      </c>
      <c r="C35" s="52">
        <f>0.5*B35</f>
        <v>3.5</v>
      </c>
      <c r="D35" s="449" t="s">
        <v>266</v>
      </c>
      <c r="E35" s="53"/>
      <c r="G35" s="256">
        <v>0</v>
      </c>
    </row>
    <row r="36" spans="1:7" x14ac:dyDescent="0.3">
      <c r="A36" s="110" t="s">
        <v>99</v>
      </c>
      <c r="B36" s="166">
        <v>1</v>
      </c>
      <c r="C36" s="68">
        <v>4</v>
      </c>
      <c r="D36" s="450" t="s">
        <v>266</v>
      </c>
      <c r="E36" s="53"/>
      <c r="G36" s="256">
        <v>15</v>
      </c>
    </row>
    <row r="37" spans="1:7" x14ac:dyDescent="0.3">
      <c r="A37" s="110" t="s">
        <v>108</v>
      </c>
      <c r="B37" s="166">
        <v>1</v>
      </c>
      <c r="C37" s="68">
        <v>1</v>
      </c>
      <c r="D37" s="451" t="s">
        <v>266</v>
      </c>
      <c r="E37" s="53"/>
      <c r="G37" s="256">
        <v>0</v>
      </c>
    </row>
    <row r="38" spans="1:7" x14ac:dyDescent="0.3">
      <c r="A38" s="110" t="s">
        <v>102</v>
      </c>
      <c r="B38" s="166">
        <v>2</v>
      </c>
      <c r="C38" s="68">
        <v>0</v>
      </c>
      <c r="D38" s="451" t="s">
        <v>266</v>
      </c>
      <c r="E38" s="53"/>
      <c r="G38" s="256">
        <v>0</v>
      </c>
    </row>
    <row r="39" spans="1:7" x14ac:dyDescent="0.3">
      <c r="A39" s="110" t="s">
        <v>101</v>
      </c>
      <c r="B39" s="166">
        <v>2</v>
      </c>
      <c r="C39" s="68">
        <v>0</v>
      </c>
      <c r="D39" s="451" t="s">
        <v>266</v>
      </c>
      <c r="E39" s="53"/>
      <c r="G39" s="256">
        <v>0</v>
      </c>
    </row>
    <row r="40" spans="1:7" x14ac:dyDescent="0.3">
      <c r="A40" s="110" t="s">
        <v>124</v>
      </c>
      <c r="B40" s="166">
        <v>1</v>
      </c>
      <c r="C40" s="68">
        <v>1</v>
      </c>
      <c r="D40" s="451" t="s">
        <v>266</v>
      </c>
      <c r="E40" s="53"/>
      <c r="G40" s="256">
        <v>1</v>
      </c>
    </row>
    <row r="41" spans="1:7" x14ac:dyDescent="0.3">
      <c r="A41" s="110" t="s">
        <v>80</v>
      </c>
      <c r="B41" s="166">
        <v>25</v>
      </c>
      <c r="C41" s="68">
        <v>0</v>
      </c>
      <c r="D41" s="451" t="s">
        <v>266</v>
      </c>
      <c r="E41" s="53"/>
      <c r="G41" s="256">
        <v>0</v>
      </c>
    </row>
    <row r="42" spans="1:7" x14ac:dyDescent="0.3">
      <c r="A42" s="110" t="s">
        <v>91</v>
      </c>
      <c r="B42" s="166">
        <v>50</v>
      </c>
      <c r="C42" s="68">
        <v>0</v>
      </c>
      <c r="D42" s="451" t="s">
        <v>266</v>
      </c>
      <c r="E42" s="53"/>
      <c r="G42" s="256">
        <v>0</v>
      </c>
    </row>
    <row r="43" spans="1:7" x14ac:dyDescent="0.3">
      <c r="A43" s="110" t="s">
        <v>109</v>
      </c>
      <c r="B43" s="166">
        <v>1</v>
      </c>
      <c r="C43" s="68">
        <v>0.25</v>
      </c>
      <c r="D43" s="451" t="s">
        <v>266</v>
      </c>
      <c r="E43" s="53"/>
      <c r="G43" s="256">
        <v>0</v>
      </c>
    </row>
    <row r="44" spans="1:7" x14ac:dyDescent="0.3">
      <c r="A44" s="110" t="s">
        <v>105</v>
      </c>
      <c r="B44" s="166">
        <v>3</v>
      </c>
      <c r="C44" s="68">
        <f>B44*0.5</f>
        <v>1.5</v>
      </c>
      <c r="D44" s="451" t="s">
        <v>266</v>
      </c>
      <c r="E44" s="53"/>
      <c r="G44" s="256">
        <v>0</v>
      </c>
    </row>
    <row r="45" spans="1:7" x14ac:dyDescent="0.3">
      <c r="A45" s="110" t="s">
        <v>81</v>
      </c>
      <c r="B45" s="166">
        <v>1</v>
      </c>
      <c r="C45" s="68">
        <v>1</v>
      </c>
      <c r="D45" s="451" t="s">
        <v>266</v>
      </c>
      <c r="E45" s="53"/>
      <c r="G45" s="256">
        <v>0</v>
      </c>
    </row>
    <row r="46" spans="1:7" x14ac:dyDescent="0.3">
      <c r="A46" s="110" t="s">
        <v>100</v>
      </c>
      <c r="B46" s="166">
        <v>2</v>
      </c>
      <c r="C46" s="68">
        <f>B46/10</f>
        <v>0.2</v>
      </c>
      <c r="D46" s="451" t="s">
        <v>266</v>
      </c>
      <c r="E46" s="53"/>
      <c r="G46" s="256">
        <v>0</v>
      </c>
    </row>
    <row r="47" spans="1:7" x14ac:dyDescent="0.3">
      <c r="A47" s="110" t="s">
        <v>196</v>
      </c>
      <c r="B47" s="166">
        <v>500</v>
      </c>
      <c r="C47" s="68">
        <f>B47/100</f>
        <v>5</v>
      </c>
      <c r="D47" s="451" t="s">
        <v>266</v>
      </c>
      <c r="E47" s="53"/>
      <c r="G47" s="256">
        <f>B47</f>
        <v>500</v>
      </c>
    </row>
    <row r="48" spans="1:7" x14ac:dyDescent="0.3">
      <c r="A48" s="110" t="s">
        <v>110</v>
      </c>
      <c r="B48" s="166">
        <v>7</v>
      </c>
      <c r="C48" s="52">
        <v>0</v>
      </c>
      <c r="D48" s="449" t="s">
        <v>266</v>
      </c>
      <c r="E48" s="53"/>
      <c r="G48" s="256">
        <v>0</v>
      </c>
    </row>
    <row r="49" spans="1:7" ht="16.2" thickBot="1" x14ac:dyDescent="0.35">
      <c r="A49" s="140" t="s">
        <v>107</v>
      </c>
      <c r="B49" s="169">
        <v>1</v>
      </c>
      <c r="C49" s="54">
        <v>0.5</v>
      </c>
      <c r="D49" s="452" t="s">
        <v>266</v>
      </c>
      <c r="E49" s="55"/>
      <c r="G49" s="257">
        <v>0</v>
      </c>
    </row>
    <row r="50" spans="1:7" ht="16.2" thickTop="1" x14ac:dyDescent="0.3"/>
    <row r="51" spans="1:7" x14ac:dyDescent="0.3">
      <c r="E51" s="273" t="s">
        <v>162</v>
      </c>
      <c r="F51" s="266"/>
      <c r="G51" s="274">
        <f>SUM(G3:G49,Martial!M3:M41)</f>
        <v>61098.37</v>
      </c>
    </row>
  </sheetData>
  <sortState xmlns:xlrd2="http://schemas.microsoft.com/office/spreadsheetml/2017/richdata2" ref="A3:E14">
    <sortCondition ref="A3:A14"/>
  </sortState>
  <phoneticPr fontId="0" type="noConversion"/>
  <conditionalFormatting sqref="G51">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2016-11-01T13:04:40Z</cp:lastPrinted>
  <dcterms:created xsi:type="dcterms:W3CDTF">2000-10-24T15:39:59Z</dcterms:created>
  <dcterms:modified xsi:type="dcterms:W3CDTF">2024-07-14T12:45:03Z</dcterms:modified>
</cp:coreProperties>
</file>