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C:\A\Juegos\FMN\PCs\"/>
    </mc:Choice>
  </mc:AlternateContent>
  <xr:revisionPtr revIDLastSave="0" documentId="13_ncr:1_{E011FD2A-0140-4BF8-956B-8AD5A791407D}"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File'!$A$1:$H$33</definedName>
    <definedName name="_xlnm.Print_Area" localSheetId="1">Skills!$A$1:$K$37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4" l="1"/>
  <c r="B12" i="4"/>
  <c r="H27" i="15"/>
  <c r="B16" i="4"/>
  <c r="B15" i="4"/>
  <c r="B14" i="4"/>
  <c r="B13" i="4"/>
  <c r="F33" i="15"/>
  <c r="F48" i="15"/>
  <c r="M21" i="6"/>
  <c r="F36" i="15"/>
  <c r="F22" i="15"/>
  <c r="F17" i="15"/>
  <c r="G6" i="19"/>
  <c r="M8" i="6"/>
  <c r="F44" i="15"/>
  <c r="F50" i="15"/>
  <c r="F24" i="15"/>
  <c r="F9" i="15"/>
  <c r="F7" i="15"/>
  <c r="B5" i="15"/>
  <c r="B4" i="15"/>
  <c r="B3" i="15"/>
  <c r="B9" i="4"/>
  <c r="G25" i="19" l="1"/>
  <c r="H34" i="15" l="1"/>
  <c r="H46" i="15"/>
  <c r="H45" i="15"/>
  <c r="H44" i="15"/>
  <c r="H43" i="15"/>
  <c r="H42" i="15"/>
  <c r="H41" i="15"/>
  <c r="H40" i="15"/>
  <c r="H39" i="15"/>
  <c r="H38" i="15"/>
  <c r="H37" i="15"/>
  <c r="H36" i="15"/>
  <c r="H35" i="15"/>
  <c r="H33" i="15"/>
  <c r="H32" i="15"/>
  <c r="H31" i="15"/>
  <c r="H30" i="15"/>
  <c r="H29" i="15"/>
  <c r="H28" i="15"/>
  <c r="H26" i="15"/>
  <c r="H25" i="15"/>
  <c r="H24" i="15"/>
  <c r="H23" i="15"/>
  <c r="H22" i="15"/>
  <c r="H21" i="15"/>
  <c r="H20" i="15"/>
  <c r="H19" i="15"/>
  <c r="H18" i="15"/>
  <c r="H17" i="15"/>
  <c r="H16" i="15"/>
  <c r="H15" i="15"/>
  <c r="H14" i="15"/>
  <c r="H13" i="15"/>
  <c r="H12" i="15"/>
  <c r="H11" i="15"/>
  <c r="H10" i="15"/>
  <c r="H9" i="15"/>
  <c r="H8" i="15"/>
  <c r="H7" i="15"/>
  <c r="M17" i="6"/>
  <c r="M18" i="6"/>
  <c r="C25" i="19"/>
  <c r="G17" i="6" l="1"/>
  <c r="G18" i="6"/>
  <c r="F12" i="15"/>
  <c r="I3" i="6" l="1"/>
  <c r="H3" i="15" l="1"/>
  <c r="H4" i="15"/>
  <c r="H5" i="15"/>
  <c r="H6" i="15"/>
  <c r="I8" i="6" l="1"/>
  <c r="I9" i="6"/>
  <c r="I10" i="6"/>
  <c r="I4" i="6"/>
  <c r="I5" i="6"/>
  <c r="H51" i="15" l="1"/>
  <c r="H50" i="15"/>
  <c r="H47" i="15" l="1"/>
  <c r="G28" i="19" l="1"/>
  <c r="E12" i="4" l="1"/>
  <c r="H52" i="15" l="1"/>
  <c r="H49" i="15"/>
  <c r="H48" i="15"/>
  <c r="C13" i="4" l="1"/>
  <c r="E13" i="4" s="1"/>
  <c r="D10" i="15" l="1"/>
  <c r="G10" i="15" s="1"/>
  <c r="D3" i="15"/>
  <c r="C11" i="4"/>
  <c r="C3" i="6" s="1"/>
  <c r="C12" i="4"/>
  <c r="E14" i="4" s="1"/>
  <c r="C14" i="4"/>
  <c r="C15" i="4"/>
  <c r="D40" i="15" s="1"/>
  <c r="C16" i="4"/>
  <c r="E55" i="15" l="1"/>
  <c r="E56" i="15"/>
  <c r="C4" i="6"/>
  <c r="C10" i="6"/>
  <c r="C5" i="6"/>
  <c r="H4" i="6"/>
  <c r="H5" i="6"/>
  <c r="J5" i="6" s="1"/>
  <c r="H3" i="6"/>
  <c r="H8" i="6"/>
  <c r="H9" i="6"/>
  <c r="J9" i="6" s="1"/>
  <c r="E40" i="15"/>
  <c r="G40" i="15"/>
  <c r="I40" i="15" s="1"/>
  <c r="D32" i="15"/>
  <c r="D31" i="15"/>
  <c r="D30" i="15"/>
  <c r="D29" i="15"/>
  <c r="D33" i="15"/>
  <c r="D28" i="15"/>
  <c r="D27" i="15"/>
  <c r="D26" i="15"/>
  <c r="C8" i="6"/>
  <c r="D14" i="15"/>
  <c r="G14" i="15" s="1"/>
  <c r="D23" i="15"/>
  <c r="G23" i="15" s="1"/>
  <c r="D19" i="15"/>
  <c r="G19" i="15" s="1"/>
  <c r="D8" i="15"/>
  <c r="G8" i="15" s="1"/>
  <c r="D16" i="15"/>
  <c r="G16" i="15" s="1"/>
  <c r="D20" i="15"/>
  <c r="G20" i="15" s="1"/>
  <c r="D38" i="15"/>
  <c r="G38" i="15" s="1"/>
  <c r="D35" i="15"/>
  <c r="G35" i="15" s="1"/>
  <c r="D39" i="15"/>
  <c r="G39" i="15" s="1"/>
  <c r="D43" i="15"/>
  <c r="G43" i="15" s="1"/>
  <c r="D5" i="15"/>
  <c r="D21" i="15"/>
  <c r="G21" i="15" s="1"/>
  <c r="D18" i="15"/>
  <c r="G18" i="15" s="1"/>
  <c r="D6" i="15"/>
  <c r="G6" i="15" s="1"/>
  <c r="D11" i="15"/>
  <c r="G11" i="15" s="1"/>
  <c r="D15" i="15"/>
  <c r="G15" i="15" s="1"/>
  <c r="D42" i="15"/>
  <c r="G42" i="15" s="1"/>
  <c r="D12" i="15"/>
  <c r="G12" i="15" s="1"/>
  <c r="D25" i="15"/>
  <c r="G25" i="15" s="1"/>
  <c r="D13" i="15"/>
  <c r="G13" i="15" s="1"/>
  <c r="D34" i="15"/>
  <c r="G34" i="15" s="1"/>
  <c r="E3" i="15"/>
  <c r="G3" i="15"/>
  <c r="I3" i="15" s="1"/>
  <c r="I10" i="15"/>
  <c r="E10" i="15"/>
  <c r="D44" i="15"/>
  <c r="G44" i="15" s="1"/>
  <c r="D22" i="15"/>
  <c r="G22" i="15" s="1"/>
  <c r="D4" i="15"/>
  <c r="D37" i="15"/>
  <c r="G37" i="15" s="1"/>
  <c r="D7" i="15"/>
  <c r="G7" i="15" s="1"/>
  <c r="D17" i="15"/>
  <c r="G17" i="15" s="1"/>
  <c r="D41" i="15"/>
  <c r="G41" i="15" s="1"/>
  <c r="D36" i="15"/>
  <c r="G36" i="15" s="1"/>
  <c r="D24" i="15"/>
  <c r="G24" i="15" s="1"/>
  <c r="D9" i="15"/>
  <c r="G9" i="15" s="1"/>
  <c r="D45" i="15"/>
  <c r="D46" i="15"/>
  <c r="E16" i="4"/>
  <c r="E15" i="4" s="1"/>
  <c r="D52" i="15"/>
  <c r="D50" i="15"/>
  <c r="D49" i="15"/>
  <c r="D51" i="15"/>
  <c r="D47" i="15"/>
  <c r="D48" i="15"/>
  <c r="B10" i="4"/>
  <c r="H10" i="6"/>
  <c r="J10" i="6" s="1"/>
  <c r="E54" i="15"/>
  <c r="E50" i="15" l="1"/>
  <c r="G50" i="15"/>
  <c r="E52" i="15"/>
  <c r="G52" i="15"/>
  <c r="E48" i="15"/>
  <c r="G48" i="15"/>
  <c r="G27" i="15"/>
  <c r="I27" i="15" s="1"/>
  <c r="E27" i="15"/>
  <c r="E30" i="15"/>
  <c r="G30" i="15"/>
  <c r="I30" i="15" s="1"/>
  <c r="G31" i="15"/>
  <c r="I31" i="15" s="1"/>
  <c r="E31" i="15"/>
  <c r="G32" i="15"/>
  <c r="I32" i="15" s="1"/>
  <c r="E32" i="15"/>
  <c r="E46" i="15"/>
  <c r="G46" i="15"/>
  <c r="E45" i="15"/>
  <c r="G45" i="15"/>
  <c r="E51" i="15"/>
  <c r="G51" i="15"/>
  <c r="G28" i="15"/>
  <c r="I28" i="15" s="1"/>
  <c r="E28" i="15"/>
  <c r="E47" i="15"/>
  <c r="G47" i="15"/>
  <c r="E49" i="15"/>
  <c r="G49" i="15"/>
  <c r="G33" i="15"/>
  <c r="I33" i="15" s="1"/>
  <c r="E33" i="15"/>
  <c r="G26" i="15"/>
  <c r="I26" i="15" s="1"/>
  <c r="E26" i="15"/>
  <c r="G29" i="15"/>
  <c r="I29" i="15" s="1"/>
  <c r="E29" i="15"/>
  <c r="E15" i="15"/>
  <c r="I15" i="15"/>
  <c r="I35" i="15"/>
  <c r="E35" i="15"/>
  <c r="E11" i="15"/>
  <c r="I11" i="15"/>
  <c r="I38" i="15"/>
  <c r="E38" i="15"/>
  <c r="E6" i="15"/>
  <c r="I6" i="15"/>
  <c r="I20" i="15"/>
  <c r="E20" i="15"/>
  <c r="E34" i="15"/>
  <c r="I34" i="15"/>
  <c r="E18" i="15"/>
  <c r="I18" i="15"/>
  <c r="I16" i="15"/>
  <c r="E16" i="15"/>
  <c r="E13" i="15"/>
  <c r="I13" i="15"/>
  <c r="I21" i="15"/>
  <c r="E21" i="15"/>
  <c r="I8" i="15"/>
  <c r="E8" i="15"/>
  <c r="E25" i="15"/>
  <c r="I25" i="15"/>
  <c r="E5" i="15"/>
  <c r="G5" i="15"/>
  <c r="I5" i="15" s="1"/>
  <c r="I19" i="15"/>
  <c r="E19" i="15"/>
  <c r="E12" i="15"/>
  <c r="I12" i="15"/>
  <c r="I43" i="15"/>
  <c r="E43" i="15"/>
  <c r="I23" i="15"/>
  <c r="E23" i="15"/>
  <c r="I42" i="15"/>
  <c r="E42" i="15"/>
  <c r="I39" i="15"/>
  <c r="E39" i="15"/>
  <c r="E14" i="15"/>
  <c r="I14" i="15"/>
  <c r="E53" i="15"/>
  <c r="E17" i="15"/>
  <c r="I17" i="15"/>
  <c r="I41" i="15"/>
  <c r="E41" i="15"/>
  <c r="E7" i="15"/>
  <c r="I7" i="15"/>
  <c r="E37" i="15"/>
  <c r="I37" i="15"/>
  <c r="E4" i="15"/>
  <c r="G4" i="15"/>
  <c r="I4" i="15" s="1"/>
  <c r="E22" i="15"/>
  <c r="I22" i="15"/>
  <c r="E44" i="15"/>
  <c r="I44" i="15"/>
  <c r="I36" i="15"/>
  <c r="E36" i="15"/>
  <c r="I9" i="15"/>
  <c r="E9" i="15"/>
  <c r="E24" i="15"/>
  <c r="I24" i="15"/>
  <c r="J4" i="6"/>
  <c r="J8" i="6"/>
  <c r="J3" i="6"/>
  <c r="B53" i="15" l="1"/>
  <c r="I49" i="15" l="1"/>
  <c r="I47" i="15"/>
  <c r="I52" i="15"/>
  <c r="I46" i="15"/>
  <c r="I48" i="15"/>
  <c r="I45" i="15"/>
  <c r="I50" i="15"/>
  <c r="I51"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9" authorId="0" shapeId="0" xr:uid="{D710FD3C-68CD-4B1C-A3AD-642AD67F552C}">
      <text>
        <r>
          <rPr>
            <sz val="12"/>
            <color indexed="81"/>
            <rFont val="Times New Roman"/>
            <family val="1"/>
          </rPr>
          <t>Quick</t>
        </r>
      </text>
    </comment>
    <comment ref="B11" authorId="0" shapeId="0" xr:uid="{E10CB9F7-3E40-4970-A7F1-3C7BEB63E73E}">
      <text>
        <r>
          <rPr>
            <i/>
            <sz val="12"/>
            <color indexed="81"/>
            <rFont val="Times New Roman"/>
            <family val="1"/>
          </rPr>
          <t>Enlarge Person +2
Poison -1</t>
        </r>
      </text>
    </comment>
    <comment ref="E11" authorId="0" shapeId="0" xr:uid="{86F53BFD-2F1A-4805-8E92-D6AC1D1C005E}">
      <text>
        <r>
          <rPr>
            <sz val="12"/>
            <color indexed="81"/>
            <rFont val="Times New Roman"/>
            <family val="1"/>
          </rPr>
          <t>See PHB 162</t>
        </r>
      </text>
    </comment>
    <comment ref="B12" authorId="0" shapeId="0" xr:uid="{E46FE76F-5AC7-402C-A98F-E30DA9C4AD37}">
      <text>
        <r>
          <rPr>
            <i/>
            <sz val="12"/>
            <color indexed="81"/>
            <rFont val="Times New Roman"/>
            <family val="1"/>
          </rPr>
          <t>Enlarge Person -2</t>
        </r>
      </text>
    </comment>
    <comment ref="E13" authorId="0" shapeId="0" xr:uid="{00000000-0006-0000-0000-000005000000}">
      <text>
        <r>
          <rPr>
            <sz val="12"/>
            <color indexed="81"/>
            <rFont val="Times New Roman"/>
            <family val="1"/>
          </rPr>
          <t>[(1 * 6 Rogue) * 75%] + 
[(1 * 8 Ranger) * 75%] + 
[(1 * 8 Scout) * 75%] + 
(1  * [2 - 1 Frail - 1 Quick]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E0906E95-E707-4479-B103-5457875014C4}">
      <text>
        <r>
          <rPr>
            <sz val="12"/>
            <color indexed="81"/>
            <rFont val="Times New Roman"/>
            <family val="1"/>
          </rPr>
          <t>Survivor +1</t>
        </r>
      </text>
    </comment>
    <comment ref="F4" authorId="0" shapeId="0" xr:uid="{87403052-0118-4351-A5CD-66F00A3F51E8}">
      <text>
        <r>
          <rPr>
            <sz val="12"/>
            <color indexed="81"/>
            <rFont val="Times New Roman"/>
            <family val="1"/>
          </rPr>
          <t>Detached -1</t>
        </r>
      </text>
    </comment>
    <comment ref="F5" authorId="0" shapeId="0" xr:uid="{CF604C40-162B-483E-B326-497759858F9D}">
      <text>
        <r>
          <rPr>
            <sz val="12"/>
            <color indexed="81"/>
            <rFont val="Times New Roman"/>
            <family val="1"/>
          </rPr>
          <t>Detached +1</t>
        </r>
      </text>
    </comment>
    <comment ref="F7" authorId="0" shapeId="0" xr:uid="{9DAD983F-5B12-4A48-A5EE-D1FA8ED55FF0}">
      <text>
        <r>
          <rPr>
            <sz val="12"/>
            <color indexed="81"/>
            <rFont val="Times New Roman"/>
            <family val="1"/>
          </rPr>
          <t>Armor
Tumble Synergy +2</t>
        </r>
      </text>
    </comment>
    <comment ref="F9" authorId="0" shapeId="0" xr:uid="{B1C5CCD4-74CA-418E-8090-76283058CC3B}">
      <text>
        <r>
          <rPr>
            <sz val="12"/>
            <color indexed="81"/>
            <rFont val="Times New Roman"/>
            <family val="1"/>
          </rPr>
          <t>Armor</t>
        </r>
      </text>
    </comment>
    <comment ref="F11" authorId="0" shapeId="0" xr:uid="{5A022AAC-AF19-4608-90EF-D952D3A88F85}">
      <text>
        <r>
          <rPr>
            <sz val="12"/>
            <color indexed="81"/>
            <rFont val="Times New Roman"/>
            <family val="1"/>
          </rPr>
          <t>Dwarf +2</t>
        </r>
      </text>
    </comment>
    <comment ref="F12" authorId="0" shapeId="0" xr:uid="{C1CD226F-599C-4B02-A723-0110B6B70D01}">
      <text>
        <r>
          <rPr>
            <sz val="12"/>
            <color indexed="81"/>
            <rFont val="Times New Roman"/>
            <family val="1"/>
          </rPr>
          <t>Dwarf +2
MW Tools +2</t>
        </r>
      </text>
    </comment>
    <comment ref="F15" authorId="0" shapeId="0" xr:uid="{11B2C184-9E0A-4C32-ADCE-1AD4E978C601}">
      <text>
        <r>
          <rPr>
            <sz val="12"/>
            <color indexed="81"/>
            <rFont val="Times New Roman"/>
            <family val="1"/>
          </rPr>
          <t>MW Tools +2</t>
        </r>
      </text>
    </comment>
    <comment ref="F17" authorId="0" shapeId="0" xr:uid="{7BB5748E-0B5B-4F74-8AB5-35B5B9E59B0F}">
      <text>
        <r>
          <rPr>
            <sz val="12"/>
            <color indexed="81"/>
            <rFont val="Times New Roman"/>
            <family val="1"/>
          </rPr>
          <t>Armor</t>
        </r>
      </text>
    </comment>
    <comment ref="F22" authorId="0" shapeId="0" xr:uid="{753CD811-23F3-4842-A0AF-0A5B262430F7}">
      <text>
        <r>
          <rPr>
            <sz val="12"/>
            <color indexed="81"/>
            <rFont val="Times New Roman"/>
            <family val="1"/>
          </rPr>
          <t>Armor</t>
        </r>
      </text>
    </comment>
    <comment ref="F24" authorId="0" shapeId="0" xr:uid="{3C6272E3-919F-4D75-AA6E-861A56AE8909}">
      <text>
        <r>
          <rPr>
            <sz val="12"/>
            <color indexed="81"/>
            <rFont val="Times New Roman"/>
            <family val="1"/>
          </rPr>
          <t>Armor
Tumble Synergy +2</t>
        </r>
      </text>
    </comment>
    <comment ref="F25" authorId="0" shapeId="0" xr:uid="{F1C00783-5E59-4EA4-8AFF-B9D5E962F23C}">
      <text>
        <r>
          <rPr>
            <sz val="12"/>
            <color indexed="81"/>
            <rFont val="Times New Roman"/>
            <family val="1"/>
          </rPr>
          <t>Jack of All Trades
use as class skill with ½ rank</t>
        </r>
      </text>
    </comment>
    <comment ref="F26" authorId="0" shapeId="0" xr:uid="{FCB6F0DA-79AC-4D6D-BA9B-592B595F724E}">
      <text>
        <r>
          <rPr>
            <sz val="12"/>
            <color indexed="81"/>
            <rFont val="Times New Roman"/>
            <family val="1"/>
          </rPr>
          <t>Jack of All Trades
use as class skill with ½ rank</t>
        </r>
      </text>
    </comment>
    <comment ref="F29" authorId="0" shapeId="0" xr:uid="{A498DAE5-6641-4BCA-999E-1D06E8698043}">
      <text>
        <r>
          <rPr>
            <sz val="12"/>
            <color indexed="81"/>
            <rFont val="Times New Roman"/>
            <family val="1"/>
          </rPr>
          <t>Jack of All Trades
use as class skill with ½ rank</t>
        </r>
      </text>
    </comment>
    <comment ref="F31" authorId="0" shapeId="0" xr:uid="{50EE3A8E-F313-4DCE-9C71-E88A21466736}">
      <text>
        <r>
          <rPr>
            <sz val="12"/>
            <color indexed="81"/>
            <rFont val="Times New Roman"/>
            <family val="1"/>
          </rPr>
          <t>Survival Synergy +2</t>
        </r>
      </text>
    </comment>
    <comment ref="F32" authorId="0" shapeId="0" xr:uid="{CFAEE0BC-ED57-4CAE-8859-0080BD45D52E}">
      <text>
        <r>
          <rPr>
            <sz val="12"/>
            <color indexed="81"/>
            <rFont val="Times New Roman"/>
            <family val="1"/>
          </rPr>
          <t>Jack of All Trades
use as class skill with ½ rank</t>
        </r>
      </text>
    </comment>
    <comment ref="F33" authorId="0" shapeId="0" xr:uid="{E3822C82-805E-49A1-BAF0-98CEEB4D9688}">
      <text>
        <r>
          <rPr>
            <sz val="12"/>
            <color indexed="81"/>
            <rFont val="Times New Roman"/>
            <family val="1"/>
          </rPr>
          <t>Jack of All Trades
use as class skill with ½ rank</t>
        </r>
      </text>
    </comment>
    <comment ref="F34" authorId="0" shapeId="0" xr:uid="{104DE25F-38A1-4691-9470-59113DE8E809}">
      <text>
        <r>
          <rPr>
            <sz val="12"/>
            <color indexed="81"/>
            <rFont val="Times New Roman"/>
            <family val="1"/>
          </rPr>
          <t>Jack of All Trades
use as class skill with ½ rank</t>
        </r>
      </text>
    </comment>
    <comment ref="F36" authorId="0" shapeId="0" xr:uid="{20E036DF-2A01-4B21-A549-171A901E131D}">
      <text>
        <r>
          <rPr>
            <sz val="12"/>
            <color indexed="81"/>
            <rFont val="Times New Roman"/>
            <family val="1"/>
          </rPr>
          <t>Armor</t>
        </r>
      </text>
    </comment>
    <comment ref="F37" authorId="0" shapeId="0" xr:uid="{B93BA04B-925C-4A46-ACB6-EC7D3A405009}">
      <text>
        <r>
          <rPr>
            <sz val="12"/>
            <color indexed="81"/>
            <rFont val="Times New Roman"/>
            <family val="1"/>
          </rPr>
          <t>MW Tools +2</t>
        </r>
      </text>
    </comment>
    <comment ref="F40" authorId="0" shapeId="0" xr:uid="{7E11578B-E6BB-4E0B-A44D-A1FACE228942}">
      <text>
        <r>
          <rPr>
            <sz val="12"/>
            <color indexed="81"/>
            <rFont val="Times New Roman"/>
            <family val="1"/>
          </rPr>
          <t>Jack of All Trades
use as class skill with ½ rank</t>
        </r>
      </text>
    </comment>
    <comment ref="F44" authorId="0" shapeId="0" xr:uid="{799CFD4B-FCB3-4F22-9303-3F084CFB8234}">
      <text>
        <r>
          <rPr>
            <sz val="12"/>
            <color indexed="81"/>
            <rFont val="Times New Roman"/>
            <family val="1"/>
          </rPr>
          <t>Armor</t>
        </r>
      </text>
    </comment>
    <comment ref="F48" authorId="0" shapeId="0" xr:uid="{C4245632-A4C7-41C1-8E0B-F7EEF9A7CE6E}">
      <text>
        <r>
          <rPr>
            <sz val="12"/>
            <color indexed="81"/>
            <rFont val="Times New Roman"/>
            <family val="1"/>
          </rPr>
          <t>Survivor +1
K: Nature Synergy +2</t>
        </r>
      </text>
    </comment>
    <comment ref="F50" authorId="0" shapeId="0" xr:uid="{6BF922F7-A8BD-499D-AF21-4AC6818E4124}">
      <text>
        <r>
          <rPr>
            <sz val="12"/>
            <color indexed="81"/>
            <rFont val="Times New Roman"/>
            <family val="1"/>
          </rPr>
          <t>Jump Synergy +2</t>
        </r>
      </text>
    </comment>
    <comment ref="F52" authorId="0" shapeId="0" xr:uid="{379E7CF7-F60A-4949-8D17-168760F1FA6A}">
      <text>
        <r>
          <rPr>
            <sz val="12"/>
            <color indexed="81"/>
            <rFont val="Times New Roman"/>
            <family val="1"/>
          </rPr>
          <t>Silk Rope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300-000001000000}">
      <text>
        <r>
          <rPr>
            <sz val="12"/>
            <color indexed="81"/>
            <rFont val="Times New Roman"/>
            <family val="1"/>
          </rPr>
          <t xml:space="preserve">You have picked up a smattering of even the most obscure skills.
</t>
        </r>
        <r>
          <rPr>
            <b/>
            <sz val="12"/>
            <color indexed="81"/>
            <rFont val="Times New Roman"/>
            <family val="1"/>
          </rPr>
          <t xml:space="preserve">Prerequisite: </t>
        </r>
        <r>
          <rPr>
            <sz val="12"/>
            <color indexed="81"/>
            <rFont val="Times New Roman"/>
            <family val="1"/>
          </rPr>
          <t xml:space="preserve">Int 13.
</t>
        </r>
        <r>
          <rPr>
            <b/>
            <sz val="12"/>
            <color indexed="81"/>
            <rFont val="Times New Roman"/>
            <family val="1"/>
          </rPr>
          <t xml:space="preserve">Benefit: </t>
        </r>
        <r>
          <rPr>
            <sz val="12"/>
            <color indexed="81"/>
            <rFont val="Times New Roman"/>
            <family val="1"/>
          </rPr>
          <t xml:space="preserve">You can use any skill as if you had 1/2 rank in that skill. This benefit allows you to attempt checks with skills that normally don’t allow untrained skill checks (such as Decipher Script and Knowledge). If a skill doesn’t allow skill checks (such as Speak Language), this feat has no effect.
</t>
        </r>
        <r>
          <rPr>
            <b/>
            <sz val="12"/>
            <color indexed="81"/>
            <rFont val="Times New Roman"/>
            <family val="1"/>
          </rPr>
          <t xml:space="preserve">Normal: </t>
        </r>
        <r>
          <rPr>
            <sz val="12"/>
            <color indexed="81"/>
            <rFont val="Times New Roman"/>
            <family val="1"/>
          </rPr>
          <t>Without this feat, you can’t attempt some skill checks (Decipher Script, Disable Device, Handle Animal, Knowledge, Open Lock, Profession, Sleight of Hand, Speak Language, Spellcraft, Tumble, and Use Magic Device) unless you have ranks in the skill.
Complete Adventurer 110</t>
        </r>
      </text>
    </comment>
    <comment ref="A3" authorId="0" shapeId="0" xr:uid="{21EB31C3-C58E-4829-829A-1A5CD6F2890A}">
      <text>
        <r>
          <rPr>
            <sz val="12"/>
            <color indexed="81"/>
            <rFont val="Times New Roman"/>
            <family val="1"/>
          </rPr>
          <t>Benefit: You get a +1 bonus on Fortitude saves and a +1 bonus on all Survival checks.
FRCS 39</t>
        </r>
      </text>
    </comment>
    <comment ref="C3" authorId="0" shapeId="0" xr:uid="{0CFAEE02-356A-4934-B7FC-86B424F903FE}">
      <text>
        <r>
          <rPr>
            <sz val="12"/>
            <color indexed="81"/>
            <rFont val="Times New Roman"/>
            <family val="1"/>
          </rPr>
          <t>Hand crossbow, rapier, sap, shortbow, and short sword.
PHB 50</t>
        </r>
      </text>
    </comment>
    <comment ref="A5" authorId="0" shapeId="0" xr:uid="{2116BDDC-4CCA-4D6D-A7E6-AABD62277402}">
      <text>
        <r>
          <rPr>
            <sz val="12"/>
            <color indexed="81"/>
            <rFont val="Times New Roman"/>
            <family val="1"/>
          </rPr>
          <t xml:space="preserve">You can use your knowledge to exploit your foes’ weaknesses and overcome their strengths.
</t>
        </r>
        <r>
          <rPr>
            <b/>
            <sz val="12"/>
            <color indexed="81"/>
            <rFont val="Times New Roman"/>
            <family val="1"/>
          </rPr>
          <t xml:space="preserve">Prerequisite: </t>
        </r>
        <r>
          <rPr>
            <sz val="12"/>
            <color indexed="81"/>
            <rFont val="Times New Roman"/>
            <family val="1"/>
          </rPr>
          <t xml:space="preserve">Knowledge (any) 5 ranks.
</t>
        </r>
        <r>
          <rPr>
            <b/>
            <sz val="12"/>
            <color indexed="81"/>
            <rFont val="Times New Roman"/>
            <family val="1"/>
          </rPr>
          <t xml:space="preserve">Benefit: </t>
        </r>
        <r>
          <rPr>
            <sz val="12"/>
            <color indexed="81"/>
            <rFont val="Times New Roman"/>
            <family val="1"/>
          </rPr>
          <t xml:space="preserve">Upon selecting this feat, you immediately add one Knowledge skill of your choice to your list of class skills.  Thereafter, you treat that skill as a class skill, regardless of which class you are advancing in.  Whenever you fight a creature, you can make a Knowledge check based on its type, as described on page 78 of the Player’s Handbook, provided that you have at least one rank in the appropriate Knowledge skill.
You then receive an insight bonus on attack rolls and damage rolls against that creature type for the remainder of the combat.  The amount of the bonus depends on your Knowledge check result, as given on the following table.
</t>
        </r>
        <r>
          <rPr>
            <b/>
            <sz val="12"/>
            <color indexed="81"/>
            <rFont val="Times New Roman"/>
            <family val="1"/>
          </rPr>
          <t>Check Bonus    Result</t>
        </r>
        <r>
          <rPr>
            <sz val="12"/>
            <color indexed="81"/>
            <rFont val="Times New Roman"/>
            <family val="1"/>
          </rPr>
          <t xml:space="preserve">
15 or below          +1
16-25                    +2
26-30                    +3
31-35                    +4
36 or higher          +5
You can make only one Knowledge check per creature type per combat.  If you fight creatures of multiple types during the same combat, you can make one Knowledge check per type, thereby possibly gaining different bonuses against different opponents.
Complete Champion 60</t>
        </r>
      </text>
    </comment>
    <comment ref="C7" authorId="0" shapeId="0" xr:uid="{8F69FC52-E0D9-4C56-9C24-B265164AA966}">
      <text>
        <r>
          <rPr>
            <sz val="12"/>
            <color indexed="81"/>
            <rFont val="Times New Roman"/>
            <family val="1"/>
          </rPr>
          <t xml:space="preserve">You are thin and weak of frame.
</t>
        </r>
        <r>
          <rPr>
            <b/>
            <sz val="12"/>
            <color indexed="81"/>
            <rFont val="Times New Roman"/>
            <family val="1"/>
          </rPr>
          <t xml:space="preserve">Effect: </t>
        </r>
        <r>
          <rPr>
            <sz val="12"/>
            <color indexed="81"/>
            <rFont val="Times New Roman"/>
            <family val="1"/>
          </rPr>
          <t xml:space="preserve">Subtract 1 from the number of hit points you gain at each level. This flaw can reduce the number of hit points you gain to 0 (but not below).
</t>
        </r>
        <r>
          <rPr>
            <b/>
            <sz val="12"/>
            <color indexed="81"/>
            <rFont val="Times New Roman"/>
            <family val="1"/>
          </rPr>
          <t xml:space="preserve">Special: </t>
        </r>
        <r>
          <rPr>
            <sz val="12"/>
            <color indexed="81"/>
            <rFont val="Times New Roman"/>
            <family val="1"/>
          </rPr>
          <t>You must have a Constitution of 4 or higher to take this flaw.
UA 91</t>
        </r>
      </text>
    </comment>
    <comment ref="A8" authorId="0" shapeId="0" xr:uid="{00000000-0006-0000-0300-00000B000000}">
      <text>
        <r>
          <rPr>
            <sz val="12"/>
            <color indexed="81"/>
            <rFont val="Times New Roman"/>
            <family val="1"/>
          </rPr>
          <t>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A9" authorId="0" shapeId="0" xr:uid="{3C2ADB6D-0FAD-4EF4-B0FE-344928057FBA}">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C10" authorId="0" shapeId="0" xr:uid="{B7249699-9751-4993-A33F-42F157374022}">
      <text>
        <r>
          <rPr>
            <sz val="12"/>
            <color indexed="81"/>
            <rFont val="Times New Roman"/>
            <family val="1"/>
          </rPr>
          <t xml:space="preserve">You maintain a distance from events that keeps you grounded but limits your reaction speed.
</t>
        </r>
        <r>
          <rPr>
            <b/>
            <sz val="12"/>
            <color indexed="81"/>
            <rFont val="Times New Roman"/>
            <family val="1"/>
          </rPr>
          <t>Benefit:</t>
        </r>
        <r>
          <rPr>
            <sz val="12"/>
            <color indexed="81"/>
            <rFont val="Times New Roman"/>
            <family val="1"/>
          </rPr>
          <t xml:space="preserve"> You gain a +1 bonus on Will saves
</t>
        </r>
        <r>
          <rPr>
            <b/>
            <sz val="12"/>
            <color indexed="81"/>
            <rFont val="Times New Roman"/>
            <family val="1"/>
          </rPr>
          <t xml:space="preserve">Drawback: </t>
        </r>
        <r>
          <rPr>
            <sz val="12"/>
            <color indexed="81"/>
            <rFont val="Times New Roman"/>
            <family val="1"/>
          </rPr>
          <t xml:space="preserve">You take a –1 penalty on Reflex saves.
</t>
        </r>
        <r>
          <rPr>
            <b/>
            <sz val="12"/>
            <color indexed="81"/>
            <rFont val="Times New Roman"/>
            <family val="1"/>
          </rPr>
          <t xml:space="preserve">Roleplaying Ideas: </t>
        </r>
        <r>
          <rPr>
            <sz val="12"/>
            <color indexed="81"/>
            <rFont val="Times New Roman"/>
            <family val="1"/>
          </rPr>
          <t>Characters with this trait are likely to be quiet and restrained, but they might be vocal when others falter in their beliefs.
UA 87</t>
        </r>
      </text>
    </comment>
    <comment ref="C11" authorId="0" shapeId="0" xr:uid="{979520BA-1383-4394-BE81-AC96AFBBBE18}">
      <text>
        <r>
          <rPr>
            <sz val="12"/>
            <color indexed="81"/>
            <rFont val="Times New Roman"/>
            <family val="1"/>
          </rPr>
          <t xml:space="preserve">You are fast, but less sturdy than average members of your race.
</t>
        </r>
        <r>
          <rPr>
            <b/>
            <sz val="12"/>
            <color indexed="81"/>
            <rFont val="Times New Roman"/>
            <family val="1"/>
          </rPr>
          <t xml:space="preserve">Benefit: </t>
        </r>
        <r>
          <rPr>
            <sz val="12"/>
            <color indexed="81"/>
            <rFont val="Times New Roman"/>
            <family val="1"/>
          </rPr>
          <t xml:space="preserve">Your base land speed increases by 10 feet (if you don’t have a land speed, apply the benefit to whichever of your speeds is highest).
</t>
        </r>
        <r>
          <rPr>
            <b/>
            <sz val="12"/>
            <color indexed="81"/>
            <rFont val="Times New Roman"/>
            <family val="1"/>
          </rPr>
          <t xml:space="preserve">Drawback: </t>
        </r>
        <r>
          <rPr>
            <sz val="12"/>
            <color indexed="81"/>
            <rFont val="Times New Roman"/>
            <family val="1"/>
          </rPr>
          <t xml:space="preserve">Subtract 1 from your hit points gained at each level, including 1st (a result of 0 is possible).
</t>
        </r>
        <r>
          <rPr>
            <b/>
            <sz val="12"/>
            <color indexed="81"/>
            <rFont val="Times New Roman"/>
            <family val="1"/>
          </rPr>
          <t xml:space="preserve">Special: </t>
        </r>
        <r>
          <rPr>
            <sz val="12"/>
            <color indexed="81"/>
            <rFont val="Times New Roman"/>
            <family val="1"/>
          </rPr>
          <t>You must have a Constitution of 4 or higher to select this trait.
Roleplaying Ideas: Characters with this trait typically try to stay away from physical combat, but a rare few might relish it, striving to see if their superior speed is enough to best hardier warriors.
UA 89</t>
        </r>
      </text>
    </comment>
    <comment ref="A12" authorId="0" shapeId="0" xr:uid="{35E73052-40D7-4BD5-B342-FFA35D400C48}">
      <text>
        <r>
          <rPr>
            <sz val="12"/>
            <color indexed="81"/>
            <rFont val="Times New Roman"/>
            <family val="1"/>
          </rPr>
          <t>At 1st level, a ranger may select a type of creature from among those given on Table 3–14: Ranger Favored Enemies. Due to his extensive study on his chosen type of foe and training in the proper techniques for combating such creatures, the ranger gains a +2 bonus on Bluff, Listen, Sense Motive, Spot, and Survival checks when using these skills against creatures of this type. Likewise, he gets a +2 bonus on weapon damage rolls against such creatures.
PHB 47</t>
        </r>
      </text>
    </comment>
    <comment ref="A13" authorId="0" shapeId="0" xr:uid="{0FCBDD34-06D7-48C4-9F87-EA6113AE0F49}">
      <text>
        <r>
          <rPr>
            <sz val="12"/>
            <color indexed="81"/>
            <rFont val="Times New Roman"/>
            <family val="1"/>
          </rPr>
          <t xml:space="preserve">You learn to speak with the spirits of the wild places. Although this ability does not automatically make such spirits well disposed toward you, it does provide several benefits.
</t>
        </r>
        <r>
          <rPr>
            <b/>
            <sz val="12"/>
            <color indexed="81"/>
            <rFont val="Times New Roman"/>
            <family val="1"/>
          </rPr>
          <t xml:space="preserve">Level: </t>
        </r>
        <r>
          <rPr>
            <sz val="12"/>
            <color indexed="81"/>
            <rFont val="Times New Roman"/>
            <family val="1"/>
          </rPr>
          <t xml:space="preserve">1st.
</t>
        </r>
        <r>
          <rPr>
            <b/>
            <sz val="12"/>
            <color indexed="81"/>
            <rFont val="Times New Roman"/>
            <family val="1"/>
          </rPr>
          <t xml:space="preserve">Replaces: </t>
        </r>
        <r>
          <rPr>
            <sz val="12"/>
            <color indexed="81"/>
            <rFont val="Times New Roman"/>
            <family val="1"/>
          </rPr>
          <t xml:space="preserve">This benefit replaces the </t>
        </r>
        <r>
          <rPr>
            <b/>
            <sz val="12"/>
            <color indexed="81"/>
            <rFont val="Times New Roman"/>
            <family val="1"/>
          </rPr>
          <t xml:space="preserve">wild empathy </t>
        </r>
        <r>
          <rPr>
            <sz val="12"/>
            <color indexed="81"/>
            <rFont val="Times New Roman"/>
            <family val="1"/>
          </rPr>
          <t xml:space="preserve">class feature.
</t>
        </r>
        <r>
          <rPr>
            <b/>
            <sz val="12"/>
            <color indexed="81"/>
            <rFont val="Times New Roman"/>
            <family val="1"/>
          </rPr>
          <t xml:space="preserve">Benefit: </t>
        </r>
        <r>
          <rPr>
            <sz val="12"/>
            <color indexed="81"/>
            <rFont val="Times New Roman"/>
            <family val="1"/>
          </rPr>
          <t>You can use speak with animals and speak with plants, as the spells (caster level equals your ranger level). You can use any combination of these effects up to three times per day.
Complete Champion 50</t>
        </r>
      </text>
    </comment>
    <comment ref="A14" authorId="0" shapeId="0" xr:uid="{862C94FF-F4A4-4D2E-867B-8AEE082ADA52}">
      <text>
        <r>
          <rPr>
            <sz val="12"/>
            <color indexed="81"/>
            <rFont val="Times New Roman"/>
            <family val="1"/>
          </rPr>
          <t xml:space="preserve">You can follow the trails of creatures and characters across most
types of terrain.
</t>
        </r>
        <r>
          <rPr>
            <b/>
            <sz val="12"/>
            <color indexed="81"/>
            <rFont val="Times New Roman"/>
            <family val="1"/>
          </rPr>
          <t xml:space="preserve">Benefit:  </t>
        </r>
        <r>
          <rPr>
            <sz val="12"/>
            <color indexed="81"/>
            <rFont val="Times New Roman"/>
            <family val="1"/>
          </rPr>
          <t xml:space="preserve">To find tracks or to follow them for 1 mile requires a successful Survival check.  You must make another Survival check every time the tracks become difficult to follow, such as when other tracks cross them or when the tracks backtrack and diverge.
You move at half your normal speed (or at your normal speed with a –5 penalty on the check, or at up to twice your normal speed with a –20 penalty on the check).
If you fail a Survival check, you can retry after 1 hour (outdoors) or 10 minutes (indoors) of searching.
</t>
        </r>
        <r>
          <rPr>
            <b/>
            <sz val="12"/>
            <color indexed="81"/>
            <rFont val="Times New Roman"/>
            <family val="1"/>
          </rPr>
          <t xml:space="preserve">Normal:  </t>
        </r>
        <r>
          <rPr>
            <sz val="12"/>
            <color indexed="81"/>
            <rFont val="Times New Roman"/>
            <family val="1"/>
          </rPr>
          <t xml:space="preserve">Without this feat, you can use the Survival skill to find tracks, but you can follow them only if the DC for the task is 10 or lower. Alternatively, you can use the Search skill to find a footprint or similar sign of a creature’s passage using the DCs given above, but you can’t use Search to follow tracks, even if someone else has already found them.
</t>
        </r>
        <r>
          <rPr>
            <b/>
            <sz val="12"/>
            <color indexed="81"/>
            <rFont val="Times New Roman"/>
            <family val="1"/>
          </rPr>
          <t xml:space="preserve">Special:  </t>
        </r>
        <r>
          <rPr>
            <sz val="12"/>
            <color indexed="81"/>
            <rFont val="Times New Roman"/>
            <family val="1"/>
          </rPr>
          <t>A ranger automatically has Track as a bonus feat. He
need not select it.  This feat does not allow you to find or follow the tracks made by a subject of a pass without trace spell.
PHB 101</t>
        </r>
      </text>
    </comment>
    <comment ref="A17" authorId="0" shapeId="0" xr:uid="{1FAF1A3F-AEB2-41BD-B118-982E294F2F65}">
      <text>
        <r>
          <rPr>
            <sz val="12"/>
            <color indexed="81"/>
            <rFont val="Times New Roman"/>
            <family val="1"/>
          </rPr>
          <t>A scout relies on mobility to deal extra damage and improve her defense.  She deals an extra 1d6 points of damage on all attacks she makes during any round in which she moves at least 10 feet.  The extra damage applies only to attacks taken during the scout’s turn.  This extra damage increases by 1d6 for every four levels gained above 1st (2d6 at 5th, 3d6 at 9th, 4d6 at 13th, and 5d6 at 17th level).
The extra damage only applies against living creatures that have a discernible anatomy.  Undead, constructs, oozes, plants, incorporeal creatures, and creatures immune to extra damage from critical hits are not vulnerable to this additional damage.  The scout must be able to see the target well eough to pick out a vital spot and must be able to reach such a spot.  Scouts can apply this extra damage to ranged attacks made while skirmishing, but only if the target is within 30 feet.
At 3rd level, a scout gains a +1 competence bonus to Armor Class during any round in which she moves at least 10 feet.  The bonus applies as soon as the scout has moved 10 feet, and lasts until the start of her next turn.  This bonus improves by 1 for every four levels gained above 3rd (+2 at 7th, +3 at 11th, +4 at 15th, and +5 at 19th level).
A scout loses this ability when wearing medium or heavy armor or when carrying a medium or heavy load.  If she gains the skirmish ability from another class, the bonuses stack.
Complete Adventurer 12</t>
        </r>
      </text>
    </comment>
    <comment ref="A18" authorId="0" shapeId="0" xr:uid="{35CC5F1A-4D52-4C7F-828B-8AB61697EB45}">
      <text>
        <r>
          <rPr>
            <sz val="12"/>
            <color indexed="81"/>
            <rFont val="Times New Roman"/>
            <family val="1"/>
          </rPr>
          <t>Scouts (like rogues) can use the Search skill to locate traps when the task has a Difficulty Class higher than 20.
Finding a nonmagical trap has a DC of at least 20, or higher if it is well hidden.  Finding a magic trap has a DC of 25 + the level of the spell used to create it.
Scouts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C18" authorId="0" shapeId="0" xr:uid="{B108EC74-57F4-4E6A-8A83-DA5706A9ED27}">
      <text>
        <r>
          <rPr>
            <sz val="12"/>
            <color indexed="81"/>
            <rFont val="Times New Roman"/>
            <family val="1"/>
          </rPr>
          <t>Wintervein Dwarves ability
PHB II 182</t>
        </r>
      </text>
    </comment>
    <comment ref="A19" authorId="0" shapeId="0" xr:uid="{0E9F522E-1E90-460F-9301-C178FA32F78A}">
      <text>
        <r>
          <rPr>
            <sz val="12"/>
            <color indexed="81"/>
            <rFont val="Times New Roman"/>
            <family val="1"/>
          </rPr>
          <t>At 2nd level, a scout gains a +1 competence bonus on Fortitude saves and Initiative checks. This bonus increases to +2 at 11th level and +3 at 20th level.  A scout loses this bonus when wearing medium or heavy armor or when carrying a medium or heavy load.
Complete Adventurer 13</t>
        </r>
      </text>
    </comment>
    <comment ref="A20" authorId="0" shapeId="0" xr:uid="{98E90F49-013B-40B8-B874-D1F1C6A60774}">
      <text>
        <r>
          <rPr>
            <sz val="12"/>
            <color indexed="81"/>
            <rFont val="Times New Roman"/>
            <family val="1"/>
          </rPr>
          <t>Starting at 2nd level, a scout cannot be caught flat-footed and reacts to danger before her senses would normally allow her to do so.  See the barbarian class feature, page 26 of the Player’s Handbook.
Complete Adventurer 13</t>
        </r>
      </text>
    </comment>
    <comment ref="A21" authorId="0" shapeId="0" xr:uid="{8A0B1EBD-ED83-4C39-9EBE-5CA4E0586E77}">
      <text>
        <r>
          <rPr>
            <sz val="12"/>
            <color indexed="81"/>
            <rFont val="Times New Roman"/>
            <family val="1"/>
          </rPr>
          <t>Starting at 3rd level, a scout’s gains a +10 foot enhancement bonus to her base land speed.  At 11th level, this bonus increases to +20 feet.
See the monk class feature, page 41 of the Player’s Handbook.
A scout loses this benefit when wearing medium or heavy armor or when carrying a medium or heavy load.
Complete Adventurer 13</t>
        </r>
      </text>
    </comment>
    <comment ref="A22" authorId="0" shapeId="0" xr:uid="{9493DAC8-1986-46AA-8265-3B9D48ADDE4C}">
      <text>
        <r>
          <rPr>
            <sz val="12"/>
            <color indexed="81"/>
            <rFont val="Times New Roman"/>
            <family val="1"/>
          </rPr>
          <t>Beginning at 3rd level, a scout cannot be tracked in natural surroundings.  See the druid class feature, page 36 of the Player’s Handbook.
Complete Adventurer 13</t>
        </r>
      </text>
    </comment>
    <comment ref="A23" authorId="0" shapeId="0" xr:uid="{711029D6-8B4E-40A3-B433-0318CA47491E}">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A24" authorId="0" shapeId="0" xr:uid="{848B7DA1-2ABC-4000-A4AE-3D7B6FFFCFE5}">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2" authorId="0" shapeId="0" xr:uid="{00000000-0006-0000-0400-000005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<sst xmlns="http://schemas.openxmlformats.org/spreadsheetml/2006/main" count="341" uniqueCount="231">
  <si>
    <t>Melee Weapon</t>
  </si>
  <si>
    <t>Dmg</t>
  </si>
  <si>
    <t>Qty.</t>
  </si>
  <si>
    <t>Ranged Weapon</t>
  </si>
  <si>
    <t>Dmg.</t>
  </si>
  <si>
    <t>Rng.</t>
  </si>
  <si>
    <t>Skills</t>
  </si>
  <si>
    <t>Concentration</t>
  </si>
  <si>
    <t>AC Mod.</t>
  </si>
  <si>
    <t>Handle Animal</t>
  </si>
  <si>
    <t>Move Silently</t>
  </si>
  <si>
    <t>Ride</t>
  </si>
  <si>
    <t>Search</t>
  </si>
  <si>
    <t>Swim</t>
  </si>
  <si>
    <t>Weapons and Armor</t>
  </si>
  <si>
    <t>Type</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</si>
  <si>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</si>
  <si>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</si>
  <si>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</si>
  <si>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</si>
  <si>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</si>
  <si>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</si>
  <si>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</si>
  <si>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</si>
  <si>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</si>
  <si>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</si>
  <si>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</si>
  <si>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</si>
  <si>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</si>
  <si>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</si>
  <si>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</si>
  <si>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</si>
  <si>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</si>
  <si>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</si>
  <si>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</si>
  <si>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</si>
  <si>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</si>
  <si>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</si>
  <si>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</si>
  <si>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</si>
  <si>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</si>
  <si>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</si>
  <si>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</si>
  <si>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</si>
  <si>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</si>
  <si>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</si>
  <si>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</si>
  <si>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</si>
  <si>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</si>
  <si>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</si>
  <si>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</si>
  <si>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</si>
  <si>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</si>
  <si>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</si>
  <si>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</si>
  <si>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</si>
  <si>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</si>
  <si>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Languages</t>
  </si>
  <si>
    <t>Equipment Worn</t>
  </si>
  <si>
    <t>Item</t>
  </si>
  <si>
    <t>Effects/</t>
  </si>
  <si>
    <t>Notes</t>
  </si>
  <si>
    <t>Check</t>
  </si>
  <si>
    <t>Arcane</t>
  </si>
  <si>
    <t>Speed</t>
  </si>
  <si>
    <t>Speak Language</t>
  </si>
  <si>
    <t>Sleight of Hand</t>
  </si>
  <si>
    <t>Survival</t>
  </si>
  <si>
    <t>Weapon Proficiencies</t>
  </si>
  <si>
    <t>Atk</t>
  </si>
  <si>
    <t>Feats</t>
  </si>
  <si>
    <t>Trapfinding</t>
  </si>
  <si>
    <t>+2 to Disable Device &amp; Open Locks</t>
  </si>
  <si>
    <t>Roll</t>
  </si>
  <si>
    <t>19-20, x2</t>
  </si>
  <si>
    <t>Skill/Save</t>
  </si>
  <si>
    <t>Waterskin</t>
  </si>
  <si>
    <t>x2</t>
  </si>
  <si>
    <t>Bludgeon</t>
  </si>
  <si>
    <t>1d6</t>
  </si>
  <si>
    <t>Rogue Weapons</t>
  </si>
  <si>
    <t>Thrown Weapon</t>
  </si>
  <si>
    <t>Equipment Carried</t>
  </si>
  <si>
    <t>50’</t>
  </si>
  <si>
    <t>-</t>
  </si>
  <si>
    <t>Knowledge:  Archit. &amp; Engin.</t>
  </si>
  <si>
    <t>Value</t>
  </si>
  <si>
    <t>Backpack</t>
  </si>
  <si>
    <t>Scrolls and Potions</t>
  </si>
  <si>
    <t>Level</t>
  </si>
  <si>
    <t>CLev</t>
  </si>
  <si>
    <t>five</t>
  </si>
  <si>
    <t>Total Equity:</t>
  </si>
  <si>
    <t>Properties</t>
  </si>
  <si>
    <t>Constitution</t>
  </si>
  <si>
    <t>Dexterity</t>
  </si>
  <si>
    <t>Wisdom</t>
  </si>
  <si>
    <t>Intelligence</t>
  </si>
  <si>
    <t>Charisma</t>
  </si>
  <si>
    <t>Strength</t>
  </si>
  <si>
    <t>Race</t>
  </si>
  <si>
    <t>Class</t>
  </si>
  <si>
    <t>Region</t>
  </si>
  <si>
    <t>Deity</t>
  </si>
  <si>
    <t>Alignment</t>
  </si>
  <si>
    <t>Attack Bonus</t>
  </si>
  <si>
    <t>Initiative</t>
  </si>
  <si>
    <t>XP</t>
  </si>
  <si>
    <t>Sex</t>
  </si>
  <si>
    <t>Age</t>
  </si>
  <si>
    <t>Height</t>
  </si>
  <si>
    <t>Weight</t>
  </si>
  <si>
    <t>Base Speed</t>
  </si>
  <si>
    <t>Lb. Capacity</t>
  </si>
  <si>
    <t>Lb. Carried</t>
  </si>
  <si>
    <t>Hit Points</t>
  </si>
  <si>
    <t>Touch AC</t>
  </si>
  <si>
    <t>FF AC</t>
  </si>
  <si>
    <t>AC</t>
  </si>
  <si>
    <t>1d4</t>
  </si>
  <si>
    <t>Korik</t>
  </si>
  <si>
    <t>the Quick</t>
  </si>
  <si>
    <t>Wilderness Rogue</t>
  </si>
  <si>
    <t>Male</t>
  </si>
  <si>
    <t>Shield Dwarf</t>
  </si>
  <si>
    <t>Wilderness Rogue 1</t>
  </si>
  <si>
    <t>Sneak Attack 1d6</t>
  </si>
  <si>
    <t>Common, Dwarven</t>
  </si>
  <si>
    <t>4’ 3”</t>
  </si>
  <si>
    <t>142 lbs.</t>
  </si>
  <si>
    <t>Neutral Good</t>
  </si>
  <si>
    <t>Impiltur</t>
  </si>
  <si>
    <t>Waukeen</t>
  </si>
  <si>
    <t>Damaran, Giant, Goblin</t>
  </si>
  <si>
    <t>Flaws</t>
  </si>
  <si>
    <t>Frail</t>
  </si>
  <si>
    <t>Traits</t>
  </si>
  <si>
    <t>Detached</t>
  </si>
  <si>
    <t>Quick</t>
  </si>
  <si>
    <t>Played by Ernest Hakey</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</si>
  <si>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</si>
  <si>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1st:  Jack of All Trades</t>
  </si>
  <si>
    <t>Rg:  Survivor</t>
  </si>
  <si>
    <t>Knowledge:  Religion</t>
  </si>
  <si>
    <t>+2 w/ metal &amp; stone</t>
  </si>
  <si>
    <t>Craft:  Stonemason</t>
  </si>
  <si>
    <t>Craft:  Smith</t>
  </si>
  <si>
    <t>Knowledge:  Arcana</t>
  </si>
  <si>
    <t>Knowledge:  Dungeoneering</t>
  </si>
  <si>
    <t>Knowledge:  Geography</t>
  </si>
  <si>
    <t>Knowledge:  History</t>
  </si>
  <si>
    <t>Knowledge:  Local (UE)</t>
  </si>
  <si>
    <t>Knowledge:  Nature</t>
  </si>
  <si>
    <t>Knowledge:  Nob. &amp; Royalty</t>
  </si>
  <si>
    <t>Knowledge:  Planes</t>
  </si>
  <si>
    <t>+2 in UE</t>
  </si>
  <si>
    <t>Perform:  Weapon Drill</t>
  </si>
  <si>
    <t>Profession:  Band Manager</t>
  </si>
  <si>
    <t>Profession:  Other</t>
  </si>
  <si>
    <t>+2 unusual stonework, free ≤10’</t>
  </si>
  <si>
    <t>+1d6 Sneak</t>
  </si>
  <si>
    <t>18-20, x2</t>
  </si>
  <si>
    <t>Slashing</t>
  </si>
  <si>
    <t>Light Mace</t>
  </si>
  <si>
    <t>Cold Iron Dagger</t>
  </si>
  <si>
    <t>Prc/Slsh</t>
  </si>
  <si>
    <t>x3</t>
  </si>
  <si>
    <t>70’</t>
  </si>
  <si>
    <t>Cold Iron Arrows</t>
  </si>
  <si>
    <t>MW Thieves’ Tools</t>
  </si>
  <si>
    <t>no effect</t>
  </si>
  <si>
    <t>Traveler’s Outfit</t>
  </si>
  <si>
    <t>Belt Pouch</t>
  </si>
  <si>
    <t>Wooden Holy Symbol</t>
  </si>
  <si>
    <t>MW Stonemason’s Tools</t>
  </si>
  <si>
    <t>Silk Rope &amp; Grappling Hook</t>
  </si>
  <si>
    <t>Winter Blanket</t>
  </si>
  <si>
    <t>Flint &amp; Steel</t>
  </si>
  <si>
    <t>Gold Coins</t>
  </si>
  <si>
    <t>Soft Equity Ceiling:</t>
  </si>
  <si>
    <t>20’ + 10’</t>
  </si>
  <si>
    <t>Fl:  Travel Devotion</t>
  </si>
  <si>
    <t>Ranger</t>
  </si>
  <si>
    <t>W. Rogue Features</t>
  </si>
  <si>
    <t>Ranger Features</t>
  </si>
  <si>
    <t>R1: Track</t>
  </si>
  <si>
    <t>R1: Favored Enemy: Shapechangers</t>
  </si>
  <si>
    <t>R1: Spiritual Connection</t>
  </si>
  <si>
    <t>Ranger 1</t>
  </si>
  <si>
    <t>MW Buckler</t>
  </si>
  <si>
    <t>Vial of Antitoxin</t>
  </si>
  <si>
    <t>Flask of Holy Water</t>
  </si>
  <si>
    <t>Simple &amp; Martial Weapons</t>
  </si>
  <si>
    <t>Light Armor &amp; Shields (no Tower)</t>
  </si>
  <si>
    <t>Scout</t>
  </si>
  <si>
    <t>Battle Fortitude +2</t>
  </si>
  <si>
    <t>Uncanny Dodge</t>
  </si>
  <si>
    <t>Fast Movement +20’</t>
  </si>
  <si>
    <t>Trackless Step</t>
  </si>
  <si>
    <t>Point Blank Shot</t>
  </si>
  <si>
    <t>Evasion</t>
  </si>
  <si>
    <t>Scout Features</t>
  </si>
  <si>
    <t>Skirmish +1d6; +0 AC0</t>
  </si>
  <si>
    <t>Scout 1</t>
  </si>
  <si>
    <t>3rd:  Knowledge Devotion</t>
  </si>
  <si>
    <t>Mithral Chain Shirt</t>
  </si>
  <si>
    <t>MW Silvered Rapier</t>
  </si>
  <si>
    <t>1</t>
  </si>
  <si>
    <t>MW Composite Shortbow, Str +2</t>
  </si>
  <si>
    <r>
      <t xml:space="preserve">Potion of </t>
    </r>
    <r>
      <rPr>
        <i/>
        <sz val="12"/>
        <rFont val="Times New Roman"/>
        <family val="1"/>
      </rPr>
      <t>Cure Light Wounds</t>
    </r>
  </si>
  <si>
    <t>30’</t>
  </si>
  <si>
    <t>Silvered Arrows</t>
  </si>
  <si>
    <t>+1d6 Sneak; 1d6 Skirmish</t>
  </si>
  <si>
    <t>+2 with Tracks; +2 above ground</t>
  </si>
  <si>
    <t>Racial Abilities</t>
  </si>
  <si>
    <t>+1 vs. orcs</t>
  </si>
  <si>
    <t>+2 save vs. poison &amp; spells</t>
  </si>
  <si>
    <t>+4 vs. giants</t>
  </si>
  <si>
    <t>+2 atk to orcs &amp; goblinoids</t>
  </si>
  <si>
    <t>Stability</t>
  </si>
  <si>
    <t>Stonecunning</t>
  </si>
  <si>
    <t>Darkvision 60’</t>
  </si>
  <si>
    <t>Brooch, UNIDENTIFIED</t>
  </si>
  <si>
    <t>Dildo, UNIDENTIFIED</t>
  </si>
  <si>
    <t>Toering, UNIDENTIFIED</t>
  </si>
  <si>
    <t>Wristwatch, UNIDENTIFIED</t>
  </si>
  <si>
    <t>Icepick, UNIDENTIFIED</t>
  </si>
  <si>
    <t>Glove, UNIDENTIFIED</t>
  </si>
  <si>
    <t>Monocle, UNIDENTIFIED</t>
  </si>
  <si>
    <t>Chisel, UNIDENTIFIED</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</si>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</sst>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 [$₲-474]"/>
  </numFmts>
  <fonts count="62"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FF0000"/>
      <name val="Times New Roman"/>
      <family val="1"/>
    </font>
    <font>
      <b/>
      <sz val="12"/>
      <color indexed="81"/>
      <name val="Times New Roman"/>
      <family val="1"/>
    </font>
    <font>
      <sz val="13"/>
      <color rgb="FF009900"/>
      <name val="Times New Roman"/>
      <family val="1"/>
    </font>
    <font>
      <b/>
      <sz val="13"/>
      <color rgb="FFFF0000"/>
      <name val="Times New Roman"/>
      <family val="1"/>
    </font>
    <font>
      <sz val="13"/>
      <color rgb="FFFFC000"/>
      <name val="Times New Roman"/>
      <family val="1"/>
    </font>
    <font>
      <b/>
      <sz val="13"/>
      <color rgb="FF7030A0"/>
      <name val="Times New Roman"/>
      <family val="1"/>
    </font>
    <font>
      <b/>
      <sz val="13"/>
      <color rgb="FF0000FF"/>
      <name val="Times New Roman"/>
      <family val="1"/>
    </font>
    <font>
      <b/>
      <sz val="13"/>
      <color rgb="FFFFC000"/>
      <name val="Times New Roman"/>
      <family val="1"/>
    </font>
    <font>
      <i/>
      <sz val="22"/>
      <color theme="7" tint="0.39997558519241921"/>
      <name val="Times New Roman"/>
      <family val="1"/>
    </font>
    <font>
      <b/>
      <sz val="12"/>
      <color rgb="FFFFC000"/>
      <name val="Times New Roman"/>
      <family val="1"/>
    </font>
    <font>
      <sz val="12"/>
      <color rgb="FFFFC000"/>
      <name val="Times New Roman"/>
      <family val="1"/>
    </font>
    <font>
      <i/>
      <sz val="16"/>
      <color indexed="53"/>
      <name val="Times New Roman"/>
      <family val="1"/>
    </font>
    <font>
      <i/>
      <sz val="16"/>
      <color indexed="57"/>
      <name val="Times New Roman"/>
      <family val="1"/>
    </font>
    <font>
      <sz val="13"/>
      <color rgb="FF0000FF"/>
      <name val="Times New Roman"/>
      <family val="1"/>
    </font>
    <font>
      <i/>
      <sz val="22"/>
      <color theme="6" tint="-0.249977111117893"/>
      <name val="Times New Roman"/>
      <family val="1"/>
    </font>
    <font>
      <i/>
      <sz val="16"/>
      <color indexed="10"/>
      <name val="Times New Roman"/>
      <family val="1"/>
    </font>
    <font>
      <sz val="12"/>
      <color rgb="FFFF0000"/>
      <name val="Times New Roman"/>
      <family val="1"/>
    </font>
    <font>
      <b/>
      <sz val="13"/>
      <color rgb="FF00B0F0"/>
      <name val="Times New Roman"/>
      <family val="1"/>
    </font>
    <font>
      <i/>
      <sz val="16"/>
      <color rgb="FF00B0F0"/>
      <name val="Times New Roman"/>
      <family val="1"/>
    </font>
    <font>
      <i/>
      <sz val="16"/>
      <color rgb="FF009900"/>
      <name val="Times New Roman"/>
      <family val="1"/>
    </font>
    <font>
      <i/>
      <sz val="18"/>
      <color rgb="FF00FF00"/>
      <name val="Times New Roman"/>
      <family val="1"/>
    </font>
    <font>
      <i/>
      <sz val="12"/>
      <name val="Times New Roman"/>
      <family val="1"/>
    </font>
    <font>
      <i/>
      <sz val="12"/>
      <color indexed="81"/>
      <name val="Times New Roman"/>
      <family val="1"/>
    </font>
    <font>
      <b/>
      <i/>
      <sz val="13"/>
      <color indexed="17"/>
      <name val="Times New Roman"/>
      <family val="1"/>
    </font>
  </fonts>
  <fills count="12">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64"/>
      </patternFill>
    </fill>
    <fill>
      <patternFill patternType="solid">
        <fgColor rgb="FF66FFFF"/>
        <bgColor indexed="64"/>
      </patternFill>
    </fill>
    <fill>
      <patternFill patternType="solid">
        <fgColor rgb="FFFFC000"/>
        <bgColor indexed="64"/>
      </patternFill>
    </fill>
  </fills>
  <borders count="115">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top style="double">
        <color indexed="64"/>
      </top>
      <bottom style="thick">
        <color rgb="FFFFC000"/>
      </bottom>
      <diagonal/>
    </border>
    <border>
      <left/>
      <right/>
      <top style="double">
        <color indexed="64"/>
      </top>
      <bottom style="thick">
        <color rgb="FFFFC000"/>
      </bottom>
      <diagonal/>
    </border>
    <border>
      <left/>
      <right style="double">
        <color indexed="64"/>
      </right>
      <top style="double">
        <color indexed="64"/>
      </top>
      <bottom style="thick">
        <color rgb="FFFFC000"/>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style="double">
        <color indexed="64"/>
      </right>
      <top/>
      <bottom style="thin">
        <color indexed="64"/>
      </bottom>
      <diagonal/>
    </border>
    <border>
      <left/>
      <right style="thin">
        <color indexed="64"/>
      </right>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double">
        <color indexed="64"/>
      </top>
      <bottom style="medium">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right style="thin">
        <color indexed="64"/>
      </right>
      <top style="thin">
        <color indexed="64"/>
      </top>
      <bottom style="double">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right style="hair">
        <color indexed="64"/>
      </right>
      <top style="hair">
        <color indexed="64"/>
      </top>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double">
        <color indexed="64"/>
      </right>
      <top style="medium">
        <color indexed="64"/>
      </top>
      <bottom/>
      <diagonal/>
    </border>
    <border>
      <left style="thin">
        <color indexed="64"/>
      </left>
      <right style="thin">
        <color indexed="64"/>
      </right>
      <top style="double">
        <color indexed="64"/>
      </top>
      <bottom style="medium">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style="hair">
        <color indexed="64"/>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hair">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hair">
        <color indexed="64"/>
      </bottom>
      <diagonal/>
    </border>
    <border>
      <left/>
      <right style="double">
        <color indexed="64"/>
      </right>
      <top/>
      <bottom style="hair">
        <color indexed="64"/>
      </bottom>
      <diagonal/>
    </border>
    <border>
      <left/>
      <right/>
      <top/>
      <bottom style="hair">
        <color indexed="64"/>
      </bottom>
      <diagonal/>
    </border>
    <border>
      <left/>
      <right style="medium">
        <color auto="1"/>
      </right>
      <top style="thin">
        <color indexed="64"/>
      </top>
      <bottom style="double">
        <color indexed="64"/>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5" fillId="0" borderId="0"/>
    <xf numFmtId="0" fontId="1" fillId="0" borderId="0"/>
    <xf numFmtId="0" fontId="36" fillId="0" borderId="0"/>
    <xf numFmtId="9" fontId="1" fillId="0" borderId="0" applyFont="0" applyFill="0" applyBorder="0" applyAlignment="0" applyProtection="0"/>
    <xf numFmtId="0" fontId="1" fillId="0" borderId="0"/>
  </cellStyleXfs>
  <cellXfs count="372">
    <xf numFmtId="0" fontId="0" fillId="0" borderId="0" xfId="0"/>
    <xf numFmtId="0" fontId="4" fillId="0" borderId="0" xfId="0" applyFont="1"/>
    <xf numFmtId="0" fontId="5" fillId="0" borderId="1" xfId="0" applyFont="1" applyBorder="1" applyAlignment="1">
      <alignment horizontal="right"/>
    </xf>
    <xf numFmtId="0" fontId="6" fillId="0" borderId="0" xfId="0" applyFont="1" applyAlignment="1">
      <alignment horizontal="left"/>
    </xf>
    <xf numFmtId="0" fontId="5" fillId="0" borderId="0" xfId="0" applyFont="1" applyAlignment="1">
      <alignment horizontal="right"/>
    </xf>
    <xf numFmtId="0" fontId="6" fillId="0" borderId="2" xfId="0" applyFont="1" applyBorder="1" applyAlignment="1">
      <alignment horizontal="left"/>
    </xf>
    <xf numFmtId="0" fontId="12" fillId="2" borderId="4" xfId="0" applyFont="1" applyFill="1" applyBorder="1" applyAlignment="1">
      <alignment horizontal="right"/>
    </xf>
    <xf numFmtId="0" fontId="2" fillId="0" borderId="1" xfId="0" applyFont="1" applyBorder="1"/>
    <xf numFmtId="0" fontId="14" fillId="0" borderId="0" xfId="0" applyFont="1"/>
    <xf numFmtId="0" fontId="15" fillId="0" borderId="0" xfId="0" applyFont="1"/>
    <xf numFmtId="0" fontId="15" fillId="0" borderId="2" xfId="0" applyFont="1" applyBorder="1"/>
    <xf numFmtId="0" fontId="6" fillId="0" borderId="5" xfId="0" applyFont="1" applyBorder="1"/>
    <xf numFmtId="0" fontId="6" fillId="0" borderId="6" xfId="0" applyFont="1" applyBorder="1"/>
    <xf numFmtId="0" fontId="6" fillId="0" borderId="7" xfId="0" applyFont="1" applyBorder="1"/>
    <xf numFmtId="0" fontId="3" fillId="0" borderId="0" xfId="0" applyFont="1"/>
    <xf numFmtId="0" fontId="6" fillId="0" borderId="0" xfId="0" applyFont="1"/>
    <xf numFmtId="0" fontId="6" fillId="0" borderId="8" xfId="0" applyFont="1" applyBorder="1"/>
    <xf numFmtId="0" fontId="6" fillId="0" borderId="9" xfId="0" applyFont="1" applyBorder="1"/>
    <xf numFmtId="0" fontId="6" fillId="0" borderId="10" xfId="0" applyFont="1" applyBorder="1"/>
    <xf numFmtId="0" fontId="3" fillId="0" borderId="0" xfId="0" applyFont="1" applyAlignment="1">
      <alignment horizontal="right"/>
    </xf>
    <xf numFmtId="0" fontId="4" fillId="0" borderId="0" xfId="0" applyFont="1" applyAlignment="1">
      <alignment horizontal="left"/>
    </xf>
    <xf numFmtId="0" fontId="15" fillId="0" borderId="0" xfId="0" applyFont="1" applyAlignment="1">
      <alignment horizontal="centerContinuous"/>
    </xf>
    <xf numFmtId="0" fontId="2" fillId="0" borderId="0" xfId="0" applyFont="1" applyAlignment="1">
      <alignment horizontal="centerContinuous"/>
    </xf>
    <xf numFmtId="0" fontId="4" fillId="0" borderId="0" xfId="0" applyFont="1" applyAlignment="1">
      <alignment horizontal="center"/>
    </xf>
    <xf numFmtId="164" fontId="4" fillId="0" borderId="0" xfId="0" applyNumberFormat="1" applyFont="1" applyAlignment="1">
      <alignment horizontal="center"/>
    </xf>
    <xf numFmtId="0" fontId="21" fillId="2" borderId="4" xfId="0" applyFont="1" applyFill="1" applyBorder="1" applyAlignment="1">
      <alignment horizontal="right"/>
    </xf>
    <xf numFmtId="0" fontId="13" fillId="2" borderId="15" xfId="0" applyFont="1" applyFill="1" applyBorder="1" applyAlignment="1">
      <alignment horizontal="right"/>
    </xf>
    <xf numFmtId="0" fontId="24" fillId="0" borderId="22" xfId="0" applyFont="1" applyBorder="1" applyAlignment="1">
      <alignment horizontal="centerContinuous"/>
    </xf>
    <xf numFmtId="0" fontId="6" fillId="0" borderId="0" xfId="0" applyFont="1" applyAlignment="1">
      <alignment horizontal="centerContinuous"/>
    </xf>
    <xf numFmtId="49" fontId="25" fillId="0" borderId="3" xfId="0" applyNumberFormat="1" applyFont="1" applyBorder="1" applyAlignment="1">
      <alignment horizontal="center"/>
    </xf>
    <xf numFmtId="49" fontId="25" fillId="0" borderId="23" xfId="0" applyNumberFormat="1" applyFont="1" applyBorder="1" applyAlignment="1">
      <alignment horizontal="center"/>
    </xf>
    <xf numFmtId="0" fontId="19" fillId="0" borderId="0" xfId="0" applyFont="1"/>
    <xf numFmtId="0" fontId="28" fillId="0" borderId="0" xfId="0" applyFont="1"/>
    <xf numFmtId="0" fontId="29" fillId="0" borderId="0" xfId="0" applyFont="1"/>
    <xf numFmtId="0" fontId="30" fillId="0" borderId="0" xfId="0" applyFont="1"/>
    <xf numFmtId="0" fontId="31" fillId="0" borderId="0" xfId="0" applyFont="1"/>
    <xf numFmtId="49" fontId="25" fillId="0" borderId="14" xfId="0" applyNumberFormat="1" applyFont="1" applyBorder="1" applyAlignment="1">
      <alignment horizontal="center"/>
    </xf>
    <xf numFmtId="0" fontId="6" fillId="0" borderId="0" xfId="0" applyFont="1" applyAlignment="1">
      <alignment horizontal="center"/>
    </xf>
    <xf numFmtId="49" fontId="6" fillId="0" borderId="12" xfId="0" applyNumberFormat="1" applyFont="1" applyBorder="1" applyAlignment="1">
      <alignment horizontal="center"/>
    </xf>
    <xf numFmtId="164" fontId="5" fillId="5" borderId="28" xfId="0" applyNumberFormat="1" applyFont="1" applyFill="1" applyBorder="1" applyAlignment="1">
      <alignment horizontal="center"/>
    </xf>
    <xf numFmtId="0" fontId="3" fillId="0" borderId="0" xfId="0" applyFont="1" applyAlignment="1">
      <alignment horizontal="center"/>
    </xf>
    <xf numFmtId="0" fontId="6" fillId="0" borderId="24" xfId="0" applyFont="1" applyBorder="1" applyAlignment="1">
      <alignment horizontal="center"/>
    </xf>
    <xf numFmtId="49" fontId="6" fillId="0" borderId="25" xfId="0" applyNumberFormat="1" applyFont="1" applyBorder="1" applyAlignment="1">
      <alignment horizontal="center"/>
    </xf>
    <xf numFmtId="0" fontId="6" fillId="0" borderId="26" xfId="0" applyFont="1" applyBorder="1" applyAlignment="1">
      <alignment horizontal="center"/>
    </xf>
    <xf numFmtId="0" fontId="6" fillId="0" borderId="1" xfId="0" applyFont="1" applyBorder="1"/>
    <xf numFmtId="0" fontId="6" fillId="0" borderId="2" xfId="0" applyFont="1" applyBorder="1"/>
    <xf numFmtId="164" fontId="2" fillId="0" borderId="0" xfId="0" applyNumberFormat="1" applyFont="1" applyAlignment="1">
      <alignment horizontal="centerContinuous"/>
    </xf>
    <xf numFmtId="0" fontId="20" fillId="3" borderId="33" xfId="0" applyFont="1" applyFill="1" applyBorder="1" applyAlignment="1">
      <alignment horizontal="center"/>
    </xf>
    <xf numFmtId="164" fontId="20" fillId="3" borderId="34" xfId="0" applyNumberFormat="1" applyFont="1" applyFill="1" applyBorder="1" applyAlignment="1">
      <alignment horizontal="center"/>
    </xf>
    <xf numFmtId="0" fontId="20" fillId="3" borderId="33" xfId="0" applyFont="1" applyFill="1" applyBorder="1" applyAlignment="1">
      <alignment horizontal="right"/>
    </xf>
    <xf numFmtId="0" fontId="20" fillId="3" borderId="35" xfId="0" applyFont="1" applyFill="1" applyBorder="1"/>
    <xf numFmtId="164" fontId="4" fillId="0" borderId="36" xfId="0" applyNumberFormat="1" applyFont="1" applyBorder="1" applyAlignment="1">
      <alignment horizontal="center" shrinkToFit="1"/>
    </xf>
    <xf numFmtId="0" fontId="4" fillId="0" borderId="37" xfId="0" applyFont="1" applyBorder="1" applyAlignment="1">
      <alignment horizontal="left" shrinkToFit="1"/>
    </xf>
    <xf numFmtId="164" fontId="4" fillId="0" borderId="38" xfId="0" applyNumberFormat="1" applyFont="1" applyBorder="1" applyAlignment="1">
      <alignment horizontal="center" shrinkToFit="1"/>
    </xf>
    <xf numFmtId="0" fontId="4" fillId="0" borderId="39" xfId="0" applyFont="1" applyBorder="1" applyAlignment="1">
      <alignment horizontal="left" shrinkToFit="1"/>
    </xf>
    <xf numFmtId="164" fontId="2" fillId="0" borderId="0" xfId="0" applyNumberFormat="1" applyFont="1" applyAlignment="1">
      <alignment horizontal="centerContinuous" shrinkToFit="1"/>
    </xf>
    <xf numFmtId="0" fontId="2" fillId="0" borderId="0" xfId="0" applyFont="1" applyAlignment="1">
      <alignment horizontal="centerContinuous" shrinkToFit="1"/>
    </xf>
    <xf numFmtId="0" fontId="4" fillId="0" borderId="40" xfId="0" applyFont="1" applyBorder="1" applyAlignment="1">
      <alignment horizontal="left" shrinkToFit="1"/>
    </xf>
    <xf numFmtId="164" fontId="4" fillId="0" borderId="41" xfId="0" applyNumberFormat="1" applyFont="1" applyBorder="1" applyAlignment="1">
      <alignment horizontal="center" shrinkToFit="1"/>
    </xf>
    <xf numFmtId="0" fontId="7" fillId="4" borderId="46" xfId="0" applyFont="1" applyFill="1" applyBorder="1" applyAlignment="1">
      <alignment horizontal="right"/>
    </xf>
    <xf numFmtId="0" fontId="13" fillId="6" borderId="1" xfId="0" applyFont="1" applyFill="1" applyBorder="1"/>
    <xf numFmtId="0" fontId="6" fillId="6" borderId="24" xfId="0" applyFont="1" applyFill="1" applyBorder="1" applyAlignment="1">
      <alignment horizontal="center"/>
    </xf>
    <xf numFmtId="49" fontId="6" fillId="6" borderId="25" xfId="0" applyNumberFormat="1" applyFont="1" applyFill="1" applyBorder="1" applyAlignment="1">
      <alignment horizontal="center"/>
    </xf>
    <xf numFmtId="0" fontId="6" fillId="6" borderId="26" xfId="0" applyFont="1" applyFill="1" applyBorder="1" applyAlignment="1">
      <alignment horizontal="center"/>
    </xf>
    <xf numFmtId="164" fontId="1" fillId="0" borderId="36" xfId="0" applyNumberFormat="1" applyFont="1" applyBorder="1" applyAlignment="1">
      <alignment horizontal="center" shrinkToFit="1"/>
    </xf>
    <xf numFmtId="0" fontId="37" fillId="2" borderId="4" xfId="0" applyFont="1" applyFill="1" applyBorder="1" applyAlignment="1">
      <alignment horizontal="right"/>
    </xf>
    <xf numFmtId="0" fontId="1" fillId="0" borderId="0" xfId="0" applyFont="1" applyAlignment="1">
      <alignment horizontal="center"/>
    </xf>
    <xf numFmtId="0" fontId="10" fillId="6" borderId="1" xfId="0" applyFont="1" applyFill="1" applyBorder="1"/>
    <xf numFmtId="49" fontId="16" fillId="6" borderId="24" xfId="0" applyNumberFormat="1" applyFont="1" applyFill="1" applyBorder="1" applyAlignment="1">
      <alignment horizontal="center"/>
    </xf>
    <xf numFmtId="0" fontId="16" fillId="6" borderId="25" xfId="0" applyFont="1" applyFill="1" applyBorder="1" applyAlignment="1">
      <alignment horizontal="center"/>
    </xf>
    <xf numFmtId="0" fontId="10" fillId="6" borderId="25" xfId="0" applyFont="1" applyFill="1" applyBorder="1" applyAlignment="1">
      <alignment horizontal="center"/>
    </xf>
    <xf numFmtId="0" fontId="12" fillId="6" borderId="1" xfId="0" applyFont="1" applyFill="1" applyBorder="1"/>
    <xf numFmtId="49" fontId="23" fillId="6" borderId="24" xfId="0" applyNumberFormat="1" applyFont="1" applyFill="1" applyBorder="1" applyAlignment="1">
      <alignment horizontal="center"/>
    </xf>
    <xf numFmtId="0" fontId="23" fillId="6" borderId="25" xfId="0" applyFont="1" applyFill="1" applyBorder="1" applyAlignment="1">
      <alignment horizontal="center"/>
    </xf>
    <xf numFmtId="0" fontId="12" fillId="6" borderId="25" xfId="0" applyFont="1" applyFill="1" applyBorder="1" applyAlignment="1">
      <alignment horizontal="center"/>
    </xf>
    <xf numFmtId="0" fontId="21" fillId="6" borderId="1" xfId="0" applyFont="1" applyFill="1" applyBorder="1"/>
    <xf numFmtId="49" fontId="27" fillId="6" borderId="24" xfId="0" applyNumberFormat="1" applyFont="1" applyFill="1" applyBorder="1" applyAlignment="1">
      <alignment horizontal="center"/>
    </xf>
    <xf numFmtId="0" fontId="27" fillId="6" borderId="25" xfId="0" applyFont="1" applyFill="1" applyBorder="1" applyAlignment="1">
      <alignment horizontal="center"/>
    </xf>
    <xf numFmtId="0" fontId="21" fillId="6" borderId="25" xfId="0" applyFont="1" applyFill="1" applyBorder="1" applyAlignment="1">
      <alignment horizontal="center"/>
    </xf>
    <xf numFmtId="0" fontId="9" fillId="0" borderId="1" xfId="0" applyFont="1" applyBorder="1"/>
    <xf numFmtId="49" fontId="26" fillId="0" borderId="24" xfId="0" applyNumberFormat="1" applyFont="1" applyBorder="1" applyAlignment="1">
      <alignment horizontal="center"/>
    </xf>
    <xf numFmtId="0" fontId="26" fillId="0" borderId="25" xfId="0" applyFont="1" applyBorder="1" applyAlignment="1">
      <alignment horizontal="center"/>
    </xf>
    <xf numFmtId="0" fontId="9" fillId="0" borderId="25" xfId="0" applyFont="1" applyBorder="1" applyAlignment="1">
      <alignment horizontal="center"/>
    </xf>
    <xf numFmtId="0" fontId="6" fillId="0" borderId="0" xfId="0" applyFont="1" applyAlignment="1">
      <alignment wrapText="1"/>
    </xf>
    <xf numFmtId="0" fontId="38" fillId="0" borderId="32" xfId="0" applyFont="1" applyBorder="1" applyAlignment="1">
      <alignment horizontal="center" shrinkToFit="1"/>
    </xf>
    <xf numFmtId="0" fontId="6" fillId="0" borderId="0" xfId="0" applyFont="1" applyAlignment="1">
      <alignment horizontal="left" wrapText="1"/>
    </xf>
    <xf numFmtId="0" fontId="5" fillId="0" borderId="0" xfId="0" applyFont="1" applyAlignment="1">
      <alignment horizontal="right" wrapText="1"/>
    </xf>
    <xf numFmtId="0" fontId="13" fillId="0" borderId="1" xfId="0" applyFont="1" applyBorder="1"/>
    <xf numFmtId="49" fontId="22" fillId="0" borderId="24" xfId="0" applyNumberFormat="1" applyFont="1" applyBorder="1" applyAlignment="1">
      <alignment horizontal="center"/>
    </xf>
    <xf numFmtId="0" fontId="22" fillId="0" borderId="25" xfId="0" applyFont="1" applyBorder="1" applyAlignment="1">
      <alignment horizontal="center"/>
    </xf>
    <xf numFmtId="0" fontId="13" fillId="0" borderId="25" xfId="0" applyFont="1" applyBorder="1" applyAlignment="1">
      <alignment horizontal="center"/>
    </xf>
    <xf numFmtId="0" fontId="12" fillId="0" borderId="1" xfId="0" applyFont="1" applyBorder="1"/>
    <xf numFmtId="49" fontId="23" fillId="0" borderId="24" xfId="0" applyNumberFormat="1" applyFont="1" applyBorder="1" applyAlignment="1">
      <alignment horizontal="center"/>
    </xf>
    <xf numFmtId="0" fontId="23" fillId="0" borderId="25" xfId="0" applyFont="1" applyBorder="1" applyAlignment="1">
      <alignment horizontal="center"/>
    </xf>
    <xf numFmtId="0" fontId="12" fillId="0" borderId="25" xfId="0" applyFont="1" applyBorder="1" applyAlignment="1">
      <alignment horizontal="center"/>
    </xf>
    <xf numFmtId="0" fontId="21" fillId="0" borderId="1" xfId="0" applyFont="1" applyBorder="1"/>
    <xf numFmtId="49" fontId="27" fillId="0" borderId="24" xfId="0" applyNumberFormat="1" applyFont="1" applyBorder="1" applyAlignment="1">
      <alignment horizontal="center"/>
    </xf>
    <xf numFmtId="0" fontId="27" fillId="0" borderId="25" xfId="0" applyFont="1" applyBorder="1" applyAlignment="1">
      <alignment horizontal="center"/>
    </xf>
    <xf numFmtId="0" fontId="21" fillId="0" borderId="25" xfId="0" applyFont="1" applyBorder="1" applyAlignment="1">
      <alignment horizontal="center"/>
    </xf>
    <xf numFmtId="0" fontId="3" fillId="0" borderId="0" xfId="0" applyFont="1" applyAlignment="1">
      <alignment horizontal="left"/>
    </xf>
    <xf numFmtId="0" fontId="1" fillId="0" borderId="51" xfId="0" applyFont="1" applyBorder="1" applyAlignment="1">
      <alignment horizontal="center" shrinkToFit="1"/>
    </xf>
    <xf numFmtId="0" fontId="40" fillId="0" borderId="32" xfId="0" applyFont="1" applyBorder="1" applyAlignment="1">
      <alignment horizontal="centerContinuous"/>
    </xf>
    <xf numFmtId="0" fontId="3" fillId="2" borderId="53" xfId="0" applyFont="1" applyFill="1" applyBorder="1" applyAlignment="1">
      <alignment horizontal="centerContinuous"/>
    </xf>
    <xf numFmtId="0" fontId="41" fillId="0" borderId="1" xfId="0" applyFont="1" applyBorder="1"/>
    <xf numFmtId="0" fontId="5" fillId="0" borderId="24" xfId="0" applyFont="1" applyBorder="1" applyAlignment="1">
      <alignment horizontal="center"/>
    </xf>
    <xf numFmtId="1" fontId="6" fillId="0" borderId="24" xfId="0" applyNumberFormat="1" applyFont="1" applyBorder="1" applyAlignment="1">
      <alignment horizontal="center" wrapText="1"/>
    </xf>
    <xf numFmtId="0" fontId="42" fillId="8" borderId="25" xfId="0" applyFont="1" applyFill="1" applyBorder="1" applyAlignment="1">
      <alignment horizontal="center"/>
    </xf>
    <xf numFmtId="49" fontId="6" fillId="0" borderId="24" xfId="0" applyNumberFormat="1" applyFont="1" applyBorder="1" applyAlignment="1">
      <alignment horizontal="center" wrapText="1"/>
    </xf>
    <xf numFmtId="0" fontId="43" fillId="0" borderId="1" xfId="0" applyFont="1" applyBorder="1"/>
    <xf numFmtId="0" fontId="44" fillId="0" borderId="57" xfId="0" applyFont="1" applyBorder="1"/>
    <xf numFmtId="0" fontId="5" fillId="0" borderId="58" xfId="0" applyFont="1" applyBorder="1" applyAlignment="1">
      <alignment horizontal="center"/>
    </xf>
    <xf numFmtId="0" fontId="6" fillId="0" borderId="58" xfId="0" applyFont="1" applyBorder="1" applyAlignment="1">
      <alignment horizontal="center"/>
    </xf>
    <xf numFmtId="1" fontId="6" fillId="0" borderId="58" xfId="0" applyNumberFormat="1" applyFont="1" applyBorder="1" applyAlignment="1">
      <alignment horizontal="center" wrapText="1"/>
    </xf>
    <xf numFmtId="0" fontId="42" fillId="8" borderId="58" xfId="0" applyFont="1" applyFill="1" applyBorder="1" applyAlignment="1">
      <alignment horizontal="center"/>
    </xf>
    <xf numFmtId="49" fontId="6" fillId="0" borderId="58" xfId="0" applyNumberFormat="1" applyFont="1" applyBorder="1" applyAlignment="1">
      <alignment horizontal="center" wrapText="1"/>
    </xf>
    <xf numFmtId="0" fontId="44" fillId="0" borderId="24" xfId="0" applyFont="1" applyBorder="1" applyAlignment="1">
      <alignment horizontal="center" wrapText="1"/>
    </xf>
    <xf numFmtId="0" fontId="45" fillId="0" borderId="58" xfId="0" applyFont="1" applyBorder="1" applyAlignment="1">
      <alignment horizontal="center" wrapText="1"/>
    </xf>
    <xf numFmtId="0" fontId="5" fillId="4" borderId="59" xfId="0" applyFont="1" applyFill="1" applyBorder="1" applyAlignment="1">
      <alignment horizontal="right"/>
    </xf>
    <xf numFmtId="0" fontId="5" fillId="4" borderId="60" xfId="0" applyFont="1" applyFill="1" applyBorder="1" applyAlignment="1">
      <alignment horizontal="right"/>
    </xf>
    <xf numFmtId="0" fontId="46" fillId="2" borderId="53" xfId="0" applyFont="1" applyFill="1" applyBorder="1" applyAlignment="1">
      <alignment horizontal="left"/>
    </xf>
    <xf numFmtId="0" fontId="6" fillId="0" borderId="62" xfId="0" quotePrefix="1" applyFont="1" applyBorder="1" applyAlignment="1">
      <alignment horizontal="center"/>
    </xf>
    <xf numFmtId="0" fontId="10" fillId="0" borderId="1" xfId="0" applyFont="1" applyBorder="1"/>
    <xf numFmtId="49" fontId="16" fillId="0" borderId="24" xfId="0" applyNumberFormat="1" applyFont="1" applyBorder="1" applyAlignment="1">
      <alignment horizontal="center"/>
    </xf>
    <xf numFmtId="0" fontId="16" fillId="0" borderId="25" xfId="0" applyFont="1" applyBorder="1" applyAlignment="1">
      <alignment horizontal="center"/>
    </xf>
    <xf numFmtId="0" fontId="10" fillId="0" borderId="25" xfId="0" applyFont="1" applyBorder="1" applyAlignment="1">
      <alignment horizontal="center"/>
    </xf>
    <xf numFmtId="0" fontId="42" fillId="8" borderId="42" xfId="0" applyFont="1" applyFill="1" applyBorder="1" applyAlignment="1">
      <alignment horizontal="center"/>
    </xf>
    <xf numFmtId="0" fontId="1" fillId="0" borderId="69" xfId="0" applyFont="1" applyBorder="1" applyAlignment="1">
      <alignment horizontal="center" shrinkToFit="1"/>
    </xf>
    <xf numFmtId="0" fontId="4" fillId="0" borderId="41" xfId="0" applyFont="1" applyBorder="1" applyAlignment="1">
      <alignment horizontal="left"/>
    </xf>
    <xf numFmtId="0" fontId="1" fillId="0" borderId="36" xfId="0" applyFont="1" applyBorder="1" applyAlignment="1">
      <alignment horizontal="left"/>
    </xf>
    <xf numFmtId="0" fontId="1" fillId="0" borderId="70" xfId="0" applyFont="1" applyBorder="1" applyAlignment="1">
      <alignment horizontal="center" shrinkToFit="1"/>
    </xf>
    <xf numFmtId="0" fontId="1" fillId="0" borderId="38" xfId="0" applyFont="1" applyBorder="1" applyAlignment="1">
      <alignment horizontal="left"/>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1" fillId="3" borderId="55" xfId="0" applyFont="1" applyFill="1" applyBorder="1" applyAlignment="1">
      <alignment horizontal="centerContinuous" vertical="center"/>
    </xf>
    <xf numFmtId="0" fontId="11" fillId="3" borderId="34" xfId="0" applyFont="1" applyFill="1" applyBorder="1" applyAlignment="1">
      <alignment horizontal="center" vertical="center"/>
    </xf>
    <xf numFmtId="0" fontId="11" fillId="3" borderId="34" xfId="0" applyFont="1" applyFill="1" applyBorder="1" applyAlignment="1">
      <alignment horizontal="center" vertical="center" wrapText="1"/>
    </xf>
    <xf numFmtId="0" fontId="45" fillId="8" borderId="33" xfId="0" applyFont="1" applyFill="1" applyBorder="1" applyAlignment="1">
      <alignment horizontal="center" vertical="center" wrapText="1"/>
    </xf>
    <xf numFmtId="0" fontId="11" fillId="3" borderId="56" xfId="0" applyFont="1" applyFill="1" applyBorder="1" applyAlignment="1">
      <alignment horizontal="center" vertical="center"/>
    </xf>
    <xf numFmtId="0" fontId="3" fillId="0" borderId="0" xfId="0" applyFont="1" applyAlignment="1">
      <alignment vertical="center"/>
    </xf>
    <xf numFmtId="0" fontId="1" fillId="0" borderId="84" xfId="0" applyFont="1" applyBorder="1" applyAlignment="1">
      <alignment horizontal="center" shrinkToFit="1"/>
    </xf>
    <xf numFmtId="0" fontId="1" fillId="0" borderId="85" xfId="0" applyFont="1" applyBorder="1" applyAlignment="1">
      <alignment horizontal="center" shrinkToFit="1"/>
    </xf>
    <xf numFmtId="0" fontId="20" fillId="3" borderId="34" xfId="0" applyFont="1" applyFill="1" applyBorder="1" applyAlignment="1">
      <alignment horizontal="center"/>
    </xf>
    <xf numFmtId="0" fontId="10" fillId="4" borderId="87" xfId="0" applyFont="1" applyFill="1" applyBorder="1" applyAlignment="1">
      <alignment horizontal="right"/>
    </xf>
    <xf numFmtId="0" fontId="10" fillId="4" borderId="88" xfId="0" applyFont="1" applyFill="1" applyBorder="1" applyAlignment="1">
      <alignment horizontal="right"/>
    </xf>
    <xf numFmtId="0" fontId="2" fillId="0" borderId="0" xfId="0" applyFont="1" applyAlignment="1">
      <alignment horizontal="centerContinuous" vertical="center"/>
    </xf>
    <xf numFmtId="0" fontId="4" fillId="0" borderId="0" xfId="0" applyFont="1" applyAlignment="1">
      <alignment vertical="center"/>
    </xf>
    <xf numFmtId="0" fontId="20" fillId="7" borderId="16" xfId="0" applyFont="1" applyFill="1" applyBorder="1" applyAlignment="1">
      <alignment horizontal="center" vertical="center"/>
    </xf>
    <xf numFmtId="0" fontId="20" fillId="7" borderId="17" xfId="0" applyFont="1" applyFill="1" applyBorder="1" applyAlignment="1">
      <alignment horizontal="center" vertical="center"/>
    </xf>
    <xf numFmtId="49" fontId="20" fillId="7" borderId="17" xfId="0" applyNumberFormat="1" applyFont="1" applyFill="1" applyBorder="1" applyAlignment="1">
      <alignment horizontal="center" vertical="center"/>
    </xf>
    <xf numFmtId="0" fontId="20" fillId="7" borderId="21" xfId="0" applyFont="1" applyFill="1" applyBorder="1" applyAlignment="1">
      <alignment horizontal="center" vertical="center"/>
    </xf>
    <xf numFmtId="0" fontId="47" fillId="8" borderId="21" xfId="0" applyFont="1" applyFill="1" applyBorder="1" applyAlignment="1">
      <alignment horizontal="center" vertical="center"/>
    </xf>
    <xf numFmtId="0" fontId="20" fillId="7" borderId="18" xfId="0" applyFont="1" applyFill="1" applyBorder="1" applyAlignment="1">
      <alignment horizontal="center" vertical="center"/>
    </xf>
    <xf numFmtId="0" fontId="4" fillId="0" borderId="0" xfId="0" applyFont="1" applyAlignment="1">
      <alignment horizontal="center" vertical="center"/>
    </xf>
    <xf numFmtId="0" fontId="1" fillId="10" borderId="15" xfId="0" applyFont="1" applyFill="1" applyBorder="1" applyAlignment="1">
      <alignment horizontal="center" vertical="center"/>
    </xf>
    <xf numFmtId="0" fontId="1" fillId="10" borderId="42" xfId="0" applyFont="1" applyFill="1" applyBorder="1" applyAlignment="1">
      <alignment horizontal="center" vertical="center"/>
    </xf>
    <xf numFmtId="49" fontId="1" fillId="10" borderId="42" xfId="0" applyNumberFormat="1" applyFont="1" applyFill="1" applyBorder="1" applyAlignment="1">
      <alignment horizontal="center" vertical="center"/>
    </xf>
    <xf numFmtId="164" fontId="1" fillId="10" borderId="42" xfId="0" applyNumberFormat="1" applyFont="1" applyFill="1" applyBorder="1" applyAlignment="1">
      <alignment horizontal="center" vertical="center"/>
    </xf>
    <xf numFmtId="164" fontId="1" fillId="10" borderId="43" xfId="0" applyNumberFormat="1" applyFont="1" applyFill="1" applyBorder="1" applyAlignment="1">
      <alignment horizontal="center" vertical="center"/>
    </xf>
    <xf numFmtId="1" fontId="48" fillId="8" borderId="43" xfId="0" applyNumberFormat="1" applyFont="1" applyFill="1" applyBorder="1" applyAlignment="1">
      <alignment horizontal="center" vertical="center"/>
    </xf>
    <xf numFmtId="1" fontId="1" fillId="10" borderId="43" xfId="0" applyNumberFormat="1" applyFont="1" applyFill="1" applyBorder="1" applyAlignment="1">
      <alignment horizontal="center" vertical="center"/>
    </xf>
    <xf numFmtId="0" fontId="1" fillId="10" borderId="31" xfId="0" quotePrefix="1" applyFont="1" applyFill="1" applyBorder="1" applyAlignment="1">
      <alignment horizontal="center" vertical="center"/>
    </xf>
    <xf numFmtId="0" fontId="4" fillId="0" borderId="0" xfId="0" applyFont="1" applyAlignment="1">
      <alignment horizontal="centerContinuous" vertical="center"/>
    </xf>
    <xf numFmtId="164" fontId="4" fillId="0" borderId="0" xfId="0" applyNumberFormat="1" applyFont="1" applyAlignment="1">
      <alignment horizontal="center" vertical="center"/>
    </xf>
    <xf numFmtId="0" fontId="20" fillId="7" borderId="21" xfId="0" applyFont="1" applyFill="1" applyBorder="1" applyAlignment="1">
      <alignment horizontal="centerContinuous" vertical="center"/>
    </xf>
    <xf numFmtId="0" fontId="20" fillId="7" borderId="68" xfId="0" applyFont="1" applyFill="1" applyBorder="1" applyAlignment="1">
      <alignment horizontal="centerContinuous" vertical="center"/>
    </xf>
    <xf numFmtId="0" fontId="20" fillId="7" borderId="45" xfId="0" applyFont="1" applyFill="1" applyBorder="1" applyAlignment="1">
      <alignment horizontal="centerContinuous" vertical="center"/>
    </xf>
    <xf numFmtId="164" fontId="4" fillId="0" borderId="67" xfId="0" applyNumberFormat="1" applyFont="1" applyBorder="1" applyAlignment="1">
      <alignment horizontal="center" vertical="center"/>
    </xf>
    <xf numFmtId="164" fontId="1" fillId="0" borderId="66" xfId="0" applyNumberFormat="1" applyFont="1" applyBorder="1" applyAlignment="1">
      <alignment horizontal="centerContinuous" vertical="center"/>
    </xf>
    <xf numFmtId="164" fontId="1" fillId="0" borderId="76" xfId="0" applyNumberFormat="1" applyFont="1" applyBorder="1" applyAlignment="1">
      <alignment horizontal="centerContinuous" vertical="center"/>
    </xf>
    <xf numFmtId="0" fontId="4" fillId="0" borderId="77" xfId="0" quotePrefix="1" applyFont="1" applyBorder="1" applyAlignment="1">
      <alignment horizontal="centerContinuous" vertical="center"/>
    </xf>
    <xf numFmtId="164" fontId="4" fillId="0" borderId="78" xfId="0" applyNumberFormat="1" applyFont="1" applyBorder="1" applyAlignment="1">
      <alignment horizontal="centerContinuous" vertical="center"/>
    </xf>
    <xf numFmtId="0" fontId="4" fillId="0" borderId="79" xfId="0" applyFont="1" applyBorder="1" applyAlignment="1">
      <alignment horizontal="centerContinuous" vertical="center"/>
    </xf>
    <xf numFmtId="0" fontId="18" fillId="0" borderId="0" xfId="0" applyFont="1" applyAlignment="1">
      <alignment horizontal="right" vertical="center"/>
    </xf>
    <xf numFmtId="0" fontId="20" fillId="7" borderId="19" xfId="0" applyFont="1" applyFill="1" applyBorder="1" applyAlignment="1">
      <alignment horizontal="centerContinuous" vertical="center"/>
    </xf>
    <xf numFmtId="0" fontId="20" fillId="7" borderId="20" xfId="0" applyFont="1" applyFill="1" applyBorder="1" applyAlignment="1">
      <alignment horizontal="centerContinuous" vertical="center"/>
    </xf>
    <xf numFmtId="0" fontId="1" fillId="0" borderId="64" xfId="0" applyFont="1" applyBorder="1" applyAlignment="1">
      <alignment horizontal="centerContinuous" vertical="center"/>
    </xf>
    <xf numFmtId="0" fontId="4" fillId="0" borderId="65" xfId="0" applyFont="1" applyBorder="1" applyAlignment="1">
      <alignment horizontal="centerContinuous" vertical="center"/>
    </xf>
    <xf numFmtId="0" fontId="4" fillId="0" borderId="66" xfId="0" applyFont="1" applyBorder="1" applyAlignment="1">
      <alignment horizontal="centerContinuous" vertical="center"/>
    </xf>
    <xf numFmtId="49" fontId="1" fillId="0" borderId="67" xfId="0" applyNumberFormat="1" applyFont="1" applyBorder="1" applyAlignment="1">
      <alignment horizontal="center" vertical="center"/>
    </xf>
    <xf numFmtId="49" fontId="1" fillId="0" borderId="66" xfId="0" applyNumberFormat="1" applyFont="1" applyBorder="1" applyAlignment="1">
      <alignment horizontal="centerContinuous" vertical="center"/>
    </xf>
    <xf numFmtId="49" fontId="1" fillId="0" borderId="76" xfId="0" applyNumberFormat="1" applyFont="1" applyBorder="1" applyAlignment="1">
      <alignment horizontal="centerContinuous" vertical="center"/>
    </xf>
    <xf numFmtId="0" fontId="4" fillId="0" borderId="77" xfId="0" applyFont="1" applyBorder="1" applyAlignment="1">
      <alignment horizontal="centerContinuous" vertical="center"/>
    </xf>
    <xf numFmtId="0" fontId="1" fillId="0" borderId="8" xfId="0" applyFont="1" applyBorder="1" applyAlignment="1">
      <alignment horizontal="centerContinuous" vertical="center"/>
    </xf>
    <xf numFmtId="0" fontId="4" fillId="0" borderId="63" xfId="0" applyFont="1" applyBorder="1" applyAlignment="1">
      <alignment horizontal="centerContinuous" vertical="center"/>
    </xf>
    <xf numFmtId="0" fontId="4" fillId="0" borderId="43" xfId="0" applyFont="1" applyBorder="1" applyAlignment="1">
      <alignment horizontal="centerContinuous" vertical="center"/>
    </xf>
    <xf numFmtId="164" fontId="4" fillId="0" borderId="42" xfId="0" applyNumberFormat="1" applyFont="1" applyBorder="1" applyAlignment="1">
      <alignment horizontal="center" vertical="center"/>
    </xf>
    <xf numFmtId="49" fontId="1" fillId="0" borderId="42" xfId="0" applyNumberFormat="1" applyFont="1" applyBorder="1" applyAlignment="1">
      <alignment horizontal="center" vertical="center"/>
    </xf>
    <xf numFmtId="49" fontId="1" fillId="0" borderId="43" xfId="0" applyNumberFormat="1" applyFont="1" applyBorder="1" applyAlignment="1">
      <alignment horizontal="centerContinuous" vertical="center"/>
    </xf>
    <xf numFmtId="49" fontId="1" fillId="0" borderId="9" xfId="0" applyNumberFormat="1" applyFont="1" applyBorder="1" applyAlignment="1">
      <alignment horizontal="centerContinuous" vertical="center"/>
    </xf>
    <xf numFmtId="0" fontId="1" fillId="0" borderId="10" xfId="0" applyFont="1" applyBorder="1" applyAlignment="1">
      <alignment horizontal="centerContinuous" vertical="center"/>
    </xf>
    <xf numFmtId="0" fontId="34" fillId="2" borderId="54" xfId="1" applyFont="1" applyFill="1" applyBorder="1" applyAlignment="1" applyProtection="1">
      <alignment horizontal="right" vertical="center"/>
    </xf>
    <xf numFmtId="0" fontId="6" fillId="6" borderId="26" xfId="0" quotePrefix="1" applyFont="1" applyFill="1" applyBorder="1" applyAlignment="1">
      <alignment horizontal="center"/>
    </xf>
    <xf numFmtId="1" fontId="1" fillId="0" borderId="0" xfId="0" applyNumberFormat="1" applyFont="1" applyAlignment="1">
      <alignment horizontal="center"/>
    </xf>
    <xf numFmtId="1" fontId="3" fillId="0" borderId="0" xfId="0" applyNumberFormat="1" applyFont="1" applyAlignment="1">
      <alignment horizontal="center"/>
    </xf>
    <xf numFmtId="1" fontId="4" fillId="0" borderId="0" xfId="0" applyNumberFormat="1" applyFont="1" applyAlignment="1">
      <alignment horizontal="center"/>
    </xf>
    <xf numFmtId="0" fontId="1" fillId="0" borderId="71" xfId="0" applyFont="1" applyBorder="1" applyAlignment="1">
      <alignment horizontal="center" vertical="center" shrinkToFit="1"/>
    </xf>
    <xf numFmtId="0" fontId="20" fillId="7" borderId="29" xfId="0" applyFont="1" applyFill="1" applyBorder="1" applyAlignment="1">
      <alignment horizontal="center" vertical="center"/>
    </xf>
    <xf numFmtId="1" fontId="1" fillId="0" borderId="89" xfId="0" applyNumberFormat="1" applyFont="1" applyBorder="1" applyAlignment="1">
      <alignment horizontal="center" vertical="center"/>
    </xf>
    <xf numFmtId="1" fontId="1" fillId="0" borderId="32" xfId="0" applyNumberFormat="1" applyFont="1" applyBorder="1" applyAlignment="1">
      <alignment horizontal="center" vertical="center"/>
    </xf>
    <xf numFmtId="1" fontId="1" fillId="0" borderId="44" xfId="0" applyNumberFormat="1" applyFont="1" applyBorder="1" applyAlignment="1">
      <alignment horizontal="center" vertical="center"/>
    </xf>
    <xf numFmtId="0" fontId="1" fillId="0" borderId="74" xfId="0" quotePrefix="1" applyFont="1" applyBorder="1" applyAlignment="1">
      <alignment horizontal="center" vertical="center"/>
    </xf>
    <xf numFmtId="9" fontId="1" fillId="0" borderId="74" xfId="0" applyNumberFormat="1" applyFont="1" applyBorder="1" applyAlignment="1">
      <alignment horizontal="center" vertical="center"/>
    </xf>
    <xf numFmtId="0" fontId="1" fillId="0" borderId="36" xfId="0" quotePrefix="1" applyFont="1" applyBorder="1" applyAlignment="1">
      <alignment horizontal="left"/>
    </xf>
    <xf numFmtId="0" fontId="1" fillId="0" borderId="37" xfId="0" applyFont="1" applyBorder="1" applyAlignment="1">
      <alignment horizontal="center" shrinkToFit="1"/>
    </xf>
    <xf numFmtId="0" fontId="1" fillId="0" borderId="82" xfId="0" applyFont="1" applyBorder="1" applyAlignment="1">
      <alignment horizontal="center" shrinkToFit="1"/>
    </xf>
    <xf numFmtId="0" fontId="1" fillId="0" borderId="80" xfId="0" applyFont="1" applyBorder="1" applyAlignment="1">
      <alignment horizontal="center" shrinkToFit="1"/>
    </xf>
    <xf numFmtId="0" fontId="1" fillId="0" borderId="86" xfId="0" applyFont="1" applyBorder="1" applyAlignment="1">
      <alignment horizontal="center" shrinkToFit="1"/>
    </xf>
    <xf numFmtId="164" fontId="4" fillId="0" borderId="81" xfId="0" applyNumberFormat="1" applyFont="1" applyBorder="1" applyAlignment="1">
      <alignment horizontal="center" shrinkToFit="1"/>
    </xf>
    <xf numFmtId="0" fontId="4" fillId="0" borderId="81" xfId="0" applyFont="1" applyBorder="1" applyAlignment="1">
      <alignment horizontal="left"/>
    </xf>
    <xf numFmtId="0" fontId="4" fillId="0" borderId="38" xfId="0" applyFont="1" applyBorder="1" applyAlignment="1">
      <alignment horizontal="left"/>
    </xf>
    <xf numFmtId="0" fontId="1" fillId="0" borderId="39" xfId="0" applyFont="1" applyBorder="1" applyAlignment="1">
      <alignment horizontal="center" shrinkToFit="1"/>
    </xf>
    <xf numFmtId="1" fontId="20" fillId="3" borderId="29" xfId="0" applyNumberFormat="1" applyFont="1" applyFill="1" applyBorder="1" applyAlignment="1">
      <alignment horizontal="center" vertical="center"/>
    </xf>
    <xf numFmtId="1" fontId="1" fillId="0" borderId="48" xfId="0" applyNumberFormat="1" applyFont="1" applyBorder="1" applyAlignment="1">
      <alignment horizontal="center" vertical="center" shrinkToFit="1"/>
    </xf>
    <xf numFmtId="1" fontId="1" fillId="0" borderId="32" xfId="0" applyNumberFormat="1" applyFont="1" applyBorder="1" applyAlignment="1">
      <alignment horizontal="center" vertical="center" shrinkToFit="1"/>
    </xf>
    <xf numFmtId="1" fontId="1" fillId="0" borderId="44" xfId="0" applyNumberFormat="1" applyFont="1" applyBorder="1" applyAlignment="1">
      <alignment horizontal="center" vertical="center" shrinkToFit="1"/>
    </xf>
    <xf numFmtId="1" fontId="1" fillId="0" borderId="50" xfId="0" applyNumberFormat="1" applyFont="1" applyBorder="1" applyAlignment="1">
      <alignment horizontal="center" vertical="center" shrinkToFit="1"/>
    </xf>
    <xf numFmtId="2" fontId="1" fillId="0" borderId="32" xfId="0" applyNumberFormat="1" applyFont="1" applyBorder="1" applyAlignment="1">
      <alignment horizontal="center" vertical="center" shrinkToFit="1"/>
    </xf>
    <xf numFmtId="0" fontId="20" fillId="7" borderId="90" xfId="0" applyFont="1" applyFill="1" applyBorder="1" applyAlignment="1">
      <alignment horizontal="center" vertical="center"/>
    </xf>
    <xf numFmtId="0" fontId="1" fillId="0" borderId="0" xfId="0" applyFont="1" applyAlignment="1">
      <alignment vertical="center"/>
    </xf>
    <xf numFmtId="0" fontId="1" fillId="0" borderId="91" xfId="0" applyFont="1" applyBorder="1" applyAlignment="1">
      <alignment horizontal="centerContinuous" vertical="center" shrinkToFit="1"/>
    </xf>
    <xf numFmtId="0" fontId="20" fillId="0" borderId="92" xfId="0" applyFont="1" applyBorder="1" applyAlignment="1">
      <alignment horizontal="centerContinuous" vertical="center"/>
    </xf>
    <xf numFmtId="0" fontId="1" fillId="0" borderId="93" xfId="0" applyFont="1" applyBorder="1" applyAlignment="1">
      <alignment horizontal="centerContinuous" vertical="center"/>
    </xf>
    <xf numFmtId="0" fontId="1" fillId="0" borderId="94" xfId="0" applyFont="1" applyBorder="1" applyAlignment="1">
      <alignment horizontal="centerContinuous" vertical="center" shrinkToFit="1"/>
    </xf>
    <xf numFmtId="0" fontId="20" fillId="0" borderId="78" xfId="0" applyFont="1" applyBorder="1" applyAlignment="1">
      <alignment horizontal="centerContinuous" vertical="center"/>
    </xf>
    <xf numFmtId="164" fontId="1" fillId="0" borderId="75" xfId="0" quotePrefix="1" applyNumberFormat="1" applyFont="1" applyBorder="1" applyAlignment="1">
      <alignment horizontal="centerContinuous" vertical="center"/>
    </xf>
    <xf numFmtId="0" fontId="3" fillId="0" borderId="0" xfId="0" applyFont="1" applyAlignment="1">
      <alignment horizontal="right" vertical="center"/>
    </xf>
    <xf numFmtId="165" fontId="1" fillId="0" borderId="0" xfId="0" applyNumberFormat="1" applyFont="1" applyAlignment="1">
      <alignment horizontal="center" vertical="center"/>
    </xf>
    <xf numFmtId="0" fontId="1" fillId="0" borderId="24" xfId="0" applyFont="1" applyBorder="1" applyAlignment="1">
      <alignment horizontal="center" vertical="center"/>
    </xf>
    <xf numFmtId="1" fontId="1" fillId="0" borderId="95" xfId="0" applyNumberFormat="1" applyFont="1" applyBorder="1" applyAlignment="1">
      <alignment horizontal="center" vertical="center"/>
    </xf>
    <xf numFmtId="0" fontId="49" fillId="0" borderId="29" xfId="0" applyFont="1" applyBorder="1" applyAlignment="1">
      <alignment horizontal="centerContinuous"/>
    </xf>
    <xf numFmtId="0" fontId="1" fillId="0" borderId="0" xfId="0" applyFont="1" applyAlignment="1">
      <alignment horizontal="center" vertical="center"/>
    </xf>
    <xf numFmtId="1" fontId="1" fillId="0" borderId="48" xfId="0" applyNumberFormat="1" applyFont="1" applyBorder="1" applyAlignment="1">
      <alignment horizontal="center" vertical="center"/>
    </xf>
    <xf numFmtId="0" fontId="4" fillId="0" borderId="82" xfId="0" applyFont="1" applyBorder="1" applyAlignment="1">
      <alignment horizontal="left" shrinkToFit="1"/>
    </xf>
    <xf numFmtId="1" fontId="1" fillId="0" borderId="96" xfId="0" applyNumberFormat="1" applyFont="1" applyBorder="1" applyAlignment="1">
      <alignment horizontal="center" vertical="center" shrinkToFit="1"/>
    </xf>
    <xf numFmtId="0" fontId="1" fillId="0" borderId="81" xfId="0" quotePrefix="1" applyFont="1" applyBorder="1" applyAlignment="1">
      <alignment horizontal="left"/>
    </xf>
    <xf numFmtId="0" fontId="1" fillId="0" borderId="81" xfId="0" applyFont="1" applyBorder="1" applyAlignment="1">
      <alignment horizontal="left"/>
    </xf>
    <xf numFmtId="0" fontId="1" fillId="0" borderId="97" xfId="0" applyFont="1" applyBorder="1" applyAlignment="1">
      <alignment horizontal="center" vertical="center"/>
    </xf>
    <xf numFmtId="0" fontId="1" fillId="0" borderId="98" xfId="0" applyFont="1" applyBorder="1" applyAlignment="1">
      <alignment horizontal="center" vertical="center"/>
    </xf>
    <xf numFmtId="164" fontId="4" fillId="0" borderId="99" xfId="0" applyNumberFormat="1" applyFont="1" applyBorder="1" applyAlignment="1">
      <alignment horizontal="center" vertical="center"/>
    </xf>
    <xf numFmtId="1" fontId="48" fillId="8" borderId="99" xfId="0" applyNumberFormat="1" applyFont="1" applyFill="1" applyBorder="1" applyAlignment="1">
      <alignment horizontal="center" vertical="center"/>
    </xf>
    <xf numFmtId="1" fontId="1" fillId="0" borderId="99" xfId="0" applyNumberFormat="1" applyFont="1" applyBorder="1" applyAlignment="1">
      <alignment horizontal="center" vertical="center"/>
    </xf>
    <xf numFmtId="0" fontId="1" fillId="0" borderId="26" xfId="0" quotePrefix="1" applyFont="1" applyBorder="1" applyAlignment="1">
      <alignment horizontal="center" vertical="center"/>
    </xf>
    <xf numFmtId="1" fontId="1" fillId="0" borderId="96" xfId="0" applyNumberFormat="1" applyFont="1" applyBorder="1" applyAlignment="1">
      <alignment horizontal="center" vertical="center"/>
    </xf>
    <xf numFmtId="0" fontId="1" fillId="0" borderId="101" xfId="0" applyFont="1" applyBorder="1" applyAlignment="1">
      <alignment horizontal="center" vertical="center"/>
    </xf>
    <xf numFmtId="0" fontId="1" fillId="0" borderId="102" xfId="0" applyFont="1" applyBorder="1" applyAlignment="1">
      <alignment horizontal="center" vertical="center"/>
    </xf>
    <xf numFmtId="0" fontId="1" fillId="0" borderId="102" xfId="0" quotePrefix="1" applyFont="1" applyBorder="1" applyAlignment="1">
      <alignment horizontal="center" vertical="center" wrapText="1"/>
    </xf>
    <xf numFmtId="49" fontId="1" fillId="0" borderId="102" xfId="2" applyNumberFormat="1" applyFont="1" applyFill="1" applyBorder="1" applyAlignment="1">
      <alignment horizontal="center" vertical="center"/>
    </xf>
    <xf numFmtId="0" fontId="1" fillId="0" borderId="102" xfId="0" applyFont="1" applyBorder="1" applyAlignment="1">
      <alignment horizontal="center" vertical="center" shrinkToFit="1"/>
    </xf>
    <xf numFmtId="164" fontId="4" fillId="0" borderId="103" xfId="0" applyNumberFormat="1" applyFont="1" applyBorder="1" applyAlignment="1">
      <alignment horizontal="center" vertical="center"/>
    </xf>
    <xf numFmtId="1" fontId="48" fillId="8" borderId="103" xfId="0" applyNumberFormat="1" applyFont="1" applyFill="1" applyBorder="1" applyAlignment="1">
      <alignment horizontal="center" vertical="center"/>
    </xf>
    <xf numFmtId="1" fontId="1" fillId="0" borderId="103" xfId="0" applyNumberFormat="1" applyFont="1" applyBorder="1" applyAlignment="1">
      <alignment horizontal="center" vertical="center"/>
    </xf>
    <xf numFmtId="0" fontId="1" fillId="0" borderId="104" xfId="0" quotePrefix="1" applyFont="1" applyBorder="1" applyAlignment="1">
      <alignment horizontal="center" vertical="center"/>
    </xf>
    <xf numFmtId="0" fontId="1" fillId="0" borderId="13" xfId="0" applyFont="1" applyBorder="1" applyAlignment="1">
      <alignment horizontal="center" vertical="center"/>
    </xf>
    <xf numFmtId="0" fontId="1" fillId="0" borderId="24" xfId="0" quotePrefix="1" applyFont="1" applyBorder="1" applyAlignment="1">
      <alignment horizontal="center" vertical="center" wrapText="1"/>
    </xf>
    <xf numFmtId="49" fontId="1" fillId="0" borderId="24" xfId="2" applyNumberFormat="1" applyFont="1" applyFill="1" applyBorder="1" applyAlignment="1">
      <alignment horizontal="center" vertical="center"/>
    </xf>
    <xf numFmtId="0" fontId="1" fillId="0" borderId="24" xfId="0" applyFont="1" applyBorder="1" applyAlignment="1">
      <alignment horizontal="center" vertical="center" shrinkToFit="1"/>
    </xf>
    <xf numFmtId="164" fontId="4" fillId="0" borderId="25" xfId="0" applyNumberFormat="1" applyFont="1" applyBorder="1" applyAlignment="1">
      <alignment horizontal="center" vertical="center"/>
    </xf>
    <xf numFmtId="1" fontId="48" fillId="8" borderId="25" xfId="0" applyNumberFormat="1" applyFont="1" applyFill="1" applyBorder="1" applyAlignment="1">
      <alignment horizontal="center" vertical="center"/>
    </xf>
    <xf numFmtId="1" fontId="1" fillId="0" borderId="25" xfId="0" applyNumberFormat="1" applyFont="1" applyBorder="1" applyAlignment="1">
      <alignment horizontal="center" vertical="center"/>
    </xf>
    <xf numFmtId="0" fontId="1" fillId="0" borderId="42" xfId="0" applyFont="1" applyBorder="1" applyAlignment="1">
      <alignment horizontal="center" vertical="center"/>
    </xf>
    <xf numFmtId="49" fontId="1" fillId="0" borderId="42" xfId="2" applyNumberFormat="1" applyFont="1" applyBorder="1" applyAlignment="1">
      <alignment horizontal="center" vertical="center"/>
    </xf>
    <xf numFmtId="0" fontId="1" fillId="0" borderId="42" xfId="0" applyFont="1" applyBorder="1" applyAlignment="1">
      <alignment horizontal="center" vertical="center" shrinkToFit="1"/>
    </xf>
    <xf numFmtId="164" fontId="4" fillId="0" borderId="43" xfId="0" applyNumberFormat="1" applyFont="1" applyBorder="1" applyAlignment="1">
      <alignment horizontal="center" vertical="center"/>
    </xf>
    <xf numFmtId="1" fontId="1" fillId="0" borderId="43" xfId="0" applyNumberFormat="1" applyFont="1" applyBorder="1" applyAlignment="1">
      <alignment horizontal="center" vertical="center"/>
    </xf>
    <xf numFmtId="0" fontId="52" fillId="2" borderId="52" xfId="0" applyFont="1" applyFill="1" applyBorder="1" applyAlignment="1">
      <alignment horizontal="right"/>
    </xf>
    <xf numFmtId="0" fontId="52" fillId="2" borderId="53" xfId="0" applyFont="1" applyFill="1" applyBorder="1" applyAlignment="1">
      <alignment horizontal="left"/>
    </xf>
    <xf numFmtId="49" fontId="15" fillId="0" borderId="0" xfId="0" applyNumberFormat="1" applyFont="1"/>
    <xf numFmtId="49" fontId="16" fillId="0" borderId="30" xfId="0" applyNumberFormat="1" applyFont="1" applyBorder="1" applyAlignment="1">
      <alignment horizontal="center" shrinkToFit="1"/>
    </xf>
    <xf numFmtId="1" fontId="6" fillId="0" borderId="61" xfId="0" applyNumberFormat="1" applyFont="1" applyBorder="1" applyAlignment="1">
      <alignment horizontal="center"/>
    </xf>
    <xf numFmtId="0" fontId="1" fillId="0" borderId="15" xfId="0" applyFont="1" applyBorder="1" applyAlignment="1">
      <alignment horizontal="center" vertical="center"/>
    </xf>
    <xf numFmtId="49" fontId="1" fillId="0" borderId="24" xfId="0" applyNumberFormat="1" applyFont="1" applyBorder="1" applyAlignment="1">
      <alignment horizontal="center" vertical="center"/>
    </xf>
    <xf numFmtId="0" fontId="1" fillId="0" borderId="80" xfId="0" applyFont="1" applyBorder="1" applyAlignment="1">
      <alignment horizontal="center" vertical="center" shrinkToFit="1"/>
    </xf>
    <xf numFmtId="0" fontId="1" fillId="0" borderId="81" xfId="0" applyFont="1" applyBorder="1" applyAlignment="1">
      <alignment horizontal="center" vertical="center" shrinkToFit="1"/>
    </xf>
    <xf numFmtId="164" fontId="1" fillId="0" borderId="81" xfId="0" applyNumberFormat="1" applyFont="1" applyBorder="1" applyAlignment="1">
      <alignment horizontal="center" vertical="center" shrinkToFit="1"/>
    </xf>
    <xf numFmtId="0" fontId="1" fillId="0" borderId="81" xfId="0" applyFont="1" applyBorder="1" applyAlignment="1">
      <alignment horizontal="left" vertical="center"/>
    </xf>
    <xf numFmtId="0" fontId="1" fillId="0" borderId="82" xfId="0" applyFont="1" applyBorder="1" applyAlignment="1">
      <alignment horizontal="left" vertical="center" shrinkToFit="1"/>
    </xf>
    <xf numFmtId="0" fontId="1" fillId="0" borderId="108" xfId="0" applyFont="1" applyBorder="1" applyAlignment="1">
      <alignment horizontal="centerContinuous" vertical="center" shrinkToFit="1"/>
    </xf>
    <xf numFmtId="0" fontId="20" fillId="0" borderId="109" xfId="0" applyFont="1" applyBorder="1" applyAlignment="1">
      <alignment horizontal="centerContinuous" vertical="center"/>
    </xf>
    <xf numFmtId="0" fontId="1" fillId="0" borderId="100" xfId="0" applyFont="1" applyBorder="1" applyAlignment="1">
      <alignment horizontal="center" vertical="center"/>
    </xf>
    <xf numFmtId="0" fontId="1" fillId="0" borderId="110" xfId="0" applyFont="1" applyBorder="1" applyAlignment="1">
      <alignment horizontal="centerContinuous" vertical="center" shrinkToFit="1"/>
    </xf>
    <xf numFmtId="0" fontId="1" fillId="0" borderId="79" xfId="0" applyFont="1" applyBorder="1" applyAlignment="1">
      <alignment horizontal="centerContinuous" vertical="center" shrinkToFit="1"/>
    </xf>
    <xf numFmtId="0" fontId="8" fillId="0" borderId="3" xfId="0" quotePrefix="1" applyFont="1" applyBorder="1" applyAlignment="1">
      <alignment horizontal="center"/>
    </xf>
    <xf numFmtId="0" fontId="8" fillId="0" borderId="3" xfId="0" applyFont="1" applyBorder="1" applyAlignment="1">
      <alignment horizontal="center"/>
    </xf>
    <xf numFmtId="0" fontId="6" fillId="0" borderId="23" xfId="0" quotePrefix="1" applyFont="1" applyBorder="1" applyAlignment="1">
      <alignment horizontal="center"/>
    </xf>
    <xf numFmtId="164" fontId="1" fillId="0" borderId="24" xfId="0" applyNumberFormat="1" applyFont="1" applyBorder="1" applyAlignment="1">
      <alignment horizontal="center" vertical="center"/>
    </xf>
    <xf numFmtId="164" fontId="1" fillId="0" borderId="25" xfId="0" applyNumberFormat="1" applyFont="1" applyBorder="1" applyAlignment="1">
      <alignment horizontal="center" vertical="center"/>
    </xf>
    <xf numFmtId="0" fontId="1" fillId="0" borderId="111" xfId="0" applyFont="1" applyBorder="1" applyAlignment="1">
      <alignment horizontal="centerContinuous" vertical="center" shrinkToFit="1"/>
    </xf>
    <xf numFmtId="0" fontId="20" fillId="0" borderId="113" xfId="0" applyFont="1" applyBorder="1" applyAlignment="1">
      <alignment horizontal="centerContinuous" vertical="center"/>
    </xf>
    <xf numFmtId="0" fontId="1" fillId="0" borderId="112" xfId="0" applyFont="1" applyBorder="1" applyAlignment="1">
      <alignment horizontal="centerContinuous" vertical="center"/>
    </xf>
    <xf numFmtId="1" fontId="6" fillId="0" borderId="106" xfId="0" applyNumberFormat="1" applyFont="1" applyBorder="1" applyAlignment="1">
      <alignment horizontal="centerContinuous"/>
    </xf>
    <xf numFmtId="1" fontId="1" fillId="0" borderId="107" xfId="0" applyNumberFormat="1" applyFont="1" applyBorder="1" applyAlignment="1">
      <alignment horizontal="centerContinuous"/>
    </xf>
    <xf numFmtId="49" fontId="6" fillId="0" borderId="27" xfId="0" applyNumberFormat="1" applyFont="1" applyBorder="1" applyAlignment="1">
      <alignment horizontal="center"/>
    </xf>
    <xf numFmtId="0" fontId="6" fillId="0" borderId="26" xfId="0" quotePrefix="1" applyFont="1" applyBorder="1" applyAlignment="1">
      <alignment horizontal="center"/>
    </xf>
    <xf numFmtId="0" fontId="40" fillId="0" borderId="44" xfId="0" applyFont="1" applyBorder="1" applyAlignment="1">
      <alignment horizontal="center" shrinkToFit="1"/>
    </xf>
    <xf numFmtId="0" fontId="54" fillId="0" borderId="0" xfId="0" applyFont="1" applyAlignment="1">
      <alignment horizontal="center" vertical="center"/>
    </xf>
    <xf numFmtId="0" fontId="1" fillId="0" borderId="0" xfId="0" applyFont="1" applyAlignment="1">
      <alignment horizontal="right" vertical="center"/>
    </xf>
    <xf numFmtId="0" fontId="54" fillId="2" borderId="53" xfId="0" applyFont="1" applyFill="1" applyBorder="1" applyAlignment="1">
      <alignment horizontal="center"/>
    </xf>
    <xf numFmtId="2" fontId="4" fillId="0" borderId="81" xfId="0" applyNumberFormat="1" applyFont="1" applyBorder="1" applyAlignment="1">
      <alignment horizontal="center" shrinkToFit="1"/>
    </xf>
    <xf numFmtId="164" fontId="1" fillId="0" borderId="74" xfId="0" applyNumberFormat="1" applyFont="1" applyBorder="1" applyAlignment="1">
      <alignment horizontal="center" vertical="center"/>
    </xf>
    <xf numFmtId="164" fontId="1" fillId="0" borderId="102" xfId="0" applyNumberFormat="1" applyFont="1" applyBorder="1" applyAlignment="1">
      <alignment horizontal="center" vertical="center"/>
    </xf>
    <xf numFmtId="0" fontId="5" fillId="4" borderId="11" xfId="0" applyFont="1" applyFill="1" applyBorder="1" applyAlignment="1">
      <alignment horizontal="right" vertical="center"/>
    </xf>
    <xf numFmtId="1" fontId="6" fillId="0" borderId="23" xfId="0" applyNumberFormat="1" applyFont="1" applyBorder="1" applyAlignment="1">
      <alignment horizontal="centerContinuous" vertical="center"/>
    </xf>
    <xf numFmtId="1" fontId="6" fillId="0" borderId="114" xfId="0" applyNumberFormat="1" applyFont="1" applyBorder="1" applyAlignment="1">
      <alignment horizontal="centerContinuous" vertical="center"/>
    </xf>
    <xf numFmtId="0" fontId="5" fillId="4" borderId="83" xfId="0" applyFont="1" applyFill="1" applyBorder="1" applyAlignment="1">
      <alignment horizontal="right" vertical="center"/>
    </xf>
    <xf numFmtId="3" fontId="6" fillId="0" borderId="12" xfId="0" applyNumberFormat="1" applyFont="1" applyBorder="1" applyAlignment="1">
      <alignment horizontal="center" vertical="center"/>
    </xf>
    <xf numFmtId="0" fontId="7" fillId="2" borderId="13" xfId="0" applyFont="1" applyFill="1" applyBorder="1" applyAlignment="1">
      <alignment horizontal="right" vertical="center"/>
    </xf>
    <xf numFmtId="0" fontId="25" fillId="0" borderId="14" xfId="0" applyFont="1" applyBorder="1" applyAlignment="1">
      <alignment horizontal="center" vertical="center"/>
    </xf>
    <xf numFmtId="0" fontId="7" fillId="4" borderId="47" xfId="0" applyFont="1" applyFill="1" applyBorder="1" applyAlignment="1">
      <alignment horizontal="right" vertical="center"/>
    </xf>
    <xf numFmtId="0" fontId="6" fillId="0" borderId="25" xfId="0" applyFont="1" applyBorder="1" applyAlignment="1">
      <alignment horizontal="center" wrapText="1"/>
    </xf>
    <xf numFmtId="0" fontId="6" fillId="6" borderId="25" xfId="0" applyFont="1" applyFill="1" applyBorder="1" applyAlignment="1">
      <alignment horizontal="center" wrapText="1"/>
    </xf>
    <xf numFmtId="0" fontId="53" fillId="0" borderId="29" xfId="0" applyFont="1" applyBorder="1" applyAlignment="1">
      <alignment horizontal="centerContinuous" vertical="center"/>
    </xf>
    <xf numFmtId="0" fontId="6" fillId="0" borderId="50" xfId="0" applyFont="1" applyBorder="1" applyAlignment="1">
      <alignment horizontal="centerContinuous"/>
    </xf>
    <xf numFmtId="0" fontId="6" fillId="0" borderId="32" xfId="0" applyFont="1" applyBorder="1" applyAlignment="1">
      <alignment horizontal="centerContinuous"/>
    </xf>
    <xf numFmtId="0" fontId="6" fillId="0" borderId="44" xfId="0" applyFont="1" applyBorder="1" applyAlignment="1">
      <alignment horizontal="centerContinuous"/>
    </xf>
    <xf numFmtId="0" fontId="50" fillId="0" borderId="29" xfId="0" applyFont="1" applyBorder="1" applyAlignment="1">
      <alignment horizontal="centerContinuous" vertical="center"/>
    </xf>
    <xf numFmtId="0" fontId="6" fillId="0" borderId="48" xfId="0" applyFont="1" applyBorder="1" applyAlignment="1">
      <alignment horizontal="centerContinuous"/>
    </xf>
    <xf numFmtId="0" fontId="6" fillId="0" borderId="49" xfId="0" applyFont="1" applyBorder="1" applyAlignment="1">
      <alignment horizontal="centerContinuous"/>
    </xf>
    <xf numFmtId="49" fontId="1" fillId="0" borderId="98" xfId="0" applyNumberFormat="1" applyFont="1" applyBorder="1" applyAlignment="1">
      <alignment horizontal="center" vertical="center"/>
    </xf>
    <xf numFmtId="0" fontId="1" fillId="0" borderId="105" xfId="0" quotePrefix="1" applyFont="1" applyBorder="1" applyAlignment="1">
      <alignment horizontal="center" vertical="center"/>
    </xf>
    <xf numFmtId="0" fontId="53" fillId="0" borderId="29" xfId="0" applyFont="1" applyBorder="1" applyAlignment="1">
      <alignment horizontal="center" vertical="center"/>
    </xf>
    <xf numFmtId="0" fontId="6" fillId="0" borderId="49" xfId="0" applyFont="1" applyBorder="1" applyAlignment="1">
      <alignment horizontal="center" vertical="center"/>
    </xf>
    <xf numFmtId="0" fontId="6" fillId="0" borderId="0" xfId="0" quotePrefix="1" applyFont="1" applyAlignment="1">
      <alignment horizontal="center"/>
    </xf>
    <xf numFmtId="0" fontId="55" fillId="2" borderId="4" xfId="0" applyFont="1" applyFill="1" applyBorder="1" applyAlignment="1">
      <alignment horizontal="right"/>
    </xf>
    <xf numFmtId="0" fontId="56" fillId="0" borderId="29" xfId="0" applyFont="1" applyBorder="1" applyAlignment="1">
      <alignment horizontal="center" vertical="center"/>
    </xf>
    <xf numFmtId="0" fontId="6" fillId="0" borderId="96" xfId="0" applyFont="1" applyBorder="1" applyAlignment="1">
      <alignment horizontal="centerContinuous"/>
    </xf>
    <xf numFmtId="0" fontId="6" fillId="0" borderId="44" xfId="0" applyFont="1" applyBorder="1" applyAlignment="1">
      <alignment horizontal="center" shrinkToFit="1"/>
    </xf>
    <xf numFmtId="0" fontId="51" fillId="0" borderId="96" xfId="0" applyFont="1" applyBorder="1" applyAlignment="1">
      <alignment horizontal="centerContinuous"/>
    </xf>
    <xf numFmtId="0" fontId="6" fillId="0" borderId="25" xfId="0" applyFont="1" applyBorder="1" applyAlignment="1">
      <alignment horizontal="center"/>
    </xf>
    <xf numFmtId="0" fontId="6" fillId="6" borderId="25" xfId="0" applyFont="1" applyFill="1" applyBorder="1" applyAlignment="1">
      <alignment horizontal="center"/>
    </xf>
    <xf numFmtId="0" fontId="1" fillId="0" borderId="67" xfId="0" applyFont="1" applyBorder="1" applyAlignment="1">
      <alignment horizontal="center" vertical="center"/>
    </xf>
    <xf numFmtId="0" fontId="1" fillId="0" borderId="67" xfId="0" quotePrefix="1" applyFont="1" applyBorder="1" applyAlignment="1">
      <alignment horizontal="center" vertical="center"/>
    </xf>
    <xf numFmtId="9" fontId="1" fillId="0" borderId="67" xfId="0" applyNumberFormat="1" applyFont="1" applyBorder="1" applyAlignment="1">
      <alignment horizontal="center" vertical="center"/>
    </xf>
    <xf numFmtId="49" fontId="1" fillId="0" borderId="67" xfId="0" quotePrefix="1" applyNumberFormat="1" applyFont="1" applyBorder="1" applyAlignment="1">
      <alignment horizontal="center" vertical="center"/>
    </xf>
    <xf numFmtId="164" fontId="1" fillId="0" borderId="67" xfId="0" applyNumberFormat="1" applyFont="1" applyBorder="1" applyAlignment="1">
      <alignment horizontal="center" vertical="center"/>
    </xf>
    <xf numFmtId="164" fontId="1" fillId="0" borderId="42" xfId="0" applyNumberFormat="1" applyFont="1" applyBorder="1" applyAlignment="1">
      <alignment horizontal="center" vertical="center"/>
    </xf>
    <xf numFmtId="164" fontId="1" fillId="0" borderId="98" xfId="0" applyNumberFormat="1" applyFont="1" applyBorder="1" applyAlignment="1">
      <alignment horizontal="center" vertical="center"/>
    </xf>
    <xf numFmtId="1" fontId="1" fillId="0" borderId="49" xfId="0" applyNumberFormat="1" applyFont="1" applyBorder="1" applyAlignment="1">
      <alignment horizontal="center" vertical="center"/>
    </xf>
    <xf numFmtId="1" fontId="1" fillId="10" borderId="49" xfId="0" applyNumberFormat="1" applyFont="1" applyFill="1" applyBorder="1" applyAlignment="1">
      <alignment horizontal="center" vertical="center"/>
    </xf>
    <xf numFmtId="0" fontId="1" fillId="0" borderId="31" xfId="0" quotePrefix="1" applyFont="1" applyBorder="1" applyAlignment="1">
      <alignment horizontal="center" vertical="center"/>
    </xf>
    <xf numFmtId="0" fontId="1" fillId="0" borderId="42" xfId="0" quotePrefix="1" applyFont="1" applyBorder="1" applyAlignment="1">
      <alignment horizontal="center" vertical="center" wrapText="1"/>
    </xf>
    <xf numFmtId="0" fontId="7" fillId="6" borderId="1" xfId="0" applyFont="1" applyFill="1" applyBorder="1"/>
    <xf numFmtId="49" fontId="17" fillId="6" borderId="24" xfId="0" applyNumberFormat="1" applyFont="1" applyFill="1" applyBorder="1" applyAlignment="1">
      <alignment horizontal="center"/>
    </xf>
    <xf numFmtId="0" fontId="17" fillId="6" borderId="25" xfId="0" applyFont="1" applyFill="1" applyBorder="1" applyAlignment="1">
      <alignment horizontal="center"/>
    </xf>
    <xf numFmtId="0" fontId="7" fillId="6" borderId="25" xfId="0" applyFont="1" applyFill="1" applyBorder="1" applyAlignment="1">
      <alignment horizontal="center"/>
    </xf>
    <xf numFmtId="0" fontId="12" fillId="6" borderId="8" xfId="0" applyFont="1" applyFill="1" applyBorder="1"/>
    <xf numFmtId="0" fontId="6" fillId="6" borderId="42" xfId="0" applyFont="1" applyFill="1" applyBorder="1" applyAlignment="1">
      <alignment horizontal="center"/>
    </xf>
    <xf numFmtId="49" fontId="23" fillId="6" borderId="42" xfId="0" applyNumberFormat="1" applyFont="1" applyFill="1" applyBorder="1" applyAlignment="1">
      <alignment horizontal="center"/>
    </xf>
    <xf numFmtId="0" fontId="23" fillId="6" borderId="43" xfId="0" applyFont="1" applyFill="1" applyBorder="1" applyAlignment="1">
      <alignment horizontal="center"/>
    </xf>
    <xf numFmtId="0" fontId="12" fillId="6" borderId="43" xfId="0" applyFont="1" applyFill="1" applyBorder="1" applyAlignment="1">
      <alignment horizontal="center"/>
    </xf>
    <xf numFmtId="0" fontId="6" fillId="6" borderId="43" xfId="0" applyFont="1" applyFill="1" applyBorder="1" applyAlignment="1">
      <alignment horizontal="center" wrapText="1"/>
    </xf>
    <xf numFmtId="0" fontId="6" fillId="6" borderId="43" xfId="0" applyFont="1" applyFill="1" applyBorder="1" applyAlignment="1">
      <alignment horizontal="center"/>
    </xf>
    <xf numFmtId="49" fontId="6" fillId="6" borderId="43" xfId="0" applyNumberFormat="1" applyFont="1" applyFill="1" applyBorder="1" applyAlignment="1">
      <alignment horizontal="center"/>
    </xf>
    <xf numFmtId="0" fontId="6" fillId="6" borderId="31" xfId="0" applyFont="1" applyFill="1" applyBorder="1" applyAlignment="1">
      <alignment horizontal="center"/>
    </xf>
    <xf numFmtId="0" fontId="57" fillId="0" borderId="29" xfId="0" applyFont="1" applyBorder="1" applyAlignment="1">
      <alignment horizontal="centerContinuous"/>
    </xf>
    <xf numFmtId="0" fontId="40" fillId="0" borderId="96" xfId="0" applyFont="1" applyBorder="1" applyAlignment="1">
      <alignment horizontal="center" shrinkToFit="1"/>
    </xf>
    <xf numFmtId="0" fontId="38" fillId="0" borderId="32" xfId="0" applyFont="1" applyBorder="1" applyAlignment="1">
      <alignment horizontal="centerContinuous" vertical="center" shrinkToFit="1"/>
    </xf>
    <xf numFmtId="0" fontId="40" fillId="0" borderId="32" xfId="0" applyFont="1" applyBorder="1" applyAlignment="1">
      <alignment horizontal="centerContinuous" vertical="center" shrinkToFit="1"/>
    </xf>
    <xf numFmtId="0" fontId="38" fillId="9" borderId="32" xfId="0" applyFont="1" applyFill="1" applyBorder="1" applyAlignment="1">
      <alignment horizontal="centerContinuous" vertical="center" shrinkToFit="1"/>
    </xf>
    <xf numFmtId="0" fontId="26" fillId="9" borderId="32" xfId="0" applyFont="1" applyFill="1" applyBorder="1" applyAlignment="1">
      <alignment horizontal="centerContinuous" vertical="center" shrinkToFit="1"/>
    </xf>
    <xf numFmtId="0" fontId="40" fillId="9" borderId="32" xfId="0" applyFont="1" applyFill="1" applyBorder="1" applyAlignment="1">
      <alignment horizontal="centerContinuous" vertical="center" shrinkToFit="1"/>
    </xf>
    <xf numFmtId="0" fontId="38" fillId="9" borderId="50" xfId="0" applyFont="1" applyFill="1" applyBorder="1" applyAlignment="1">
      <alignment horizontal="center" vertical="center" shrinkToFit="1"/>
    </xf>
    <xf numFmtId="0" fontId="38" fillId="9" borderId="44" xfId="0" quotePrefix="1" applyFont="1" applyFill="1" applyBorder="1" applyAlignment="1">
      <alignment horizontal="center" vertical="center" shrinkToFit="1"/>
    </xf>
    <xf numFmtId="0" fontId="58" fillId="0" borderId="29" xfId="0" applyFont="1" applyBorder="1" applyAlignment="1">
      <alignment horizontal="centerContinuous" vertical="center"/>
    </xf>
    <xf numFmtId="0" fontId="51" fillId="0" borderId="44" xfId="0" applyFont="1" applyBorder="1" applyAlignment="1">
      <alignment horizontal="center" shrinkToFit="1"/>
    </xf>
    <xf numFmtId="0" fontId="5" fillId="0" borderId="27" xfId="0" applyFont="1" applyBorder="1" applyAlignment="1">
      <alignment horizontal="center" vertical="center"/>
    </xf>
    <xf numFmtId="0" fontId="61" fillId="0" borderId="29" xfId="0" applyFont="1" applyBorder="1" applyAlignment="1">
      <alignment horizontal="centerContinuous" vertical="center" wrapText="1"/>
    </xf>
    <xf numFmtId="0" fontId="6" fillId="0" borderId="50" xfId="0" quotePrefix="1" applyFont="1" applyBorder="1" applyAlignment="1">
      <alignment horizontal="centerContinuous"/>
    </xf>
    <xf numFmtId="0" fontId="6" fillId="0" borderId="32" xfId="0" quotePrefix="1" applyFont="1" applyBorder="1" applyAlignment="1">
      <alignment horizontal="centerContinuous"/>
    </xf>
    <xf numFmtId="0" fontId="6" fillId="0" borderId="3" xfId="0" quotePrefix="1" applyFont="1" applyBorder="1" applyAlignment="1">
      <alignment horizontal="center"/>
    </xf>
    <xf numFmtId="0" fontId="6" fillId="0" borderId="14" xfId="0" applyFont="1" applyBorder="1" applyAlignment="1">
      <alignment horizontal="center" vertical="center"/>
    </xf>
    <xf numFmtId="0" fontId="1" fillId="11" borderId="108" xfId="0" applyFont="1" applyFill="1" applyBorder="1" applyAlignment="1">
      <alignment horizontal="center" vertical="center" shrinkToFit="1"/>
    </xf>
  </cellXfs>
  <cellStyles count="9">
    <cellStyle name="Excel Built-in Normal" xfId="6" xr:uid="{00000000-0005-0000-0000-000001000000}"/>
    <cellStyle name="Hyperlink" xfId="1" builtinId="8"/>
    <cellStyle name="Normal" xfId="0" builtinId="0"/>
    <cellStyle name="Normal 2" xfId="4" xr:uid="{00000000-0005-0000-0000-000004000000}"/>
    <cellStyle name="Normal 2 2" xfId="5" xr:uid="{00000000-0005-0000-0000-000005000000}"/>
    <cellStyle name="Normal 4" xfId="8" xr:uid="{00000000-0005-0000-0000-000006000000}"/>
    <cellStyle name="Percent" xfId="2" builtinId="5"/>
    <cellStyle name="Percent 2" xfId="3" xr:uid="{00000000-0005-0000-0000-000008000000}"/>
    <cellStyle name="Percent 2 2" xfId="7" xr:uid="{00000000-0005-0000-0000-000009000000}"/>
  </cellStyles>
  <dxfs count="4">
    <dxf>
      <font>
        <color rgb="FFFF0000"/>
      </font>
    </dxf>
    <dxf>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1" defaultTableStyle="TableStyleMedium2" defaultPivotStyle="PivotStyleLight16">
    <tableStyle name="Invisible" pivot="0" table="0" count="0" xr9:uid="{D28D327E-750B-40F4-B52D-E0092B714D41}"/>
  </tableStyles>
  <colors>
    <mruColors>
      <color rgb="FFCCFFCC"/>
      <color rgb="FF00FF00"/>
      <color rgb="FF009900"/>
      <color rgb="FF66FFFF"/>
      <color rgb="FF0000FF"/>
      <color rgb="FFFF5050"/>
      <color rgb="FFCC66FF"/>
      <color rgb="FF9933FF"/>
      <color rgb="FF008000"/>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38100</xdr:colOff>
      <xdr:row>1</xdr:row>
      <xdr:rowOff>45720</xdr:rowOff>
    </xdr:from>
    <xdr:to>
      <xdr:col>6</xdr:col>
      <xdr:colOff>1135380</xdr:colOff>
      <xdr:row>17</xdr:row>
      <xdr:rowOff>3275</xdr:rowOff>
    </xdr:to>
    <xdr:pic>
      <xdr:nvPicPr>
        <xdr:cNvPr id="3" name="Picture 2">
          <a:extLst>
            <a:ext uri="{FF2B5EF4-FFF2-40B4-BE49-F238E27FC236}">
              <a16:creationId xmlns:a16="http://schemas.microsoft.com/office/drawing/2014/main" id="{7ACE0FFA-B8E6-4F95-9D50-166281FCBC19}"/>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297680" y="419100"/>
          <a:ext cx="2270760" cy="3295115"/>
        </a:xfrm>
        <a:prstGeom prst="rect">
          <a:avLst/>
        </a:prstGeom>
        <a:noFill/>
        <a:ln w="19050" cmpd="dbl">
          <a:solidFill>
            <a:srgbClr val="FF505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17</xdr:row>
      <xdr:rowOff>57150</xdr:rowOff>
    </xdr:from>
    <xdr:to>
      <xdr:col>6</xdr:col>
      <xdr:colOff>1143000</xdr:colOff>
      <xdr:row>61</xdr:row>
      <xdr:rowOff>185737</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762375"/>
          <a:ext cx="6591300" cy="9563100"/>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100" b="1">
              <a:effectLst/>
              <a:latin typeface="+mn-lt"/>
              <a:ea typeface="+mn-ea"/>
              <a:cs typeface="+mn-cs"/>
            </a:rPr>
            <a:t>Appearance:  </a:t>
          </a:r>
          <a:r>
            <a:rPr lang="en-US" sz="1100">
              <a:effectLst/>
              <a:latin typeface="+mn-lt"/>
              <a:ea typeface="+mn-ea"/>
              <a:cs typeface="+mn-cs"/>
            </a:rPr>
            <a:t>Korik is only an inch taller than the average shield dwarf, but about at light weight as a normal dwarf gets – not quite officially skinny, but close. He seems a bit frail, but is quick on his feet, the build of a runner as it were. He’s got wavy reddish-brown hair and beard, both of which he keeps braided, and a bushy mustache of the same tone. His eyes are jade green, and his skin is ruddy and weathered, due to spending lots of time outdoors. He seems somewhat detached as though pondering some question – which could be as simple as his next meal.</a:t>
          </a:r>
        </a:p>
        <a:p>
          <a:pPr algn="just"/>
          <a:r>
            <a:rPr lang="en-US" sz="1100">
              <a:effectLst/>
              <a:latin typeface="+mn-lt"/>
              <a:ea typeface="+mn-ea"/>
              <a:cs typeface="+mn-cs"/>
            </a:rPr>
            <a:t> </a:t>
          </a:r>
        </a:p>
        <a:p>
          <a:pPr algn="just"/>
          <a:r>
            <a:rPr lang="en-US" sz="1100">
              <a:effectLst/>
              <a:latin typeface="+mn-lt"/>
              <a:ea typeface="+mn-ea"/>
              <a:cs typeface="+mn-cs"/>
            </a:rPr>
            <a:t>He wears travel-stained clothing and well-made studded leather that does not interfere with his movement. His weapons belt holds a rapier and a few light weapons, and next to his backpack is a quiver which holds a strong-looking composite short bow and some arrows. Hanging off the left side of his backpack is a coil of silk rope with a grappling hook attached to it. He doesn’t seem all that approachable, occasionally sneering at folks and grumbling under his breath, sometimes cursing in the tongues of giants or goblins. His holy symbol of Waukeen is typically tucked away under his tunic on a leather thong.</a:t>
          </a:r>
        </a:p>
        <a:p>
          <a:pPr algn="just"/>
          <a:r>
            <a:rPr lang="en-US" sz="1100">
              <a:effectLst/>
              <a:latin typeface="+mn-lt"/>
              <a:ea typeface="+mn-ea"/>
              <a:cs typeface="+mn-cs"/>
            </a:rPr>
            <a:t> </a:t>
          </a:r>
        </a:p>
        <a:p>
          <a:pPr algn="just"/>
          <a:r>
            <a:rPr lang="en-US" sz="1100" b="1">
              <a:effectLst/>
              <a:latin typeface="+mn-lt"/>
              <a:ea typeface="+mn-ea"/>
              <a:cs typeface="+mn-cs"/>
            </a:rPr>
            <a:t>History:  </a:t>
          </a:r>
          <a:r>
            <a:rPr lang="en-US" sz="1100">
              <a:effectLst/>
              <a:latin typeface="+mn-lt"/>
              <a:ea typeface="+mn-ea"/>
              <a:cs typeface="+mn-cs"/>
            </a:rPr>
            <a:t>Korik was born in a small community in the Earthspur Mountain west of the mining town of Laviguer, the son of a stonemason father and a mother who patrolled the area as a hunter (wilderness rogue). He had two older brothers and an older sister. His mother died when Korik was only 45, in a fight with an unnatural beast, a wolf which shrugged off her weapons as though its skin was armor. It ran off when one of her hunting party hit it with a couple of silver-tipped arrows, so it is believed it was a werewolf, but the beast moved out of the area and hadn’t been seen again.</a:t>
          </a:r>
        </a:p>
        <a:p>
          <a:pPr algn="just"/>
          <a:r>
            <a:rPr lang="en-US" sz="1100">
              <a:effectLst/>
              <a:latin typeface="+mn-lt"/>
              <a:ea typeface="+mn-ea"/>
              <a:cs typeface="+mn-cs"/>
            </a:rPr>
            <a:t> </a:t>
          </a:r>
        </a:p>
        <a:p>
          <a:pPr algn="just"/>
          <a:r>
            <a:rPr lang="en-US" sz="1100">
              <a:effectLst/>
              <a:latin typeface="+mn-lt"/>
              <a:ea typeface="+mn-ea"/>
              <a:cs typeface="+mn-cs"/>
            </a:rPr>
            <a:t>Korik had already learned a few things from her, such as how to hide and move quietly, and how to pick a vulnerable area on an animal’s body to shoot at from a hiding place, as well as a fair amount about creatures found in nature. As a young dwarf he picked up a little skill in stonemasonry from his father, and he was generally willing and able to help others who needed it, especially his older siblings, learning a little about all sorts of things.</a:t>
          </a:r>
        </a:p>
        <a:p>
          <a:pPr algn="just"/>
          <a:r>
            <a:rPr lang="en-US" sz="1100">
              <a:effectLst/>
              <a:latin typeface="+mn-lt"/>
              <a:ea typeface="+mn-ea"/>
              <a:cs typeface="+mn-cs"/>
            </a:rPr>
            <a:t> </a:t>
          </a:r>
        </a:p>
        <a:p>
          <a:pPr algn="just"/>
          <a:r>
            <a:rPr lang="en-US" sz="1100">
              <a:effectLst/>
              <a:latin typeface="+mn-lt"/>
              <a:ea typeface="+mn-ea"/>
              <a:cs typeface="+mn-cs"/>
            </a:rPr>
            <a:t>But he knew there had to be more to life. When his father died, only 5 years after, Korik took his share of the inheritance, a few hundred gold, a set of fine mason’s tools, and a few minor items, said goodbye to his brothers and sister, and headed out of the mountains to Laviguer with the next shipment of ore from the nearby mine.</a:t>
          </a:r>
        </a:p>
        <a:p>
          <a:pPr algn="just"/>
          <a:r>
            <a:rPr lang="en-US" sz="1100">
              <a:effectLst/>
              <a:latin typeface="+mn-lt"/>
              <a:ea typeface="+mn-ea"/>
              <a:cs typeface="+mn-cs"/>
            </a:rPr>
            <a:t> </a:t>
          </a:r>
        </a:p>
        <a:p>
          <a:pPr algn="just"/>
          <a:r>
            <a:rPr lang="en-US" sz="1100">
              <a:effectLst/>
              <a:latin typeface="+mn-lt"/>
              <a:ea typeface="+mn-ea"/>
              <a:cs typeface="+mn-cs"/>
            </a:rPr>
            <a:t>He found the town a bit stifling, but he continued working and learning, as well as doing some hunting in the nearby hills, as part of groups of hunters. While there, he learned more about surviving the outdoors from both a ranger and a scout, and though someday he’d figure out those ways as well. While there, he met one of the Warswords patrolling the town for lawbreakers, and the gal taught him about the performance art of weapon drills, how with experience and some combat tricks (feats) one could wow a crowd and even make some cash. He tried it, liked it, learned it well!</a:t>
          </a:r>
        </a:p>
        <a:p>
          <a:pPr algn="just"/>
          <a:endParaRPr lang="en-US" sz="1100">
            <a:effectLst/>
            <a:latin typeface="+mn-lt"/>
            <a:ea typeface="+mn-ea"/>
            <a:cs typeface="+mn-cs"/>
          </a:endParaRPr>
        </a:p>
        <a:p>
          <a:pPr algn="just"/>
          <a:r>
            <a:rPr lang="en-US" sz="1100">
              <a:effectLst/>
              <a:latin typeface="+mn-lt"/>
              <a:ea typeface="+mn-ea"/>
              <a:cs typeface="+mn-cs"/>
            </a:rPr>
            <a:t>After nearly a year and a half there, and after several close calls while hunting teaching him a little more about survival, he was ready to check out a big city. So he hired on with a merchant caravan traveling to the big port of Hlammach, and for the last half of a year, he’s been taking odd jobs here and there, including some grunt labor helping move props and equipment for an elf who managed a small group of entertainers.</a:t>
          </a:r>
        </a:p>
        <a:p>
          <a:pPr algn="just"/>
          <a:r>
            <a:rPr lang="en-US" sz="1100">
              <a:effectLst/>
              <a:latin typeface="+mn-lt"/>
              <a:ea typeface="+mn-ea"/>
              <a:cs typeface="+mn-cs"/>
            </a:rPr>
            <a:t> </a:t>
          </a:r>
        </a:p>
        <a:p>
          <a:pPr algn="just"/>
          <a:r>
            <a:rPr lang="en-US" sz="1100">
              <a:effectLst/>
              <a:latin typeface="+mn-lt"/>
              <a:ea typeface="+mn-ea"/>
              <a:cs typeface="+mn-cs"/>
            </a:rPr>
            <a:t>He thought maybe he could do that; the elf wasn’t the most charming of people either but he was smart and got decent results bargaining with various folks. Korik took note of his tactics and procedures, and began wondering, could he do something like that? He also showed the elf what he could do with weapons to entertain an audience, but the elf said while it could work, the dwarf would need to work harder to counter his sullen sneering and muttering… Anyways, he thought about that some more, and started attending more shows and trying to get an idea of what people liked and didn’t like in their performers…</a:t>
          </a:r>
        </a:p>
        <a:p>
          <a:pPr algn="just"/>
          <a:r>
            <a:rPr lang="en-US" sz="1100">
              <a:effectLst/>
              <a:latin typeface="+mn-lt"/>
              <a:ea typeface="+mn-ea"/>
              <a:cs typeface="+mn-cs"/>
            </a:rPr>
            <a:t> </a:t>
          </a:r>
        </a:p>
        <a:p>
          <a:pPr algn="just"/>
          <a:r>
            <a:rPr lang="en-US" sz="1100" b="1">
              <a:effectLst/>
              <a:latin typeface="+mn-lt"/>
              <a:ea typeface="+mn-ea"/>
              <a:cs typeface="+mn-cs"/>
            </a:rPr>
            <a:t>Personality: </a:t>
          </a:r>
          <a:r>
            <a:rPr lang="en-US" sz="1100">
              <a:effectLst/>
              <a:latin typeface="+mn-lt"/>
              <a:ea typeface="+mn-ea"/>
              <a:cs typeface="+mn-cs"/>
            </a:rPr>
            <a:t> Korik has a problem with just being generally grumpy, and his habit of muttering curse words in both Giant and Goblin. He’s usually muttering them to himself, but sometimes it is loud enough to annoy others, even make them think it was addressed to them, which is even more problematic if they happen to speak the language. And sometimes he seems detached and acts like he isn’t listening to someone, though he usually is. It might not help that upon first meeting people he automatically assessed them for weak points, using his devotion to Waukeen and his small bits of knowledge of many creature types to gain at least a slight edge of he must fight them. </a:t>
          </a:r>
        </a:p>
        <a:p>
          <a:pPr algn="just"/>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5</xdr:col>
      <xdr:colOff>83820</xdr:colOff>
      <xdr:row>15</xdr:row>
      <xdr:rowOff>53340</xdr:rowOff>
    </xdr:from>
    <xdr:to>
      <xdr:col>6</xdr:col>
      <xdr:colOff>1112519</xdr:colOff>
      <xdr:row>16</xdr:row>
      <xdr:rowOff>272414</xdr:rowOff>
    </xdr:to>
    <xdr:sp macro="" textlink="">
      <xdr:nvSpPr>
        <xdr:cNvPr id="5" name="Text Box 60">
          <a:extLst>
            <a:ext uri="{FF2B5EF4-FFF2-40B4-BE49-F238E27FC236}">
              <a16:creationId xmlns:a16="http://schemas.microsoft.com/office/drawing/2014/main" id="{00000000-0008-0000-0000-000005000000}"/>
            </a:ext>
          </a:extLst>
        </xdr:cNvPr>
        <xdr:cNvSpPr txBox="1">
          <a:spLocks noChangeArrowheads="1"/>
        </xdr:cNvSpPr>
      </xdr:nvSpPr>
      <xdr:spPr bwMode="auto">
        <a:xfrm>
          <a:off x="4343400" y="3238500"/>
          <a:ext cx="2202179" cy="44005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200">
            <a:effectLst/>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3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352425</xdr:colOff>
      <xdr:row>1</xdr:row>
      <xdr:rowOff>123825</xdr:rowOff>
    </xdr:from>
    <xdr:to>
      <xdr:col>3</xdr:col>
      <xdr:colOff>64770</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rnesthakey@gmail.com?subject=Full%20Moon%20Night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3"/>
  <sheetViews>
    <sheetView showGridLines="0" tabSelected="1" zoomScaleNormal="100" workbookViewId="0"/>
  </sheetViews>
  <sheetFormatPr defaultColWidth="13" defaultRowHeight="15.6" x14ac:dyDescent="0.3"/>
  <cols>
    <col min="1" max="1" width="15" style="19" customWidth="1"/>
    <col min="2" max="2" width="11" style="20" customWidth="1"/>
    <col min="3" max="3" width="6.296875" style="20" customWidth="1"/>
    <col min="4" max="4" width="13.69921875" style="19" bestFit="1" customWidth="1"/>
    <col min="5" max="5" width="10.8984375" style="20" bestFit="1" customWidth="1"/>
    <col min="6" max="6" width="15.3984375" style="19" customWidth="1"/>
    <col min="7" max="7" width="15.3984375" style="20" customWidth="1"/>
    <col min="8" max="16384" width="13" style="1"/>
  </cols>
  <sheetData>
    <row r="1" spans="1:7" ht="29.4" thickTop="1" thickBot="1" x14ac:dyDescent="0.55000000000000004">
      <c r="A1" s="265" t="s">
        <v>120</v>
      </c>
      <c r="B1" s="266" t="s">
        <v>121</v>
      </c>
      <c r="C1" s="119"/>
      <c r="D1" s="102"/>
      <c r="E1" s="297"/>
      <c r="F1" s="102"/>
      <c r="G1" s="191" t="s">
        <v>139</v>
      </c>
    </row>
    <row r="2" spans="1:7" ht="17.399999999999999" thickTop="1" x14ac:dyDescent="0.3">
      <c r="A2" s="2" t="s">
        <v>100</v>
      </c>
      <c r="B2" s="28" t="s">
        <v>124</v>
      </c>
      <c r="C2" s="28"/>
      <c r="D2" s="4" t="s">
        <v>108</v>
      </c>
      <c r="E2" s="37" t="s">
        <v>123</v>
      </c>
      <c r="F2"/>
      <c r="G2" s="5"/>
    </row>
    <row r="3" spans="1:7" ht="16.8" x14ac:dyDescent="0.3">
      <c r="A3" s="2" t="s">
        <v>101</v>
      </c>
      <c r="B3" s="28" t="s">
        <v>122</v>
      </c>
      <c r="C3" s="28"/>
      <c r="D3" s="4" t="s">
        <v>89</v>
      </c>
      <c r="E3" s="37">
        <v>1</v>
      </c>
      <c r="F3" s="4"/>
      <c r="G3" s="5"/>
    </row>
    <row r="4" spans="1:7" ht="16.8" x14ac:dyDescent="0.3">
      <c r="A4" s="2" t="s">
        <v>101</v>
      </c>
      <c r="B4" s="28" t="s">
        <v>182</v>
      </c>
      <c r="C4" s="28"/>
      <c r="D4" s="4" t="s">
        <v>89</v>
      </c>
      <c r="E4" s="37">
        <v>1</v>
      </c>
      <c r="F4" s="4"/>
      <c r="G4" s="5"/>
    </row>
    <row r="5" spans="1:7" ht="16.8" x14ac:dyDescent="0.3">
      <c r="A5" s="2" t="s">
        <v>101</v>
      </c>
      <c r="B5" s="28" t="s">
        <v>194</v>
      </c>
      <c r="C5" s="28"/>
      <c r="D5" s="4" t="s">
        <v>89</v>
      </c>
      <c r="E5" s="37">
        <v>1</v>
      </c>
      <c r="F5" s="4"/>
      <c r="G5" s="5"/>
    </row>
    <row r="6" spans="1:7" ht="16.8" x14ac:dyDescent="0.3">
      <c r="A6" s="2" t="s">
        <v>102</v>
      </c>
      <c r="B6" s="28" t="s">
        <v>131</v>
      </c>
      <c r="C6" s="28"/>
      <c r="D6" s="4" t="s">
        <v>109</v>
      </c>
      <c r="E6" s="37">
        <v>57</v>
      </c>
      <c r="F6" s="4"/>
      <c r="G6" s="5"/>
    </row>
    <row r="7" spans="1:7" ht="16.8" x14ac:dyDescent="0.3">
      <c r="A7" s="2" t="s">
        <v>103</v>
      </c>
      <c r="B7" s="28" t="s">
        <v>132</v>
      </c>
      <c r="C7" s="28"/>
      <c r="D7" s="4" t="s">
        <v>110</v>
      </c>
      <c r="E7" s="37" t="s">
        <v>128</v>
      </c>
      <c r="F7" s="4"/>
      <c r="G7" s="5"/>
    </row>
    <row r="8" spans="1:7" ht="17.399999999999999" thickBot="1" x14ac:dyDescent="0.35">
      <c r="A8" s="2" t="s">
        <v>104</v>
      </c>
      <c r="B8" s="28" t="s">
        <v>130</v>
      </c>
      <c r="C8" s="28"/>
      <c r="D8" s="4" t="s">
        <v>111</v>
      </c>
      <c r="E8" s="37" t="s">
        <v>129</v>
      </c>
      <c r="F8" s="4"/>
      <c r="G8" s="5"/>
    </row>
    <row r="9" spans="1:7" ht="17.399999999999999" thickTop="1" x14ac:dyDescent="0.3">
      <c r="A9" s="117" t="s">
        <v>105</v>
      </c>
      <c r="B9" s="290">
        <f>0+E4+0</f>
        <v>1</v>
      </c>
      <c r="C9" s="291"/>
      <c r="D9" s="118" t="s">
        <v>112</v>
      </c>
      <c r="E9" s="269" t="s">
        <v>180</v>
      </c>
      <c r="F9" s="3"/>
      <c r="G9" s="5"/>
    </row>
    <row r="10" spans="1:7" ht="17.399999999999999" thickBot="1" x14ac:dyDescent="0.35">
      <c r="A10" s="301" t="s">
        <v>106</v>
      </c>
      <c r="B10" s="302" t="str">
        <f>C12</f>
        <v>+2</v>
      </c>
      <c r="C10" s="303"/>
      <c r="D10" s="304" t="s">
        <v>107</v>
      </c>
      <c r="E10" s="305">
        <v>0</v>
      </c>
      <c r="F10" s="3"/>
      <c r="G10" s="5"/>
    </row>
    <row r="11" spans="1:7" ht="17.399999999999999" thickTop="1" x14ac:dyDescent="0.3">
      <c r="A11" s="306" t="s">
        <v>99</v>
      </c>
      <c r="B11" s="370">
        <f>14</f>
        <v>14</v>
      </c>
      <c r="C11" s="307" t="str">
        <f t="shared" ref="C11:C16" si="0">IF(B11&gt;9.9,CONCATENATE("+",ROUNDDOWN((B11-10)/2,0)),ROUNDUP((B11-10)/2,0))</f>
        <v>+2</v>
      </c>
      <c r="D11" s="308" t="s">
        <v>113</v>
      </c>
      <c r="E11" s="268" t="s">
        <v>140</v>
      </c>
      <c r="F11" s="3"/>
      <c r="G11" s="5"/>
    </row>
    <row r="12" spans="1:7" ht="16.8" x14ac:dyDescent="0.3">
      <c r="A12" s="6" t="s">
        <v>95</v>
      </c>
      <c r="B12" s="369">
        <f>14</f>
        <v>14</v>
      </c>
      <c r="C12" s="36" t="str">
        <f t="shared" si="0"/>
        <v>+2</v>
      </c>
      <c r="D12" s="59" t="s">
        <v>114</v>
      </c>
      <c r="E12" s="39">
        <f>SUM(Martial!G3:G18)+SUM(Equipment!C3:C26)-SUM(Equipment!C10:C26)</f>
        <v>32.5</v>
      </c>
      <c r="F12" s="3"/>
      <c r="G12" s="5"/>
    </row>
    <row r="13" spans="1:7" ht="16.8" x14ac:dyDescent="0.3">
      <c r="A13" s="323" t="s">
        <v>94</v>
      </c>
      <c r="B13" s="282">
        <f>15</f>
        <v>15</v>
      </c>
      <c r="C13" s="29" t="str">
        <f t="shared" si="0"/>
        <v>+2</v>
      </c>
      <c r="D13" s="59" t="s">
        <v>115</v>
      </c>
      <c r="E13" s="365">
        <f>ROUNDUP(((E3*6)*0.75)+((E4*8)*0.75)+((E5*8)*0.75)+((E3+E4+E5)*(C13-1-1)),0)</f>
        <v>17</v>
      </c>
      <c r="F13" s="3"/>
      <c r="G13" s="5"/>
    </row>
    <row r="14" spans="1:7" ht="16.8" x14ac:dyDescent="0.3">
      <c r="A14" s="65" t="s">
        <v>97</v>
      </c>
      <c r="B14" s="282">
        <f>14</f>
        <v>14</v>
      </c>
      <c r="C14" s="36" t="str">
        <f t="shared" si="0"/>
        <v>+2</v>
      </c>
      <c r="D14" s="143" t="s">
        <v>116</v>
      </c>
      <c r="E14" s="292">
        <f>10+C12</f>
        <v>12</v>
      </c>
      <c r="F14" s="2"/>
      <c r="G14" s="5"/>
    </row>
    <row r="15" spans="1:7" ht="16.8" x14ac:dyDescent="0.3">
      <c r="A15" s="25" t="s">
        <v>96</v>
      </c>
      <c r="B15" s="283">
        <f>12</f>
        <v>12</v>
      </c>
      <c r="C15" s="36" t="str">
        <f t="shared" si="0"/>
        <v>+1</v>
      </c>
      <c r="D15" s="143" t="s">
        <v>117</v>
      </c>
      <c r="E15" s="292">
        <f>E16-C12</f>
        <v>15</v>
      </c>
      <c r="F15" s="3"/>
      <c r="G15" s="5"/>
    </row>
    <row r="16" spans="1:7" ht="17.399999999999999" thickBot="1" x14ac:dyDescent="0.35">
      <c r="A16" s="26" t="s">
        <v>98</v>
      </c>
      <c r="B16" s="284">
        <f>6</f>
        <v>6</v>
      </c>
      <c r="C16" s="30">
        <f t="shared" si="0"/>
        <v>-2</v>
      </c>
      <c r="D16" s="144" t="s">
        <v>118</v>
      </c>
      <c r="E16" s="38">
        <f>E14+SUM(Martial!B13:B14)</f>
        <v>17</v>
      </c>
      <c r="F16" s="3"/>
      <c r="G16" s="5"/>
    </row>
    <row r="17" spans="1:7" ht="24" thickTop="1" thickBot="1" x14ac:dyDescent="0.45">
      <c r="A17" s="7" t="s">
        <v>16</v>
      </c>
      <c r="B17" s="8"/>
      <c r="C17" s="8"/>
      <c r="D17" s="9"/>
      <c r="E17" s="267"/>
      <c r="F17" s="9"/>
      <c r="G17" s="10"/>
    </row>
    <row r="18" spans="1:7" s="14" customFormat="1" ht="17.399999999999999" thickTop="1" x14ac:dyDescent="0.3">
      <c r="A18" s="11"/>
      <c r="B18" s="12"/>
      <c r="C18" s="12"/>
      <c r="D18" s="12"/>
      <c r="E18" s="12"/>
      <c r="F18" s="12"/>
      <c r="G18" s="13"/>
    </row>
    <row r="19" spans="1:7" s="14" customFormat="1" ht="16.8" x14ac:dyDescent="0.3">
      <c r="A19" s="44"/>
      <c r="B19" s="15"/>
      <c r="C19" s="15"/>
      <c r="D19" s="15"/>
      <c r="E19" s="15"/>
      <c r="F19" s="15"/>
      <c r="G19" s="45"/>
    </row>
    <row r="20" spans="1:7" s="14" customFormat="1" ht="16.8" x14ac:dyDescent="0.3">
      <c r="A20" s="44"/>
      <c r="B20" s="15"/>
      <c r="C20" s="15"/>
      <c r="D20" s="15"/>
      <c r="E20" s="15"/>
      <c r="F20" s="15"/>
      <c r="G20" s="45"/>
    </row>
    <row r="21" spans="1:7" s="14" customFormat="1" ht="16.8" x14ac:dyDescent="0.3">
      <c r="A21" s="44"/>
      <c r="B21" s="15"/>
      <c r="C21" s="15"/>
      <c r="D21" s="15"/>
      <c r="E21" s="15"/>
      <c r="F21" s="15"/>
      <c r="G21" s="45"/>
    </row>
    <row r="22" spans="1:7" s="14" customFormat="1" ht="16.8" x14ac:dyDescent="0.3">
      <c r="A22" s="44"/>
      <c r="B22" s="15"/>
      <c r="C22" s="15"/>
      <c r="D22" s="15"/>
      <c r="E22" s="15"/>
      <c r="F22" s="15"/>
      <c r="G22" s="45"/>
    </row>
    <row r="23" spans="1:7" s="14" customFormat="1" ht="16.8" x14ac:dyDescent="0.3">
      <c r="A23" s="44"/>
      <c r="B23" s="15"/>
      <c r="C23" s="15"/>
      <c r="D23" s="15"/>
      <c r="E23" s="15"/>
      <c r="F23" s="15"/>
      <c r="G23" s="45"/>
    </row>
    <row r="24" spans="1:7" s="14" customFormat="1" ht="16.8" x14ac:dyDescent="0.3">
      <c r="A24" s="44"/>
      <c r="B24" s="15"/>
      <c r="C24" s="15"/>
      <c r="D24" s="15"/>
      <c r="E24" s="15"/>
      <c r="F24" s="15"/>
      <c r="G24" s="45"/>
    </row>
    <row r="25" spans="1:7" s="14" customFormat="1" ht="16.8" x14ac:dyDescent="0.3">
      <c r="A25" s="44"/>
      <c r="B25" s="15"/>
      <c r="C25" s="15"/>
      <c r="D25" s="15"/>
      <c r="E25" s="15"/>
      <c r="F25" s="15"/>
      <c r="G25" s="45"/>
    </row>
    <row r="26" spans="1:7" s="14" customFormat="1" ht="16.8" x14ac:dyDescent="0.3">
      <c r="A26" s="44"/>
      <c r="B26" s="15"/>
      <c r="C26" s="15"/>
      <c r="D26" s="15"/>
      <c r="E26" s="15"/>
      <c r="F26" s="15"/>
      <c r="G26" s="45"/>
    </row>
    <row r="27" spans="1:7" s="14" customFormat="1" ht="16.8" x14ac:dyDescent="0.3">
      <c r="A27" s="44"/>
      <c r="B27" s="15"/>
      <c r="C27" s="15"/>
      <c r="D27" s="15"/>
      <c r="E27" s="15"/>
      <c r="F27" s="15"/>
      <c r="G27" s="45"/>
    </row>
    <row r="28" spans="1:7" s="14" customFormat="1" ht="16.8" x14ac:dyDescent="0.3">
      <c r="A28" s="44"/>
      <c r="B28" s="15"/>
      <c r="C28" s="15"/>
      <c r="D28" s="15"/>
      <c r="E28" s="15"/>
      <c r="F28" s="15"/>
      <c r="G28" s="45"/>
    </row>
    <row r="29" spans="1:7" s="14" customFormat="1" ht="16.8" x14ac:dyDescent="0.3">
      <c r="A29" s="44"/>
      <c r="B29" s="15"/>
      <c r="C29" s="15"/>
      <c r="D29" s="15"/>
      <c r="E29" s="15"/>
      <c r="F29" s="15"/>
      <c r="G29" s="45"/>
    </row>
    <row r="30" spans="1:7" s="14" customFormat="1" ht="16.8" x14ac:dyDescent="0.3">
      <c r="A30" s="44"/>
      <c r="B30" s="15"/>
      <c r="C30" s="15"/>
      <c r="D30" s="15"/>
      <c r="E30" s="15"/>
      <c r="F30" s="15"/>
      <c r="G30" s="45"/>
    </row>
    <row r="31" spans="1:7" s="14" customFormat="1" ht="16.8" x14ac:dyDescent="0.3">
      <c r="A31" s="44"/>
      <c r="B31" s="15"/>
      <c r="C31" s="15"/>
      <c r="D31" s="15"/>
      <c r="E31" s="15"/>
      <c r="F31" s="15"/>
      <c r="G31" s="45"/>
    </row>
    <row r="32" spans="1:7" s="14" customFormat="1" ht="16.8" x14ac:dyDescent="0.3">
      <c r="A32" s="44"/>
      <c r="B32" s="15"/>
      <c r="C32" s="15"/>
      <c r="D32" s="15"/>
      <c r="E32" s="15"/>
      <c r="F32" s="15"/>
      <c r="G32" s="45"/>
    </row>
    <row r="33" spans="1:7" ht="16.8" x14ac:dyDescent="0.3">
      <c r="A33" s="44"/>
      <c r="B33" s="15"/>
      <c r="C33" s="15"/>
      <c r="D33" s="15"/>
      <c r="E33" s="15"/>
      <c r="F33" s="15"/>
      <c r="G33" s="45"/>
    </row>
    <row r="34" spans="1:7" ht="16.8" x14ac:dyDescent="0.3">
      <c r="A34" s="44"/>
      <c r="B34" s="15"/>
      <c r="C34" s="15"/>
      <c r="D34" s="15"/>
      <c r="E34" s="15"/>
      <c r="F34" s="15"/>
      <c r="G34" s="45"/>
    </row>
    <row r="35" spans="1:7" ht="16.8" x14ac:dyDescent="0.3">
      <c r="A35" s="44"/>
      <c r="B35" s="15"/>
      <c r="C35" s="15"/>
      <c r="D35" s="15"/>
      <c r="E35" s="15"/>
      <c r="F35" s="15"/>
      <c r="G35" s="45"/>
    </row>
    <row r="36" spans="1:7" ht="16.8" x14ac:dyDescent="0.3">
      <c r="A36" s="44"/>
      <c r="B36" s="15"/>
      <c r="C36" s="15"/>
      <c r="D36" s="15"/>
      <c r="E36" s="15"/>
      <c r="F36" s="15"/>
      <c r="G36" s="45"/>
    </row>
    <row r="37" spans="1:7" ht="16.8" x14ac:dyDescent="0.3">
      <c r="A37" s="44"/>
      <c r="B37" s="15"/>
      <c r="C37" s="15"/>
      <c r="D37" s="15"/>
      <c r="E37" s="15"/>
      <c r="F37" s="15"/>
      <c r="G37" s="45"/>
    </row>
    <row r="38" spans="1:7" ht="16.8" x14ac:dyDescent="0.3">
      <c r="A38" s="44"/>
      <c r="B38" s="15"/>
      <c r="C38" s="15"/>
      <c r="D38" s="15"/>
      <c r="E38" s="15"/>
      <c r="F38" s="15"/>
      <c r="G38" s="45"/>
    </row>
    <row r="39" spans="1:7" ht="16.8" x14ac:dyDescent="0.3">
      <c r="A39" s="44"/>
      <c r="B39" s="15"/>
      <c r="C39" s="15"/>
      <c r="D39" s="15"/>
      <c r="E39" s="15"/>
      <c r="F39" s="15"/>
      <c r="G39" s="45"/>
    </row>
    <row r="40" spans="1:7" ht="16.8" x14ac:dyDescent="0.3">
      <c r="A40" s="44"/>
      <c r="B40" s="15"/>
      <c r="C40" s="15"/>
      <c r="D40" s="15"/>
      <c r="E40" s="15"/>
      <c r="F40" s="15"/>
      <c r="G40" s="45"/>
    </row>
    <row r="41" spans="1:7" ht="16.8" x14ac:dyDescent="0.3">
      <c r="A41" s="44"/>
      <c r="B41" s="15"/>
      <c r="C41" s="15"/>
      <c r="D41" s="15"/>
      <c r="E41" s="15"/>
      <c r="F41" s="15"/>
      <c r="G41" s="45"/>
    </row>
    <row r="42" spans="1:7" ht="16.8" x14ac:dyDescent="0.3">
      <c r="A42" s="44"/>
      <c r="B42" s="15"/>
      <c r="C42" s="15"/>
      <c r="D42" s="15"/>
      <c r="E42" s="15"/>
      <c r="F42" s="15"/>
      <c r="G42" s="45"/>
    </row>
    <row r="43" spans="1:7" ht="16.8" x14ac:dyDescent="0.3">
      <c r="A43" s="44"/>
      <c r="B43" s="15"/>
      <c r="C43" s="15"/>
      <c r="D43" s="15"/>
      <c r="E43" s="15"/>
      <c r="F43" s="15"/>
      <c r="G43" s="45"/>
    </row>
    <row r="44" spans="1:7" ht="16.8" x14ac:dyDescent="0.3">
      <c r="A44" s="44"/>
      <c r="B44" s="15"/>
      <c r="C44" s="15"/>
      <c r="D44" s="15"/>
      <c r="E44" s="15"/>
      <c r="F44" s="15"/>
      <c r="G44" s="45"/>
    </row>
    <row r="45" spans="1:7" ht="16.8" x14ac:dyDescent="0.3">
      <c r="A45" s="44"/>
      <c r="B45" s="15"/>
      <c r="C45" s="15"/>
      <c r="D45" s="15"/>
      <c r="E45" s="15"/>
      <c r="F45" s="15"/>
      <c r="G45" s="45"/>
    </row>
    <row r="46" spans="1:7" ht="16.8" x14ac:dyDescent="0.3">
      <c r="A46" s="44"/>
      <c r="B46" s="15"/>
      <c r="C46" s="15"/>
      <c r="D46" s="15"/>
      <c r="E46" s="15"/>
      <c r="F46" s="15"/>
      <c r="G46" s="45"/>
    </row>
    <row r="47" spans="1:7" ht="16.8" x14ac:dyDescent="0.3">
      <c r="A47" s="44"/>
      <c r="B47" s="15"/>
      <c r="C47" s="15"/>
      <c r="D47" s="15"/>
      <c r="E47" s="15"/>
      <c r="F47" s="15"/>
      <c r="G47" s="45"/>
    </row>
    <row r="48" spans="1:7" ht="16.8" x14ac:dyDescent="0.3">
      <c r="A48" s="44"/>
      <c r="B48" s="15"/>
      <c r="C48" s="15"/>
      <c r="D48" s="15"/>
      <c r="E48" s="15"/>
      <c r="F48" s="15"/>
      <c r="G48" s="45"/>
    </row>
    <row r="49" spans="1:7" ht="16.8" x14ac:dyDescent="0.3">
      <c r="A49" s="44"/>
      <c r="B49" s="15"/>
      <c r="C49" s="15"/>
      <c r="D49" s="15"/>
      <c r="E49" s="15"/>
      <c r="F49" s="15"/>
      <c r="G49" s="45"/>
    </row>
    <row r="50" spans="1:7" ht="16.8" x14ac:dyDescent="0.3">
      <c r="A50" s="44"/>
      <c r="B50" s="15"/>
      <c r="C50" s="15"/>
      <c r="D50" s="15"/>
      <c r="E50" s="15"/>
      <c r="F50" s="15"/>
      <c r="G50" s="45"/>
    </row>
    <row r="51" spans="1:7" ht="16.8" x14ac:dyDescent="0.3">
      <c r="A51" s="44"/>
      <c r="B51" s="15"/>
      <c r="C51" s="15"/>
      <c r="D51" s="15"/>
      <c r="E51" s="15"/>
      <c r="F51" s="15"/>
      <c r="G51" s="45"/>
    </row>
    <row r="52" spans="1:7" ht="16.8" x14ac:dyDescent="0.3">
      <c r="A52" s="44"/>
      <c r="B52" s="15"/>
      <c r="C52" s="15"/>
      <c r="D52" s="15"/>
      <c r="E52" s="15"/>
      <c r="F52" s="15"/>
      <c r="G52" s="45"/>
    </row>
    <row r="53" spans="1:7" ht="16.8" x14ac:dyDescent="0.3">
      <c r="A53" s="44"/>
      <c r="B53" s="15"/>
      <c r="C53" s="15"/>
      <c r="D53" s="15"/>
      <c r="E53" s="15"/>
      <c r="F53" s="15"/>
      <c r="G53" s="45"/>
    </row>
    <row r="54" spans="1:7" ht="16.8" x14ac:dyDescent="0.3">
      <c r="A54" s="44"/>
      <c r="B54" s="15"/>
      <c r="C54" s="15"/>
      <c r="D54" s="15"/>
      <c r="E54" s="15"/>
      <c r="F54" s="15"/>
      <c r="G54" s="45"/>
    </row>
    <row r="55" spans="1:7" ht="16.8" x14ac:dyDescent="0.3">
      <c r="A55" s="44"/>
      <c r="B55" s="15"/>
      <c r="C55" s="15"/>
      <c r="D55" s="15"/>
      <c r="E55" s="15"/>
      <c r="F55" s="15"/>
      <c r="G55" s="45"/>
    </row>
    <row r="56" spans="1:7" ht="16.8" x14ac:dyDescent="0.3">
      <c r="A56" s="44"/>
      <c r="B56" s="15"/>
      <c r="C56" s="15"/>
      <c r="D56" s="15"/>
      <c r="E56" s="15"/>
      <c r="F56" s="15"/>
      <c r="G56" s="45"/>
    </row>
    <row r="57" spans="1:7" ht="16.8" x14ac:dyDescent="0.3">
      <c r="A57" s="44"/>
      <c r="B57" s="15"/>
      <c r="C57" s="15"/>
      <c r="D57" s="15"/>
      <c r="E57" s="15"/>
      <c r="F57" s="15"/>
      <c r="G57" s="45"/>
    </row>
    <row r="58" spans="1:7" ht="16.8" x14ac:dyDescent="0.3">
      <c r="A58" s="44"/>
      <c r="B58" s="15"/>
      <c r="C58" s="15"/>
      <c r="D58" s="15"/>
      <c r="E58" s="15"/>
      <c r="F58" s="15"/>
      <c r="G58" s="45"/>
    </row>
    <row r="59" spans="1:7" ht="16.8" x14ac:dyDescent="0.3">
      <c r="A59" s="44"/>
      <c r="B59" s="15"/>
      <c r="C59" s="15"/>
      <c r="D59" s="15"/>
      <c r="E59" s="15"/>
      <c r="F59" s="15"/>
      <c r="G59" s="45"/>
    </row>
    <row r="60" spans="1:7" ht="16.8" x14ac:dyDescent="0.3">
      <c r="A60" s="44"/>
      <c r="B60" s="15"/>
      <c r="C60" s="15"/>
      <c r="D60" s="15"/>
      <c r="E60" s="15"/>
      <c r="F60" s="15"/>
      <c r="G60" s="45"/>
    </row>
    <row r="61" spans="1:7" ht="16.8" x14ac:dyDescent="0.3">
      <c r="A61" s="44"/>
      <c r="B61" s="15"/>
      <c r="C61" s="15"/>
      <c r="D61" s="15"/>
      <c r="E61" s="15"/>
      <c r="F61" s="15"/>
      <c r="G61" s="45"/>
    </row>
    <row r="62" spans="1:7" ht="17.399999999999999" thickBot="1" x14ac:dyDescent="0.35">
      <c r="A62" s="16"/>
      <c r="B62" s="17"/>
      <c r="C62" s="17"/>
      <c r="D62" s="17"/>
      <c r="E62" s="17"/>
      <c r="F62" s="17"/>
      <c r="G62" s="18"/>
    </row>
    <row r="63" spans="1:7" ht="16.2" thickTop="1" x14ac:dyDescent="0.3"/>
  </sheetData>
  <phoneticPr fontId="0" type="noConversion"/>
  <conditionalFormatting sqref="E12">
    <cfRule type="cellIs" dxfId="3" priority="4" stopIfTrue="1" operator="greaterThan">
      <formula>116</formula>
    </cfRule>
    <cfRule type="cellIs" dxfId="2" priority="5" stopIfTrue="1" operator="between">
      <formula>58</formula>
      <formula>116</formula>
    </cfRule>
  </conditionalFormatting>
  <hyperlinks>
    <hyperlink ref="G1" r:id="rId1" display="Ernest Hakey" xr:uid="{3F98A227-4567-4855-97D8-1B01A8044DE9}"/>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0"/>
  <sheetViews>
    <sheetView showGridLines="0" workbookViewId="0">
      <pane ySplit="2" topLeftCell="A3" activePane="bottomLeft" state="frozen"/>
      <selection pane="bottomLeft" activeCell="A3" sqref="A3"/>
    </sheetView>
  </sheetViews>
  <sheetFormatPr defaultColWidth="13" defaultRowHeight="15.6" x14ac:dyDescent="0.3"/>
  <cols>
    <col min="1" max="1" width="29" style="19" bestFit="1" customWidth="1"/>
    <col min="2" max="2" width="5.8984375" style="19" bestFit="1" customWidth="1"/>
    <col min="3" max="3" width="11.59765625" style="20" hidden="1" customWidth="1"/>
    <col min="4" max="4" width="5.796875" style="20" hidden="1" customWidth="1"/>
    <col min="5" max="5" width="9.19921875" style="20" bestFit="1" customWidth="1"/>
    <col min="6" max="6" width="7.8984375" style="20" bestFit="1" customWidth="1"/>
    <col min="7" max="7" width="6" style="20" bestFit="1" customWidth="1"/>
    <col min="8" max="8" width="5.19921875" style="20" bestFit="1" customWidth="1"/>
    <col min="9" max="9" width="6.8984375" style="20" bestFit="1" customWidth="1"/>
    <col min="10" max="10" width="30.59765625" style="19" bestFit="1" customWidth="1"/>
    <col min="11" max="16384" width="13" style="1"/>
  </cols>
  <sheetData>
    <row r="1" spans="1:10" ht="23.4" thickBot="1" x14ac:dyDescent="0.45">
      <c r="A1" s="27" t="s">
        <v>6</v>
      </c>
      <c r="B1" s="21"/>
      <c r="C1" s="21"/>
      <c r="D1" s="21"/>
      <c r="E1" s="21"/>
      <c r="F1" s="21"/>
      <c r="G1" s="21"/>
      <c r="H1" s="21"/>
      <c r="I1" s="21"/>
      <c r="J1" s="21"/>
    </row>
    <row r="2" spans="1:10" s="139" customFormat="1" ht="34.200000000000003" thickBot="1" x14ac:dyDescent="0.35">
      <c r="A2" s="134" t="s">
        <v>75</v>
      </c>
      <c r="B2" s="135" t="s">
        <v>21</v>
      </c>
      <c r="C2" s="135" t="s">
        <v>23</v>
      </c>
      <c r="D2" s="135" t="s">
        <v>20</v>
      </c>
      <c r="E2" s="136" t="s">
        <v>48</v>
      </c>
      <c r="F2" s="136" t="s">
        <v>24</v>
      </c>
      <c r="G2" s="136" t="s">
        <v>50</v>
      </c>
      <c r="H2" s="137" t="s">
        <v>73</v>
      </c>
      <c r="I2" s="135" t="s">
        <v>62</v>
      </c>
      <c r="J2" s="138" t="s">
        <v>61</v>
      </c>
    </row>
    <row r="3" spans="1:10" s="14" customFormat="1" ht="16.8" x14ac:dyDescent="0.3">
      <c r="A3" s="103" t="s">
        <v>52</v>
      </c>
      <c r="B3" s="104">
        <f>0+2+0</f>
        <v>2</v>
      </c>
      <c r="C3" s="41" t="s">
        <v>94</v>
      </c>
      <c r="D3" s="41" t="str">
        <f>VLOOKUP(C3,'Personal File'!$A$11:$C$16,3,FALSE)</f>
        <v>+2</v>
      </c>
      <c r="E3" s="115" t="str">
        <f t="shared" ref="E3:E52" si="0">CONCATENATE(LEFT(C3,3)," (",D3,")")</f>
        <v>Con (+2)</v>
      </c>
      <c r="F3" s="41">
        <v>1</v>
      </c>
      <c r="G3" s="105">
        <f t="shared" ref="G3:G5" si="1">B3+D3+F3</f>
        <v>5</v>
      </c>
      <c r="H3" s="106">
        <f t="shared" ref="H3:H52" ca="1" si="2">RANDBETWEEN(1,20)</f>
        <v>8</v>
      </c>
      <c r="I3" s="107">
        <f t="shared" ref="I3:I5" ca="1" si="3">SUM(G3:H3)</f>
        <v>13</v>
      </c>
      <c r="J3" s="43"/>
    </row>
    <row r="4" spans="1:10" s="14" customFormat="1" ht="16.8" x14ac:dyDescent="0.3">
      <c r="A4" s="108" t="s">
        <v>53</v>
      </c>
      <c r="B4" s="104">
        <f>2+2+2</f>
        <v>6</v>
      </c>
      <c r="C4" s="41" t="s">
        <v>95</v>
      </c>
      <c r="D4" s="41" t="str">
        <f>VLOOKUP(C4,'Personal File'!$A$11:$C$16,3,FALSE)</f>
        <v>+2</v>
      </c>
      <c r="E4" s="94" t="str">
        <f t="shared" si="0"/>
        <v>Dex (+2)</v>
      </c>
      <c r="F4" s="309">
        <v>-1</v>
      </c>
      <c r="G4" s="105">
        <f t="shared" si="1"/>
        <v>7</v>
      </c>
      <c r="H4" s="106">
        <f t="shared" ca="1" si="2"/>
        <v>4</v>
      </c>
      <c r="I4" s="107">
        <f t="shared" ca="1" si="3"/>
        <v>11</v>
      </c>
      <c r="J4" s="293"/>
    </row>
    <row r="5" spans="1:10" s="14" customFormat="1" ht="16.8" x14ac:dyDescent="0.3">
      <c r="A5" s="109" t="s">
        <v>54</v>
      </c>
      <c r="B5" s="110">
        <f>0+0+0</f>
        <v>0</v>
      </c>
      <c r="C5" s="111" t="s">
        <v>96</v>
      </c>
      <c r="D5" s="111" t="str">
        <f>VLOOKUP(C5,'Personal File'!$A$11:$C$16,3,FALSE)</f>
        <v>+1</v>
      </c>
      <c r="E5" s="116" t="str">
        <f t="shared" si="0"/>
        <v>Wis (+1)</v>
      </c>
      <c r="F5" s="111">
        <v>1</v>
      </c>
      <c r="G5" s="112">
        <f t="shared" si="1"/>
        <v>2</v>
      </c>
      <c r="H5" s="113">
        <f t="shared" ca="1" si="2"/>
        <v>3</v>
      </c>
      <c r="I5" s="114">
        <f t="shared" ca="1" si="3"/>
        <v>5</v>
      </c>
      <c r="J5" s="120"/>
    </row>
    <row r="6" spans="1:10" s="31" customFormat="1" ht="16.8" x14ac:dyDescent="0.3">
      <c r="A6" s="121" t="s">
        <v>25</v>
      </c>
      <c r="B6" s="41">
        <v>0</v>
      </c>
      <c r="C6" s="122" t="s">
        <v>97</v>
      </c>
      <c r="D6" s="123" t="str">
        <f>VLOOKUP(C6,'Personal File'!$A$11:$C$16,3,FALSE)</f>
        <v>+2</v>
      </c>
      <c r="E6" s="124" t="str">
        <f t="shared" si="0"/>
        <v>Int (+2)</v>
      </c>
      <c r="F6" s="309">
        <v>0</v>
      </c>
      <c r="G6" s="328">
        <f t="shared" ref="G6:G52" si="4">ROUNDDOWN(B6+D6+F6,0)</f>
        <v>2</v>
      </c>
      <c r="H6" s="106">
        <f t="shared" ca="1" si="2"/>
        <v>1</v>
      </c>
      <c r="I6" s="42">
        <f t="shared" ref="I6:I7" ca="1" si="5">SUM(G6:H6)</f>
        <v>3</v>
      </c>
      <c r="J6" s="293" t="s">
        <v>144</v>
      </c>
    </row>
    <row r="7" spans="1:10" s="35" customFormat="1" ht="16.8" x14ac:dyDescent="0.3">
      <c r="A7" s="71" t="s">
        <v>26</v>
      </c>
      <c r="B7" s="61">
        <v>2</v>
      </c>
      <c r="C7" s="72" t="s">
        <v>95</v>
      </c>
      <c r="D7" s="73" t="str">
        <f>VLOOKUP(C7,'Personal File'!$A$11:$C$16,3,FALSE)</f>
        <v>+2</v>
      </c>
      <c r="E7" s="74" t="str">
        <f t="shared" si="0"/>
        <v>Dex (+2)</v>
      </c>
      <c r="F7" s="310">
        <f>SUM(Martial!$D$13:$D$14)+2</f>
        <v>2</v>
      </c>
      <c r="G7" s="329">
        <f t="shared" si="4"/>
        <v>6</v>
      </c>
      <c r="H7" s="106">
        <f t="shared" ca="1" si="2"/>
        <v>11</v>
      </c>
      <c r="I7" s="62">
        <f t="shared" ca="1" si="5"/>
        <v>17</v>
      </c>
      <c r="J7" s="63"/>
    </row>
    <row r="8" spans="1:10" s="33" customFormat="1" ht="16.8" x14ac:dyDescent="0.3">
      <c r="A8" s="87" t="s">
        <v>27</v>
      </c>
      <c r="B8" s="41">
        <v>0</v>
      </c>
      <c r="C8" s="88" t="s">
        <v>98</v>
      </c>
      <c r="D8" s="89">
        <f>VLOOKUP(C8,'Personal File'!$A$11:$C$16,3,FALSE)</f>
        <v>-2</v>
      </c>
      <c r="E8" s="90" t="str">
        <f t="shared" si="0"/>
        <v>Cha (-2)</v>
      </c>
      <c r="F8" s="309">
        <v>0</v>
      </c>
      <c r="G8" s="328">
        <f t="shared" si="4"/>
        <v>-2</v>
      </c>
      <c r="H8" s="106">
        <f t="shared" ca="1" si="2"/>
        <v>4</v>
      </c>
      <c r="I8" s="42">
        <f t="shared" ref="I8:I52" ca="1" si="6">SUM(G8:H8)</f>
        <v>2</v>
      </c>
      <c r="J8" s="43"/>
    </row>
    <row r="9" spans="1:10" s="32" customFormat="1" ht="16.8" x14ac:dyDescent="0.3">
      <c r="A9" s="341" t="s">
        <v>28</v>
      </c>
      <c r="B9" s="61">
        <v>2</v>
      </c>
      <c r="C9" s="342" t="s">
        <v>99</v>
      </c>
      <c r="D9" s="343" t="str">
        <f>VLOOKUP(C9,'Personal File'!$A$11:$C$16,3,FALSE)</f>
        <v>+2</v>
      </c>
      <c r="E9" s="344" t="str">
        <f t="shared" si="0"/>
        <v>Str (+2)</v>
      </c>
      <c r="F9" s="310">
        <f>SUM(Martial!$D$13:$D$14)</f>
        <v>0</v>
      </c>
      <c r="G9" s="329">
        <f t="shared" si="4"/>
        <v>4</v>
      </c>
      <c r="H9" s="106">
        <f t="shared" ca="1" si="2"/>
        <v>1</v>
      </c>
      <c r="I9" s="62">
        <f t="shared" ca="1" si="6"/>
        <v>5</v>
      </c>
      <c r="J9" s="63"/>
    </row>
    <row r="10" spans="1:10" s="32" customFormat="1" ht="16.8" x14ac:dyDescent="0.3">
      <c r="A10" s="79" t="s">
        <v>7</v>
      </c>
      <c r="B10" s="41">
        <v>0</v>
      </c>
      <c r="C10" s="80" t="s">
        <v>94</v>
      </c>
      <c r="D10" s="81" t="str">
        <f>VLOOKUP(C10,'Personal File'!$A$11:$C$16,3,FALSE)</f>
        <v>+2</v>
      </c>
      <c r="E10" s="82" t="str">
        <f t="shared" si="0"/>
        <v>Con (+2)</v>
      </c>
      <c r="F10" s="309">
        <v>0</v>
      </c>
      <c r="G10" s="328">
        <f t="shared" si="4"/>
        <v>2</v>
      </c>
      <c r="H10" s="106">
        <f t="shared" ca="1" si="2"/>
        <v>5</v>
      </c>
      <c r="I10" s="42">
        <f t="shared" ca="1" si="6"/>
        <v>7</v>
      </c>
      <c r="J10" s="43"/>
    </row>
    <row r="11" spans="1:10" s="31" customFormat="1" ht="16.8" x14ac:dyDescent="0.3">
      <c r="A11" s="121" t="s">
        <v>146</v>
      </c>
      <c r="B11" s="41">
        <v>0</v>
      </c>
      <c r="C11" s="122" t="s">
        <v>97</v>
      </c>
      <c r="D11" s="123" t="str">
        <f>VLOOKUP(C11,'Personal File'!$A$11:$C$16,3,FALSE)</f>
        <v>+2</v>
      </c>
      <c r="E11" s="124" t="str">
        <f t="shared" si="0"/>
        <v>Int (+2)</v>
      </c>
      <c r="F11" s="309">
        <v>2</v>
      </c>
      <c r="G11" s="328">
        <f t="shared" si="4"/>
        <v>4</v>
      </c>
      <c r="H11" s="106">
        <f t="shared" ca="1" si="2"/>
        <v>19</v>
      </c>
      <c r="I11" s="42">
        <f t="shared" ca="1" si="6"/>
        <v>23</v>
      </c>
      <c r="J11" s="43"/>
    </row>
    <row r="12" spans="1:10" s="31" customFormat="1" ht="16.8" x14ac:dyDescent="0.3">
      <c r="A12" s="67" t="s">
        <v>145</v>
      </c>
      <c r="B12" s="61">
        <v>1</v>
      </c>
      <c r="C12" s="68" t="s">
        <v>97</v>
      </c>
      <c r="D12" s="69" t="str">
        <f>VLOOKUP(C12,'Personal File'!$A$11:$C$16,3,FALSE)</f>
        <v>+2</v>
      </c>
      <c r="E12" s="70" t="str">
        <f t="shared" si="0"/>
        <v>Int (+2)</v>
      </c>
      <c r="F12" s="310">
        <f>2+2</f>
        <v>4</v>
      </c>
      <c r="G12" s="329">
        <f t="shared" si="4"/>
        <v>7</v>
      </c>
      <c r="H12" s="106">
        <f t="shared" ca="1" si="2"/>
        <v>5</v>
      </c>
      <c r="I12" s="62">
        <f t="shared" ref="I12" ca="1" si="7">SUM(G12:H12)</f>
        <v>12</v>
      </c>
      <c r="J12" s="63"/>
    </row>
    <row r="13" spans="1:10" s="34" customFormat="1" ht="16.8" x14ac:dyDescent="0.3">
      <c r="A13" s="121" t="s">
        <v>29</v>
      </c>
      <c r="B13" s="41">
        <v>0</v>
      </c>
      <c r="C13" s="122" t="s">
        <v>97</v>
      </c>
      <c r="D13" s="123" t="str">
        <f>VLOOKUP(C13,'Personal File'!$A$11:$C$16,3,FALSE)</f>
        <v>+2</v>
      </c>
      <c r="E13" s="124" t="str">
        <f t="shared" si="0"/>
        <v>Int (+2)</v>
      </c>
      <c r="F13" s="309">
        <v>0</v>
      </c>
      <c r="G13" s="328">
        <f t="shared" si="4"/>
        <v>2</v>
      </c>
      <c r="H13" s="106">
        <f t="shared" ca="1" si="2"/>
        <v>10</v>
      </c>
      <c r="I13" s="42">
        <f t="shared" ca="1" si="6"/>
        <v>12</v>
      </c>
      <c r="J13" s="43"/>
    </row>
    <row r="14" spans="1:10" s="35" customFormat="1" ht="16.8" x14ac:dyDescent="0.3">
      <c r="A14" s="87" t="s">
        <v>30</v>
      </c>
      <c r="B14" s="41">
        <v>0</v>
      </c>
      <c r="C14" s="88" t="s">
        <v>98</v>
      </c>
      <c r="D14" s="89">
        <f>VLOOKUP(C14,'Personal File'!$A$11:$C$16,3,FALSE)</f>
        <v>-2</v>
      </c>
      <c r="E14" s="90" t="str">
        <f t="shared" si="0"/>
        <v>Cha (-2)</v>
      </c>
      <c r="F14" s="309">
        <v>0</v>
      </c>
      <c r="G14" s="328">
        <f t="shared" si="4"/>
        <v>-2</v>
      </c>
      <c r="H14" s="106">
        <f t="shared" ca="1" si="2"/>
        <v>8</v>
      </c>
      <c r="I14" s="42">
        <f t="shared" ca="1" si="6"/>
        <v>6</v>
      </c>
      <c r="J14" s="43"/>
    </row>
    <row r="15" spans="1:10" s="35" customFormat="1" ht="16.8" x14ac:dyDescent="0.3">
      <c r="A15" s="67" t="s">
        <v>31</v>
      </c>
      <c r="B15" s="61">
        <v>1</v>
      </c>
      <c r="C15" s="68" t="s">
        <v>97</v>
      </c>
      <c r="D15" s="69" t="str">
        <f>VLOOKUP(C15,'Personal File'!$A$11:$C$16,3,FALSE)</f>
        <v>+2</v>
      </c>
      <c r="E15" s="70" t="str">
        <f t="shared" si="0"/>
        <v>Int (+2)</v>
      </c>
      <c r="F15" s="310">
        <v>2</v>
      </c>
      <c r="G15" s="329">
        <f t="shared" si="4"/>
        <v>5</v>
      </c>
      <c r="H15" s="106">
        <f t="shared" ca="1" si="2"/>
        <v>17</v>
      </c>
      <c r="I15" s="62">
        <f t="shared" ca="1" si="6"/>
        <v>22</v>
      </c>
      <c r="J15" s="63"/>
    </row>
    <row r="16" spans="1:10" s="35" customFormat="1" ht="16.8" x14ac:dyDescent="0.3">
      <c r="A16" s="87" t="s">
        <v>32</v>
      </c>
      <c r="B16" s="41">
        <v>0</v>
      </c>
      <c r="C16" s="88" t="s">
        <v>98</v>
      </c>
      <c r="D16" s="89">
        <f>VLOOKUP(C16,'Personal File'!$A$11:$C$16,3,FALSE)</f>
        <v>-2</v>
      </c>
      <c r="E16" s="90" t="str">
        <f t="shared" si="0"/>
        <v>Cha (-2)</v>
      </c>
      <c r="F16" s="309">
        <v>0</v>
      </c>
      <c r="G16" s="328">
        <f t="shared" si="4"/>
        <v>-2</v>
      </c>
      <c r="H16" s="106">
        <f t="shared" ca="1" si="2"/>
        <v>14</v>
      </c>
      <c r="I16" s="42">
        <f t="shared" ca="1" si="6"/>
        <v>12</v>
      </c>
      <c r="J16" s="293"/>
    </row>
    <row r="17" spans="1:10" s="35" customFormat="1" ht="16.8" x14ac:dyDescent="0.3">
      <c r="A17" s="71" t="s">
        <v>33</v>
      </c>
      <c r="B17" s="61">
        <v>1</v>
      </c>
      <c r="C17" s="72" t="s">
        <v>95</v>
      </c>
      <c r="D17" s="73" t="str">
        <f>VLOOKUP(C17,'Personal File'!$A$11:$C$16,3,FALSE)</f>
        <v>+2</v>
      </c>
      <c r="E17" s="74" t="str">
        <f t="shared" si="0"/>
        <v>Dex (+2)</v>
      </c>
      <c r="F17" s="310">
        <f>SUM(Martial!$D$13:$D$14)</f>
        <v>0</v>
      </c>
      <c r="G17" s="329">
        <f t="shared" si="4"/>
        <v>3</v>
      </c>
      <c r="H17" s="106">
        <f t="shared" ca="1" si="2"/>
        <v>18</v>
      </c>
      <c r="I17" s="62">
        <f t="shared" ca="1" si="6"/>
        <v>21</v>
      </c>
      <c r="J17" s="63"/>
    </row>
    <row r="18" spans="1:10" s="35" customFormat="1" ht="16.8" x14ac:dyDescent="0.3">
      <c r="A18" s="121" t="s">
        <v>34</v>
      </c>
      <c r="B18" s="41">
        <v>0</v>
      </c>
      <c r="C18" s="122" t="s">
        <v>97</v>
      </c>
      <c r="D18" s="123" t="str">
        <f>VLOOKUP(C18,'Personal File'!$A$11:$C$16,3,FALSE)</f>
        <v>+2</v>
      </c>
      <c r="E18" s="124" t="str">
        <f t="shared" si="0"/>
        <v>Int (+2)</v>
      </c>
      <c r="F18" s="309">
        <v>0</v>
      </c>
      <c r="G18" s="328">
        <f t="shared" si="4"/>
        <v>2</v>
      </c>
      <c r="H18" s="106">
        <f t="shared" ca="1" si="2"/>
        <v>1</v>
      </c>
      <c r="I18" s="42">
        <f t="shared" ca="1" si="6"/>
        <v>3</v>
      </c>
      <c r="J18" s="43"/>
    </row>
    <row r="19" spans="1:10" s="35" customFormat="1" ht="16.8" x14ac:dyDescent="0.3">
      <c r="A19" s="87" t="s">
        <v>35</v>
      </c>
      <c r="B19" s="41">
        <v>0</v>
      </c>
      <c r="C19" s="88" t="s">
        <v>98</v>
      </c>
      <c r="D19" s="89">
        <f>VLOOKUP(C19,'Personal File'!$A$11:$C$16,3,FALSE)</f>
        <v>-2</v>
      </c>
      <c r="E19" s="90" t="str">
        <f t="shared" si="0"/>
        <v>Cha (-2)</v>
      </c>
      <c r="F19" s="309">
        <v>0</v>
      </c>
      <c r="G19" s="328">
        <f t="shared" si="4"/>
        <v>-2</v>
      </c>
      <c r="H19" s="106">
        <f t="shared" ca="1" si="2"/>
        <v>9</v>
      </c>
      <c r="I19" s="42">
        <f t="shared" ca="1" si="6"/>
        <v>7</v>
      </c>
      <c r="J19" s="43"/>
    </row>
    <row r="20" spans="1:10" s="35" customFormat="1" ht="16.8" x14ac:dyDescent="0.3">
      <c r="A20" s="87" t="s">
        <v>9</v>
      </c>
      <c r="B20" s="41">
        <v>0</v>
      </c>
      <c r="C20" s="88" t="s">
        <v>98</v>
      </c>
      <c r="D20" s="89">
        <f>VLOOKUP(C20,'Personal File'!$A$11:$C$16,3,FALSE)</f>
        <v>-2</v>
      </c>
      <c r="E20" s="90" t="str">
        <f t="shared" si="0"/>
        <v>Cha (-2)</v>
      </c>
      <c r="F20" s="309">
        <v>0</v>
      </c>
      <c r="G20" s="328">
        <f t="shared" si="4"/>
        <v>-2</v>
      </c>
      <c r="H20" s="106">
        <f t="shared" ca="1" si="2"/>
        <v>9</v>
      </c>
      <c r="I20" s="42">
        <f t="shared" ca="1" si="6"/>
        <v>7</v>
      </c>
      <c r="J20" s="43"/>
    </row>
    <row r="21" spans="1:10" s="35" customFormat="1" ht="16.8" x14ac:dyDescent="0.3">
      <c r="A21" s="95" t="s">
        <v>36</v>
      </c>
      <c r="B21" s="41">
        <v>0</v>
      </c>
      <c r="C21" s="96" t="s">
        <v>96</v>
      </c>
      <c r="D21" s="97" t="str">
        <f>VLOOKUP(C21,'Personal File'!$A$11:$C$16,3,FALSE)</f>
        <v>+1</v>
      </c>
      <c r="E21" s="98" t="str">
        <f t="shared" si="0"/>
        <v>Wis (+1)</v>
      </c>
      <c r="F21" s="309">
        <v>0</v>
      </c>
      <c r="G21" s="328">
        <f t="shared" si="4"/>
        <v>1</v>
      </c>
      <c r="H21" s="106">
        <f t="shared" ca="1" si="2"/>
        <v>13</v>
      </c>
      <c r="I21" s="42">
        <f t="shared" ca="1" si="6"/>
        <v>14</v>
      </c>
      <c r="J21" s="43"/>
    </row>
    <row r="22" spans="1:10" s="35" customFormat="1" ht="16.8" x14ac:dyDescent="0.3">
      <c r="A22" s="71" t="s">
        <v>37</v>
      </c>
      <c r="B22" s="61">
        <v>3</v>
      </c>
      <c r="C22" s="72" t="s">
        <v>95</v>
      </c>
      <c r="D22" s="73" t="str">
        <f>VLOOKUP(C22,'Personal File'!$A$11:$C$16,3,FALSE)</f>
        <v>+2</v>
      </c>
      <c r="E22" s="74" t="str">
        <f t="shared" si="0"/>
        <v>Dex (+2)</v>
      </c>
      <c r="F22" s="310">
        <f>SUM(Martial!$D$13:$D$14)</f>
        <v>0</v>
      </c>
      <c r="G22" s="329">
        <f t="shared" si="4"/>
        <v>5</v>
      </c>
      <c r="H22" s="106">
        <f t="shared" ca="1" si="2"/>
        <v>20</v>
      </c>
      <c r="I22" s="62">
        <f t="shared" ca="1" si="6"/>
        <v>25</v>
      </c>
      <c r="J22" s="192"/>
    </row>
    <row r="23" spans="1:10" s="35" customFormat="1" ht="16.8" x14ac:dyDescent="0.3">
      <c r="A23" s="87" t="s">
        <v>38</v>
      </c>
      <c r="B23" s="41">
        <v>0</v>
      </c>
      <c r="C23" s="88" t="s">
        <v>98</v>
      </c>
      <c r="D23" s="89">
        <f>VLOOKUP(C23,'Personal File'!$A$11:$C$16,3,FALSE)</f>
        <v>-2</v>
      </c>
      <c r="E23" s="90" t="str">
        <f t="shared" si="0"/>
        <v>Cha (-2)</v>
      </c>
      <c r="F23" s="309">
        <v>0</v>
      </c>
      <c r="G23" s="328">
        <f t="shared" si="4"/>
        <v>-2</v>
      </c>
      <c r="H23" s="106">
        <f t="shared" ca="1" si="2"/>
        <v>11</v>
      </c>
      <c r="I23" s="42">
        <f t="shared" ca="1" si="6"/>
        <v>9</v>
      </c>
      <c r="J23" s="43"/>
    </row>
    <row r="24" spans="1:10" s="35" customFormat="1" ht="16.8" x14ac:dyDescent="0.3">
      <c r="A24" s="341" t="s">
        <v>39</v>
      </c>
      <c r="B24" s="61">
        <v>5</v>
      </c>
      <c r="C24" s="342" t="s">
        <v>99</v>
      </c>
      <c r="D24" s="343" t="str">
        <f>VLOOKUP(C24,'Personal File'!$A$11:$C$16,3,FALSE)</f>
        <v>+2</v>
      </c>
      <c r="E24" s="344" t="str">
        <f t="shared" si="0"/>
        <v>Str (+2)</v>
      </c>
      <c r="F24" s="310">
        <f>SUM(Martial!$D$13:$D$14)+2</f>
        <v>2</v>
      </c>
      <c r="G24" s="329">
        <f t="shared" si="4"/>
        <v>9</v>
      </c>
      <c r="H24" s="106">
        <f t="shared" ca="1" si="2"/>
        <v>20</v>
      </c>
      <c r="I24" s="62">
        <f t="shared" ca="1" si="6"/>
        <v>29</v>
      </c>
      <c r="J24" s="63"/>
    </row>
    <row r="25" spans="1:10" s="35" customFormat="1" ht="16.8" x14ac:dyDescent="0.3">
      <c r="A25" s="121" t="s">
        <v>147</v>
      </c>
      <c r="B25" s="41">
        <v>0</v>
      </c>
      <c r="C25" s="122" t="s">
        <v>97</v>
      </c>
      <c r="D25" s="123" t="str">
        <f>VLOOKUP(C25,'Personal File'!$A$11:$C$16,3,FALSE)</f>
        <v>+2</v>
      </c>
      <c r="E25" s="124" t="str">
        <f t="shared" si="0"/>
        <v>Int (+2)</v>
      </c>
      <c r="F25" s="309">
        <v>0.5</v>
      </c>
      <c r="G25" s="328">
        <f t="shared" si="4"/>
        <v>2</v>
      </c>
      <c r="H25" s="106">
        <f t="shared" ca="1" si="2"/>
        <v>16</v>
      </c>
      <c r="I25" s="42">
        <f t="shared" ca="1" si="6"/>
        <v>18</v>
      </c>
      <c r="J25" s="43"/>
    </row>
    <row r="26" spans="1:10" s="35" customFormat="1" ht="16.8" x14ac:dyDescent="0.3">
      <c r="A26" s="121" t="s">
        <v>85</v>
      </c>
      <c r="B26" s="41">
        <v>0</v>
      </c>
      <c r="C26" s="122" t="s">
        <v>97</v>
      </c>
      <c r="D26" s="123" t="str">
        <f>VLOOKUP(C26,'Personal File'!$A$11:$C$16,3,FALSE)</f>
        <v>+2</v>
      </c>
      <c r="E26" s="124" t="str">
        <f t="shared" si="0"/>
        <v>Int (+2)</v>
      </c>
      <c r="F26" s="309">
        <v>0.5</v>
      </c>
      <c r="G26" s="328">
        <f t="shared" si="4"/>
        <v>2</v>
      </c>
      <c r="H26" s="106">
        <f t="shared" ca="1" si="2"/>
        <v>4</v>
      </c>
      <c r="I26" s="42">
        <f t="shared" ca="1" si="6"/>
        <v>6</v>
      </c>
      <c r="J26" s="43"/>
    </row>
    <row r="27" spans="1:10" s="35" customFormat="1" ht="16.8" x14ac:dyDescent="0.3">
      <c r="A27" s="67" t="s">
        <v>148</v>
      </c>
      <c r="B27" s="61">
        <v>1</v>
      </c>
      <c r="C27" s="68" t="s">
        <v>97</v>
      </c>
      <c r="D27" s="69" t="str">
        <f>VLOOKUP(C27,'Personal File'!$A$11:$C$16,3,FALSE)</f>
        <v>+2</v>
      </c>
      <c r="E27" s="70" t="str">
        <f t="shared" si="0"/>
        <v>Int (+2)</v>
      </c>
      <c r="F27" s="310">
        <v>0</v>
      </c>
      <c r="G27" s="329">
        <f t="shared" si="4"/>
        <v>3</v>
      </c>
      <c r="H27" s="106">
        <f t="shared" ca="1" si="2"/>
        <v>8</v>
      </c>
      <c r="I27" s="62">
        <f t="shared" ca="1" si="6"/>
        <v>11</v>
      </c>
      <c r="J27" s="63"/>
    </row>
    <row r="28" spans="1:10" s="35" customFormat="1" ht="16.8" x14ac:dyDescent="0.3">
      <c r="A28" s="67" t="s">
        <v>149</v>
      </c>
      <c r="B28" s="61">
        <v>2</v>
      </c>
      <c r="C28" s="68" t="s">
        <v>97</v>
      </c>
      <c r="D28" s="69" t="str">
        <f>VLOOKUP(C28,'Personal File'!$A$11:$C$16,3,FALSE)</f>
        <v>+2</v>
      </c>
      <c r="E28" s="70" t="str">
        <f t="shared" si="0"/>
        <v>Int (+2)</v>
      </c>
      <c r="F28" s="310">
        <v>0</v>
      </c>
      <c r="G28" s="329">
        <f t="shared" si="4"/>
        <v>4</v>
      </c>
      <c r="H28" s="106">
        <f t="shared" ca="1" si="2"/>
        <v>15</v>
      </c>
      <c r="I28" s="62">
        <f t="shared" ca="1" si="6"/>
        <v>19</v>
      </c>
      <c r="J28" s="192" t="s">
        <v>155</v>
      </c>
    </row>
    <row r="29" spans="1:10" s="35" customFormat="1" ht="16.8" x14ac:dyDescent="0.3">
      <c r="A29" s="121" t="s">
        <v>150</v>
      </c>
      <c r="B29" s="41">
        <v>0</v>
      </c>
      <c r="C29" s="122" t="s">
        <v>97</v>
      </c>
      <c r="D29" s="123" t="str">
        <f>VLOOKUP(C29,'Personal File'!$A$11:$C$16,3,FALSE)</f>
        <v>+2</v>
      </c>
      <c r="E29" s="124" t="str">
        <f t="shared" si="0"/>
        <v>Int (+2)</v>
      </c>
      <c r="F29" s="309">
        <v>0.5</v>
      </c>
      <c r="G29" s="328">
        <f t="shared" si="4"/>
        <v>2</v>
      </c>
      <c r="H29" s="106">
        <f t="shared" ca="1" si="2"/>
        <v>3</v>
      </c>
      <c r="I29" s="42">
        <f t="shared" ca="1" si="6"/>
        <v>5</v>
      </c>
      <c r="J29" s="43"/>
    </row>
    <row r="30" spans="1:10" s="35" customFormat="1" ht="16.8" x14ac:dyDescent="0.3">
      <c r="A30" s="67" t="s">
        <v>151</v>
      </c>
      <c r="B30" s="61">
        <v>1</v>
      </c>
      <c r="C30" s="68" t="s">
        <v>97</v>
      </c>
      <c r="D30" s="69" t="str">
        <f>VLOOKUP(C30,'Personal File'!$A$11:$C$16,3,FALSE)</f>
        <v>+2</v>
      </c>
      <c r="E30" s="70" t="str">
        <f t="shared" si="0"/>
        <v>Int (+2)</v>
      </c>
      <c r="F30" s="310">
        <v>0</v>
      </c>
      <c r="G30" s="329">
        <f t="shared" si="4"/>
        <v>3</v>
      </c>
      <c r="H30" s="106">
        <f t="shared" ca="1" si="2"/>
        <v>15</v>
      </c>
      <c r="I30" s="62">
        <f t="shared" ca="1" si="6"/>
        <v>18</v>
      </c>
      <c r="J30" s="63"/>
    </row>
    <row r="31" spans="1:10" s="35" customFormat="1" ht="16.8" x14ac:dyDescent="0.3">
      <c r="A31" s="67" t="s">
        <v>152</v>
      </c>
      <c r="B31" s="61">
        <v>5</v>
      </c>
      <c r="C31" s="68" t="s">
        <v>97</v>
      </c>
      <c r="D31" s="69" t="str">
        <f>VLOOKUP(C31,'Personal File'!$A$11:$C$16,3,FALSE)</f>
        <v>+2</v>
      </c>
      <c r="E31" s="70" t="str">
        <f t="shared" si="0"/>
        <v>Int (+2)</v>
      </c>
      <c r="F31" s="310">
        <v>2</v>
      </c>
      <c r="G31" s="329">
        <f t="shared" si="4"/>
        <v>9</v>
      </c>
      <c r="H31" s="106">
        <f t="shared" ca="1" si="2"/>
        <v>14</v>
      </c>
      <c r="I31" s="62">
        <f t="shared" ca="1" si="6"/>
        <v>23</v>
      </c>
      <c r="J31" s="192" t="s">
        <v>155</v>
      </c>
    </row>
    <row r="32" spans="1:10" s="35" customFormat="1" ht="16.8" x14ac:dyDescent="0.3">
      <c r="A32" s="121" t="s">
        <v>153</v>
      </c>
      <c r="B32" s="41">
        <v>0</v>
      </c>
      <c r="C32" s="122" t="s">
        <v>97</v>
      </c>
      <c r="D32" s="123" t="str">
        <f>VLOOKUP(C32,'Personal File'!$A$11:$C$16,3,FALSE)</f>
        <v>+2</v>
      </c>
      <c r="E32" s="124" t="str">
        <f t="shared" si="0"/>
        <v>Int (+2)</v>
      </c>
      <c r="F32" s="309">
        <v>0.5</v>
      </c>
      <c r="G32" s="328">
        <f t="shared" si="4"/>
        <v>2</v>
      </c>
      <c r="H32" s="106">
        <f t="shared" ca="1" si="2"/>
        <v>17</v>
      </c>
      <c r="I32" s="42">
        <f t="shared" ca="1" si="6"/>
        <v>19</v>
      </c>
      <c r="J32" s="43"/>
    </row>
    <row r="33" spans="1:10" s="35" customFormat="1" ht="16.8" x14ac:dyDescent="0.3">
      <c r="A33" s="121" t="s">
        <v>154</v>
      </c>
      <c r="B33" s="41">
        <v>0</v>
      </c>
      <c r="C33" s="122" t="s">
        <v>97</v>
      </c>
      <c r="D33" s="123" t="str">
        <f>VLOOKUP(C33,'Personal File'!$A$11:$C$16,3,FALSE)</f>
        <v>+2</v>
      </c>
      <c r="E33" s="124" t="str">
        <f t="shared" ref="E33" si="8">CONCATENATE(LEFT(C33,3)," (",D33,")")</f>
        <v>Int (+2)</v>
      </c>
      <c r="F33" s="309">
        <f>0.5</f>
        <v>0.5</v>
      </c>
      <c r="G33" s="328">
        <f t="shared" si="4"/>
        <v>2</v>
      </c>
      <c r="H33" s="106">
        <f t="shared" ca="1" si="2"/>
        <v>12</v>
      </c>
      <c r="I33" s="42">
        <f t="shared" ref="I33" ca="1" si="9">SUM(G33:H33)</f>
        <v>14</v>
      </c>
      <c r="J33" s="43"/>
    </row>
    <row r="34" spans="1:10" s="35" customFormat="1" ht="16.8" x14ac:dyDescent="0.3">
      <c r="A34" s="121" t="s">
        <v>143</v>
      </c>
      <c r="B34" s="41">
        <v>0</v>
      </c>
      <c r="C34" s="122" t="s">
        <v>97</v>
      </c>
      <c r="D34" s="123" t="str">
        <f>VLOOKUP(C34,'Personal File'!$A$11:$C$16,3,FALSE)</f>
        <v>+2</v>
      </c>
      <c r="E34" s="124" t="str">
        <f t="shared" si="0"/>
        <v>Int (+2)</v>
      </c>
      <c r="F34" s="309">
        <v>0.5</v>
      </c>
      <c r="G34" s="328">
        <f t="shared" si="4"/>
        <v>2</v>
      </c>
      <c r="H34" s="106">
        <f t="shared" ca="1" si="2"/>
        <v>10</v>
      </c>
      <c r="I34" s="42">
        <f t="shared" ref="I34" ca="1" si="10">SUM(G34:H34)</f>
        <v>12</v>
      </c>
      <c r="J34" s="293" t="s">
        <v>155</v>
      </c>
    </row>
    <row r="35" spans="1:10" s="35" customFormat="1" ht="16.8" x14ac:dyDescent="0.3">
      <c r="A35" s="75" t="s">
        <v>40</v>
      </c>
      <c r="B35" s="61">
        <v>3</v>
      </c>
      <c r="C35" s="76" t="s">
        <v>96</v>
      </c>
      <c r="D35" s="77" t="str">
        <f>VLOOKUP(C35,'Personal File'!$A$11:$C$16,3,FALSE)</f>
        <v>+1</v>
      </c>
      <c r="E35" s="78" t="str">
        <f t="shared" si="0"/>
        <v>Wis (+1)</v>
      </c>
      <c r="F35" s="310">
        <v>0</v>
      </c>
      <c r="G35" s="329">
        <f t="shared" si="4"/>
        <v>4</v>
      </c>
      <c r="H35" s="106">
        <f t="shared" ca="1" si="2"/>
        <v>18</v>
      </c>
      <c r="I35" s="62">
        <f t="shared" ca="1" si="6"/>
        <v>22</v>
      </c>
      <c r="J35" s="63"/>
    </row>
    <row r="36" spans="1:10" s="35" customFormat="1" ht="16.8" x14ac:dyDescent="0.3">
      <c r="A36" s="71" t="s">
        <v>10</v>
      </c>
      <c r="B36" s="61">
        <v>3</v>
      </c>
      <c r="C36" s="72" t="s">
        <v>95</v>
      </c>
      <c r="D36" s="73" t="str">
        <f>VLOOKUP(C36,'Personal File'!$A$11:$C$16,3,FALSE)</f>
        <v>+2</v>
      </c>
      <c r="E36" s="74" t="str">
        <f t="shared" si="0"/>
        <v>Dex (+2)</v>
      </c>
      <c r="F36" s="310">
        <f>SUM(Martial!$D$13:$D$14)</f>
        <v>0</v>
      </c>
      <c r="G36" s="329">
        <f t="shared" si="4"/>
        <v>5</v>
      </c>
      <c r="H36" s="106">
        <f t="shared" ca="1" si="2"/>
        <v>13</v>
      </c>
      <c r="I36" s="62">
        <f t="shared" ca="1" si="6"/>
        <v>18</v>
      </c>
      <c r="J36" s="63"/>
    </row>
    <row r="37" spans="1:10" s="35" customFormat="1" ht="16.8" x14ac:dyDescent="0.3">
      <c r="A37" s="71" t="s">
        <v>41</v>
      </c>
      <c r="B37" s="61">
        <v>1</v>
      </c>
      <c r="C37" s="72" t="s">
        <v>95</v>
      </c>
      <c r="D37" s="73" t="str">
        <f>VLOOKUP(C37,'Personal File'!$A$11:$C$16,3,FALSE)</f>
        <v>+2</v>
      </c>
      <c r="E37" s="74" t="str">
        <f t="shared" si="0"/>
        <v>Dex (+2)</v>
      </c>
      <c r="F37" s="310">
        <v>2</v>
      </c>
      <c r="G37" s="329">
        <f t="shared" si="4"/>
        <v>5</v>
      </c>
      <c r="H37" s="106">
        <f t="shared" ca="1" si="2"/>
        <v>6</v>
      </c>
      <c r="I37" s="62">
        <f t="shared" ca="1" si="6"/>
        <v>11</v>
      </c>
      <c r="J37" s="63"/>
    </row>
    <row r="38" spans="1:10" ht="16.8" x14ac:dyDescent="0.3">
      <c r="A38" s="87" t="s">
        <v>156</v>
      </c>
      <c r="B38" s="41">
        <v>4</v>
      </c>
      <c r="C38" s="88" t="s">
        <v>98</v>
      </c>
      <c r="D38" s="89">
        <f>VLOOKUP(C38,'Personal File'!$A$11:$C$16,3,FALSE)</f>
        <v>-2</v>
      </c>
      <c r="E38" s="90" t="str">
        <f t="shared" si="0"/>
        <v>Cha (-2)</v>
      </c>
      <c r="F38" s="309">
        <v>0</v>
      </c>
      <c r="G38" s="328">
        <f t="shared" si="4"/>
        <v>2</v>
      </c>
      <c r="H38" s="106">
        <f t="shared" ca="1" si="2"/>
        <v>15</v>
      </c>
      <c r="I38" s="42">
        <f t="shared" ca="1" si="6"/>
        <v>17</v>
      </c>
      <c r="J38" s="43"/>
    </row>
    <row r="39" spans="1:10" ht="16.8" x14ac:dyDescent="0.3">
      <c r="A39" s="60" t="s">
        <v>157</v>
      </c>
      <c r="B39" s="61">
        <v>1</v>
      </c>
      <c r="C39" s="76" t="s">
        <v>96</v>
      </c>
      <c r="D39" s="77" t="str">
        <f>VLOOKUP(C39,'Personal File'!$A$11:$C$16,3,FALSE)</f>
        <v>+1</v>
      </c>
      <c r="E39" s="78" t="str">
        <f t="shared" si="0"/>
        <v>Wis (+1)</v>
      </c>
      <c r="F39" s="310">
        <v>0</v>
      </c>
      <c r="G39" s="329">
        <f t="shared" si="4"/>
        <v>2</v>
      </c>
      <c r="H39" s="106">
        <f t="shared" ca="1" si="2"/>
        <v>6</v>
      </c>
      <c r="I39" s="62">
        <f t="shared" ca="1" si="6"/>
        <v>8</v>
      </c>
      <c r="J39" s="63"/>
    </row>
    <row r="40" spans="1:10" ht="16.8" x14ac:dyDescent="0.3">
      <c r="A40" s="87" t="s">
        <v>158</v>
      </c>
      <c r="B40" s="41">
        <v>0</v>
      </c>
      <c r="C40" s="96" t="s">
        <v>96</v>
      </c>
      <c r="D40" s="97" t="str">
        <f>VLOOKUP(C40,'Personal File'!$A$11:$C$16,3,FALSE)</f>
        <v>+1</v>
      </c>
      <c r="E40" s="98" t="str">
        <f t="shared" ref="E40" si="11">CONCATENATE(LEFT(C40,3)," (",D40,")")</f>
        <v>Wis (+1)</v>
      </c>
      <c r="F40" s="309">
        <v>0.5</v>
      </c>
      <c r="G40" s="328">
        <f t="shared" si="4"/>
        <v>1</v>
      </c>
      <c r="H40" s="106">
        <f t="shared" ca="1" si="2"/>
        <v>1</v>
      </c>
      <c r="I40" s="42">
        <f t="shared" ref="I40" ca="1" si="12">SUM(G40:H40)</f>
        <v>2</v>
      </c>
      <c r="J40" s="43"/>
    </row>
    <row r="41" spans="1:10" ht="16.8" x14ac:dyDescent="0.3">
      <c r="A41" s="91" t="s">
        <v>11</v>
      </c>
      <c r="B41" s="41">
        <v>0</v>
      </c>
      <c r="C41" s="92" t="s">
        <v>95</v>
      </c>
      <c r="D41" s="93" t="str">
        <f>VLOOKUP(C41,'Personal File'!$A$11:$C$16,3,FALSE)</f>
        <v>+2</v>
      </c>
      <c r="E41" s="94" t="str">
        <f t="shared" si="0"/>
        <v>Dex (+2)</v>
      </c>
      <c r="F41" s="309">
        <v>0</v>
      </c>
      <c r="G41" s="328">
        <f t="shared" si="4"/>
        <v>2</v>
      </c>
      <c r="H41" s="106">
        <f t="shared" ca="1" si="2"/>
        <v>9</v>
      </c>
      <c r="I41" s="42">
        <f t="shared" ca="1" si="6"/>
        <v>11</v>
      </c>
      <c r="J41" s="43"/>
    </row>
    <row r="42" spans="1:10" ht="16.8" x14ac:dyDescent="0.3">
      <c r="A42" s="67" t="s">
        <v>12</v>
      </c>
      <c r="B42" s="61">
        <v>5</v>
      </c>
      <c r="C42" s="68" t="s">
        <v>97</v>
      </c>
      <c r="D42" s="69" t="str">
        <f>VLOOKUP(C42,'Personal File'!$A$11:$C$16,3,FALSE)</f>
        <v>+2</v>
      </c>
      <c r="E42" s="70" t="str">
        <f t="shared" si="0"/>
        <v>Int (+2)</v>
      </c>
      <c r="F42" s="310">
        <v>0</v>
      </c>
      <c r="G42" s="329">
        <f t="shared" si="4"/>
        <v>7</v>
      </c>
      <c r="H42" s="106">
        <f t="shared" ca="1" si="2"/>
        <v>15</v>
      </c>
      <c r="I42" s="62">
        <f t="shared" ca="1" si="6"/>
        <v>22</v>
      </c>
      <c r="J42" s="192" t="s">
        <v>159</v>
      </c>
    </row>
    <row r="43" spans="1:10" ht="16.8" x14ac:dyDescent="0.3">
      <c r="A43" s="75" t="s">
        <v>42</v>
      </c>
      <c r="B43" s="61">
        <v>1</v>
      </c>
      <c r="C43" s="76" t="s">
        <v>96</v>
      </c>
      <c r="D43" s="77" t="str">
        <f>VLOOKUP(C43,'Personal File'!$A$11:$C$16,3,FALSE)</f>
        <v>+1</v>
      </c>
      <c r="E43" s="78" t="str">
        <f t="shared" si="0"/>
        <v>Wis (+1)</v>
      </c>
      <c r="F43" s="310">
        <v>0</v>
      </c>
      <c r="G43" s="329">
        <f t="shared" si="4"/>
        <v>2</v>
      </c>
      <c r="H43" s="106">
        <f t="shared" ca="1" si="2"/>
        <v>8</v>
      </c>
      <c r="I43" s="62">
        <f t="shared" ca="1" si="6"/>
        <v>10</v>
      </c>
      <c r="J43" s="63"/>
    </row>
    <row r="44" spans="1:10" ht="16.8" x14ac:dyDescent="0.3">
      <c r="A44" s="91" t="s">
        <v>66</v>
      </c>
      <c r="B44" s="41">
        <v>0</v>
      </c>
      <c r="C44" s="92" t="s">
        <v>95</v>
      </c>
      <c r="D44" s="93" t="str">
        <f>VLOOKUP(C44,'Personal File'!$A$11:$C$16,3,FALSE)</f>
        <v>+2</v>
      </c>
      <c r="E44" s="94" t="str">
        <f t="shared" si="0"/>
        <v>Dex (+2)</v>
      </c>
      <c r="F44" s="309">
        <f>SUM(Martial!$D$13:$D$14)</f>
        <v>0</v>
      </c>
      <c r="G44" s="328">
        <f t="shared" si="4"/>
        <v>2</v>
      </c>
      <c r="H44" s="106">
        <f t="shared" ca="1" si="2"/>
        <v>13</v>
      </c>
      <c r="I44" s="42">
        <f t="shared" ca="1" si="6"/>
        <v>15</v>
      </c>
      <c r="J44" s="43"/>
    </row>
    <row r="45" spans="1:10" ht="16.8" x14ac:dyDescent="0.3">
      <c r="A45" s="121" t="s">
        <v>65</v>
      </c>
      <c r="B45" s="41">
        <v>0</v>
      </c>
      <c r="C45" s="122" t="s">
        <v>97</v>
      </c>
      <c r="D45" s="123" t="str">
        <f>VLOOKUP(C45,'Personal File'!$A$11:$C$16,3,FALSE)</f>
        <v>+2</v>
      </c>
      <c r="E45" s="124" t="str">
        <f t="shared" si="0"/>
        <v>Int (+2)</v>
      </c>
      <c r="F45" s="309">
        <v>0</v>
      </c>
      <c r="G45" s="328">
        <f t="shared" si="4"/>
        <v>2</v>
      </c>
      <c r="H45" s="106">
        <f t="shared" ca="1" si="2"/>
        <v>2</v>
      </c>
      <c r="I45" s="42">
        <f t="shared" ca="1" si="6"/>
        <v>4</v>
      </c>
      <c r="J45" s="293"/>
    </row>
    <row r="46" spans="1:10" ht="16.8" x14ac:dyDescent="0.3">
      <c r="A46" s="121" t="s">
        <v>43</v>
      </c>
      <c r="B46" s="41">
        <v>0</v>
      </c>
      <c r="C46" s="122" t="s">
        <v>97</v>
      </c>
      <c r="D46" s="123" t="str">
        <f>VLOOKUP(C46,'Personal File'!$A$11:$C$16,3,FALSE)</f>
        <v>+2</v>
      </c>
      <c r="E46" s="124" t="str">
        <f t="shared" si="0"/>
        <v>Int (+2)</v>
      </c>
      <c r="F46" s="309">
        <v>0</v>
      </c>
      <c r="G46" s="328">
        <f t="shared" si="4"/>
        <v>2</v>
      </c>
      <c r="H46" s="106">
        <f t="shared" ca="1" si="2"/>
        <v>1</v>
      </c>
      <c r="I46" s="42">
        <f t="shared" ca="1" si="6"/>
        <v>3</v>
      </c>
      <c r="J46" s="293"/>
    </row>
    <row r="47" spans="1:10" ht="16.8" x14ac:dyDescent="0.3">
      <c r="A47" s="75" t="s">
        <v>44</v>
      </c>
      <c r="B47" s="61">
        <v>3</v>
      </c>
      <c r="C47" s="76" t="s">
        <v>96</v>
      </c>
      <c r="D47" s="77" t="str">
        <f>VLOOKUP(C47,'Personal File'!$A$11:$C$16,3,FALSE)</f>
        <v>+1</v>
      </c>
      <c r="E47" s="78" t="str">
        <f t="shared" si="0"/>
        <v>Wis (+1)</v>
      </c>
      <c r="F47" s="310">
        <v>0</v>
      </c>
      <c r="G47" s="329">
        <f t="shared" si="4"/>
        <v>4</v>
      </c>
      <c r="H47" s="106">
        <f t="shared" ca="1" si="2"/>
        <v>14</v>
      </c>
      <c r="I47" s="62">
        <f t="shared" ca="1" si="6"/>
        <v>18</v>
      </c>
      <c r="J47" s="63"/>
    </row>
    <row r="48" spans="1:10" ht="16.8" x14ac:dyDescent="0.3">
      <c r="A48" s="75" t="s">
        <v>67</v>
      </c>
      <c r="B48" s="61">
        <v>5</v>
      </c>
      <c r="C48" s="76" t="s">
        <v>96</v>
      </c>
      <c r="D48" s="77" t="str">
        <f>VLOOKUP(C48,'Personal File'!$A$11:$C$16,3,FALSE)</f>
        <v>+1</v>
      </c>
      <c r="E48" s="78" t="str">
        <f t="shared" si="0"/>
        <v>Wis (+1)</v>
      </c>
      <c r="F48" s="310">
        <f>1+2</f>
        <v>3</v>
      </c>
      <c r="G48" s="329">
        <f t="shared" si="4"/>
        <v>9</v>
      </c>
      <c r="H48" s="106">
        <f t="shared" ca="1" si="2"/>
        <v>1</v>
      </c>
      <c r="I48" s="62">
        <f t="shared" ca="1" si="6"/>
        <v>10</v>
      </c>
      <c r="J48" s="192" t="s">
        <v>213</v>
      </c>
    </row>
    <row r="49" spans="1:10" ht="16.8" x14ac:dyDescent="0.3">
      <c r="A49" s="341" t="s">
        <v>13</v>
      </c>
      <c r="B49" s="61">
        <v>1</v>
      </c>
      <c r="C49" s="342" t="s">
        <v>99</v>
      </c>
      <c r="D49" s="343" t="str">
        <f>VLOOKUP(C49,'Personal File'!$A$11:$C$16,3,FALSE)</f>
        <v>+2</v>
      </c>
      <c r="E49" s="344" t="str">
        <f t="shared" si="0"/>
        <v>Str (+2)</v>
      </c>
      <c r="F49" s="310">
        <v>0</v>
      </c>
      <c r="G49" s="329">
        <f t="shared" si="4"/>
        <v>3</v>
      </c>
      <c r="H49" s="106">
        <f t="shared" ca="1" si="2"/>
        <v>5</v>
      </c>
      <c r="I49" s="62">
        <f t="shared" ca="1" si="6"/>
        <v>8</v>
      </c>
      <c r="J49" s="63"/>
    </row>
    <row r="50" spans="1:10" ht="16.8" x14ac:dyDescent="0.3">
      <c r="A50" s="71" t="s">
        <v>45</v>
      </c>
      <c r="B50" s="61">
        <v>5</v>
      </c>
      <c r="C50" s="72" t="s">
        <v>95</v>
      </c>
      <c r="D50" s="73" t="str">
        <f>VLOOKUP(C50,'Personal File'!$A$11:$C$16,3,FALSE)</f>
        <v>+2</v>
      </c>
      <c r="E50" s="74" t="str">
        <f t="shared" si="0"/>
        <v>Dex (+2)</v>
      </c>
      <c r="F50" s="310">
        <f>SUM(Martial!$D$13:$D$14)+2</f>
        <v>2</v>
      </c>
      <c r="G50" s="329">
        <f t="shared" si="4"/>
        <v>9</v>
      </c>
      <c r="H50" s="106">
        <f t="shared" ca="1" si="2"/>
        <v>9</v>
      </c>
      <c r="I50" s="62">
        <f t="shared" ca="1" si="6"/>
        <v>18</v>
      </c>
      <c r="J50" s="63"/>
    </row>
    <row r="51" spans="1:10" ht="16.8" x14ac:dyDescent="0.3">
      <c r="A51" s="87" t="s">
        <v>46</v>
      </c>
      <c r="B51" s="41">
        <v>0</v>
      </c>
      <c r="C51" s="88" t="s">
        <v>98</v>
      </c>
      <c r="D51" s="89">
        <f>VLOOKUP(C51,'Personal File'!$A$11:$C$16,3,FALSE)</f>
        <v>-2</v>
      </c>
      <c r="E51" s="90" t="str">
        <f t="shared" si="0"/>
        <v>Cha (-2)</v>
      </c>
      <c r="F51" s="309">
        <v>0</v>
      </c>
      <c r="G51" s="328">
        <f t="shared" si="4"/>
        <v>-2</v>
      </c>
      <c r="H51" s="106">
        <f t="shared" ca="1" si="2"/>
        <v>20</v>
      </c>
      <c r="I51" s="42">
        <f t="shared" ca="1" si="6"/>
        <v>18</v>
      </c>
      <c r="J51" s="43"/>
    </row>
    <row r="52" spans="1:10" ht="17.399999999999999" thickBot="1" x14ac:dyDescent="0.35">
      <c r="A52" s="345" t="s">
        <v>47</v>
      </c>
      <c r="B52" s="346">
        <v>2</v>
      </c>
      <c r="C52" s="347" t="s">
        <v>95</v>
      </c>
      <c r="D52" s="348" t="str">
        <f>VLOOKUP(C52,'Personal File'!$A$11:$C$16,3,FALSE)</f>
        <v>+2</v>
      </c>
      <c r="E52" s="349" t="str">
        <f t="shared" si="0"/>
        <v>Dex (+2)</v>
      </c>
      <c r="F52" s="350">
        <v>2</v>
      </c>
      <c r="G52" s="351">
        <f t="shared" si="4"/>
        <v>6</v>
      </c>
      <c r="H52" s="125">
        <f t="shared" ca="1" si="2"/>
        <v>13</v>
      </c>
      <c r="I52" s="352">
        <f t="shared" ca="1" si="6"/>
        <v>19</v>
      </c>
      <c r="J52" s="353"/>
    </row>
    <row r="53" spans="1:10" ht="16.2" thickTop="1" x14ac:dyDescent="0.3">
      <c r="B53" s="40">
        <f>SUM(B6:B52)</f>
        <v>58</v>
      </c>
      <c r="E53" s="194">
        <f>SUM(E54:E61)</f>
        <v>58</v>
      </c>
    </row>
    <row r="54" spans="1:10" x14ac:dyDescent="0.3">
      <c r="B54" s="40"/>
      <c r="E54" s="193">
        <f>4*(8+'Personal File'!$C$14)</f>
        <v>40</v>
      </c>
      <c r="F54" s="99" t="s">
        <v>125</v>
      </c>
    </row>
    <row r="55" spans="1:10" x14ac:dyDescent="0.3">
      <c r="E55" s="193">
        <f>6+'Personal File'!$C$14</f>
        <v>8</v>
      </c>
      <c r="F55" s="99" t="s">
        <v>188</v>
      </c>
    </row>
    <row r="56" spans="1:10" x14ac:dyDescent="0.3">
      <c r="E56" s="193">
        <f>8+'Personal File'!$C$14</f>
        <v>10</v>
      </c>
      <c r="F56" s="99" t="s">
        <v>203</v>
      </c>
    </row>
    <row r="57" spans="1:10" x14ac:dyDescent="0.3">
      <c r="E57" s="195"/>
      <c r="F57" s="99"/>
    </row>
    <row r="58" spans="1:10" x14ac:dyDescent="0.3">
      <c r="E58" s="193"/>
      <c r="F58" s="99"/>
    </row>
    <row r="59" spans="1:10" x14ac:dyDescent="0.3">
      <c r="E59" s="193"/>
      <c r="F59" s="99"/>
    </row>
    <row r="60" spans="1:10" x14ac:dyDescent="0.3">
      <c r="E60" s="193"/>
      <c r="F60" s="99"/>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5"/>
  <sheetViews>
    <sheetView showGridLines="0" workbookViewId="0"/>
  </sheetViews>
  <sheetFormatPr defaultColWidth="8.69921875" defaultRowHeight="16.8" x14ac:dyDescent="0.3"/>
  <cols>
    <col min="1" max="1" width="33" style="85" bestFit="1" customWidth="1"/>
    <col min="2" max="2" width="2.19921875" style="86" customWidth="1"/>
    <col min="3" max="3" width="31.796875" style="37" bestFit="1" customWidth="1"/>
    <col min="4" max="4" width="2.19921875" style="37" customWidth="1"/>
    <col min="5" max="5" width="22.09765625" style="37" bestFit="1" customWidth="1"/>
    <col min="6" max="16384" width="8.69921875" style="83"/>
  </cols>
  <sheetData>
    <row r="1" spans="1:5" s="15" customFormat="1" ht="22.2" thickTop="1" thickBot="1" x14ac:dyDescent="0.45">
      <c r="A1" s="230" t="s">
        <v>70</v>
      </c>
      <c r="C1" s="311" t="s">
        <v>68</v>
      </c>
      <c r="D1" s="37"/>
      <c r="E1" s="315" t="s">
        <v>57</v>
      </c>
    </row>
    <row r="2" spans="1:5" x14ac:dyDescent="0.3">
      <c r="A2" s="101" t="s">
        <v>141</v>
      </c>
      <c r="B2" s="83"/>
      <c r="C2" s="312" t="s">
        <v>192</v>
      </c>
      <c r="E2" s="316" t="s">
        <v>127</v>
      </c>
    </row>
    <row r="3" spans="1:5" ht="17.399999999999999" thickBot="1" x14ac:dyDescent="0.35">
      <c r="A3" s="327" t="s">
        <v>142</v>
      </c>
      <c r="B3" s="83"/>
      <c r="C3" s="313" t="s">
        <v>80</v>
      </c>
      <c r="E3" s="317" t="s">
        <v>133</v>
      </c>
    </row>
    <row r="4" spans="1:5" ht="18" thickTop="1" thickBot="1" x14ac:dyDescent="0.35">
      <c r="A4" s="327" t="s">
        <v>181</v>
      </c>
      <c r="B4" s="83"/>
      <c r="C4" s="314" t="s">
        <v>193</v>
      </c>
    </row>
    <row r="5" spans="1:5" ht="18" thickTop="1" thickBot="1" x14ac:dyDescent="0.35">
      <c r="A5" s="364" t="s">
        <v>204</v>
      </c>
      <c r="B5" s="83"/>
    </row>
    <row r="6" spans="1:5" ht="22.2" thickTop="1" thickBot="1" x14ac:dyDescent="0.35">
      <c r="B6" s="83"/>
      <c r="C6" s="320" t="s">
        <v>134</v>
      </c>
    </row>
    <row r="7" spans="1:5" ht="22.2" thickTop="1" thickBot="1" x14ac:dyDescent="0.45">
      <c r="A7" s="230" t="s">
        <v>183</v>
      </c>
      <c r="B7" s="83"/>
      <c r="C7" s="321" t="s">
        <v>135</v>
      </c>
    </row>
    <row r="8" spans="1:5" ht="17.399999999999999" thickBot="1" x14ac:dyDescent="0.35">
      <c r="A8" s="84" t="s">
        <v>126</v>
      </c>
      <c r="B8" s="83"/>
      <c r="C8" s="322"/>
    </row>
    <row r="9" spans="1:5" ht="22.2" thickTop="1" thickBot="1" x14ac:dyDescent="0.35">
      <c r="A9" s="294" t="s">
        <v>71</v>
      </c>
      <c r="B9" s="83"/>
      <c r="C9" s="324" t="s">
        <v>136</v>
      </c>
    </row>
    <row r="10" spans="1:5" ht="18" thickTop="1" thickBot="1" x14ac:dyDescent="0.35">
      <c r="B10" s="83"/>
      <c r="C10" s="325" t="s">
        <v>137</v>
      </c>
    </row>
    <row r="11" spans="1:5" ht="22.2" thickTop="1" thickBot="1" x14ac:dyDescent="0.45">
      <c r="A11" s="354" t="s">
        <v>184</v>
      </c>
      <c r="B11" s="83"/>
      <c r="C11" s="326" t="s">
        <v>138</v>
      </c>
    </row>
    <row r="12" spans="1:5" ht="17.399999999999999" thickBot="1" x14ac:dyDescent="0.35">
      <c r="A12" s="84" t="s">
        <v>186</v>
      </c>
    </row>
    <row r="13" spans="1:5" ht="18" thickTop="1" thickBot="1" x14ac:dyDescent="0.35">
      <c r="A13" s="355" t="s">
        <v>187</v>
      </c>
      <c r="C13" s="366" t="s">
        <v>214</v>
      </c>
    </row>
    <row r="14" spans="1:5" ht="17.399999999999999" thickBot="1" x14ac:dyDescent="0.35">
      <c r="A14" s="294" t="s">
        <v>185</v>
      </c>
      <c r="C14" s="367" t="s">
        <v>215</v>
      </c>
    </row>
    <row r="15" spans="1:5" ht="18" thickTop="1" thickBot="1" x14ac:dyDescent="0.35">
      <c r="C15" s="367" t="s">
        <v>216</v>
      </c>
    </row>
    <row r="16" spans="1:5" ht="24" thickTop="1" thickBot="1" x14ac:dyDescent="0.35">
      <c r="A16" s="363" t="s">
        <v>201</v>
      </c>
      <c r="C16" s="368" t="s">
        <v>217</v>
      </c>
    </row>
    <row r="17" spans="1:3" x14ac:dyDescent="0.3">
      <c r="A17" s="356" t="s">
        <v>202</v>
      </c>
      <c r="C17" s="313" t="s">
        <v>221</v>
      </c>
    </row>
    <row r="18" spans="1:3" x14ac:dyDescent="0.3">
      <c r="A18" s="357" t="s">
        <v>71</v>
      </c>
      <c r="C18" s="368" t="s">
        <v>218</v>
      </c>
    </row>
    <row r="19" spans="1:3" x14ac:dyDescent="0.3">
      <c r="A19" s="358" t="s">
        <v>195</v>
      </c>
      <c r="C19" s="313" t="s">
        <v>219</v>
      </c>
    </row>
    <row r="20" spans="1:3" ht="17.399999999999999" thickBot="1" x14ac:dyDescent="0.35">
      <c r="A20" s="358" t="s">
        <v>196</v>
      </c>
      <c r="C20" s="314" t="s">
        <v>220</v>
      </c>
    </row>
    <row r="21" spans="1:3" ht="17.399999999999999" thickTop="1" x14ac:dyDescent="0.3">
      <c r="A21" s="359" t="s">
        <v>197</v>
      </c>
    </row>
    <row r="22" spans="1:3" x14ac:dyDescent="0.3">
      <c r="A22" s="360" t="s">
        <v>198</v>
      </c>
    </row>
    <row r="23" spans="1:3" x14ac:dyDescent="0.3">
      <c r="A23" s="361" t="s">
        <v>199</v>
      </c>
    </row>
    <row r="24" spans="1:3" ht="17.399999999999999" thickBot="1" x14ac:dyDescent="0.35">
      <c r="A24" s="362" t="s">
        <v>200</v>
      </c>
    </row>
    <row r="25" spans="1:3" ht="17.399999999999999" thickTop="1" x14ac:dyDescent="0.3"/>
  </sheetData>
  <sortState xmlns:xlrd2="http://schemas.microsoft.com/office/spreadsheetml/2017/richdata2" ref="C1:E11">
    <sortCondition ref="C1:C11"/>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5"/>
  <sheetViews>
    <sheetView showGridLines="0" workbookViewId="0"/>
  </sheetViews>
  <sheetFormatPr defaultColWidth="13" defaultRowHeight="15.6" x14ac:dyDescent="0.3"/>
  <cols>
    <col min="1" max="1" width="27.8984375" style="153" bestFit="1" customWidth="1"/>
    <col min="2" max="2" width="8.5" style="153" bestFit="1" customWidth="1"/>
    <col min="3" max="3" width="4.3984375" style="153" bestFit="1" customWidth="1"/>
    <col min="4" max="4" width="6.19921875" style="153" bestFit="1" customWidth="1"/>
    <col min="5" max="5" width="8.5" style="153" bestFit="1" customWidth="1"/>
    <col min="6" max="6" width="8.8984375" style="153" bestFit="1" customWidth="1"/>
    <col min="7" max="7" width="4.3984375" style="153" bestFit="1" customWidth="1"/>
    <col min="8" max="8" width="5.59765625" style="153" bestFit="1" customWidth="1"/>
    <col min="9" max="9" width="5.5" style="153" bestFit="1" customWidth="1"/>
    <col min="10" max="10" width="6.19921875" style="153" bestFit="1" customWidth="1"/>
    <col min="11" max="11" width="22" style="153" bestFit="1" customWidth="1"/>
    <col min="12" max="12" width="3" style="146" customWidth="1"/>
    <col min="13" max="13" width="5.796875" style="146" bestFit="1" customWidth="1"/>
    <col min="14" max="14" width="8.8984375" style="146" bestFit="1" customWidth="1"/>
    <col min="15" max="16384" width="13" style="146"/>
  </cols>
  <sheetData>
    <row r="1" spans="1:14" ht="23.4" thickBot="1" x14ac:dyDescent="0.35">
      <c r="A1" s="145" t="s">
        <v>14</v>
      </c>
      <c r="B1" s="145"/>
      <c r="C1" s="145"/>
      <c r="D1" s="145"/>
      <c r="E1" s="145"/>
      <c r="F1" s="145"/>
      <c r="G1" s="145"/>
      <c r="H1" s="145"/>
      <c r="I1" s="145"/>
      <c r="J1" s="145"/>
      <c r="K1" s="145"/>
    </row>
    <row r="2" spans="1:14" ht="16.8" thickTop="1" thickBot="1" x14ac:dyDescent="0.35">
      <c r="A2" s="147" t="s">
        <v>0</v>
      </c>
      <c r="B2" s="148" t="s">
        <v>1</v>
      </c>
      <c r="C2" s="148" t="s">
        <v>17</v>
      </c>
      <c r="D2" s="148" t="s">
        <v>18</v>
      </c>
      <c r="E2" s="149" t="s">
        <v>51</v>
      </c>
      <c r="F2" s="148" t="s">
        <v>15</v>
      </c>
      <c r="G2" s="148" t="s">
        <v>19</v>
      </c>
      <c r="H2" s="150" t="s">
        <v>69</v>
      </c>
      <c r="I2" s="151" t="s">
        <v>73</v>
      </c>
      <c r="J2" s="150" t="s">
        <v>62</v>
      </c>
      <c r="K2" s="152" t="s">
        <v>61</v>
      </c>
      <c r="M2" s="197" t="s">
        <v>86</v>
      </c>
    </row>
    <row r="3" spans="1:14" x14ac:dyDescent="0.3">
      <c r="A3" s="244" t="s">
        <v>206</v>
      </c>
      <c r="B3" s="245" t="s">
        <v>79</v>
      </c>
      <c r="C3" s="246">
        <f>'Personal File'!$C$11-1</f>
        <v>1</v>
      </c>
      <c r="D3" s="247" t="s">
        <v>207</v>
      </c>
      <c r="E3" s="247" t="s">
        <v>161</v>
      </c>
      <c r="F3" s="248" t="s">
        <v>162</v>
      </c>
      <c r="G3" s="300">
        <v>2</v>
      </c>
      <c r="H3" s="249" t="str">
        <f>CONCATENATE("+",'Personal File'!$B$9+'Personal File'!$C$11+D3)</f>
        <v>+4</v>
      </c>
      <c r="I3" s="250">
        <f t="shared" ref="I3" ca="1" si="0">RANDBETWEEN(1,20)</f>
        <v>11</v>
      </c>
      <c r="J3" s="251">
        <f t="shared" ref="J3" ca="1" si="1">I3+H3</f>
        <v>15</v>
      </c>
      <c r="K3" s="252" t="s">
        <v>160</v>
      </c>
      <c r="M3" s="198">
        <v>410</v>
      </c>
      <c r="N3" s="295"/>
    </row>
    <row r="4" spans="1:14" x14ac:dyDescent="0.3">
      <c r="A4" s="253" t="s">
        <v>163</v>
      </c>
      <c r="B4" s="228" t="s">
        <v>79</v>
      </c>
      <c r="C4" s="254" t="str">
        <f>'Personal File'!$C$11</f>
        <v>+2</v>
      </c>
      <c r="D4" s="255">
        <v>0</v>
      </c>
      <c r="E4" s="255" t="s">
        <v>77</v>
      </c>
      <c r="F4" s="256" t="s">
        <v>78</v>
      </c>
      <c r="G4" s="285">
        <v>4</v>
      </c>
      <c r="H4" s="257" t="str">
        <f>CONCATENATE("+",'Personal File'!$B$9+'Personal File'!$C$11+D4)</f>
        <v>+3</v>
      </c>
      <c r="I4" s="258">
        <f t="shared" ref="I4:I5" ca="1" si="2">RANDBETWEEN(1,20)</f>
        <v>8</v>
      </c>
      <c r="J4" s="259">
        <f t="shared" ref="J4" ca="1" si="3">I4+H4</f>
        <v>11</v>
      </c>
      <c r="K4" s="242" t="s">
        <v>160</v>
      </c>
      <c r="M4" s="229">
        <v>5</v>
      </c>
    </row>
    <row r="5" spans="1:14" ht="16.2" thickBot="1" x14ac:dyDescent="0.35">
      <c r="A5" s="270" t="s">
        <v>164</v>
      </c>
      <c r="B5" s="260" t="s">
        <v>119</v>
      </c>
      <c r="C5" s="340" t="str">
        <f>'Personal File'!$C$11</f>
        <v>+2</v>
      </c>
      <c r="D5" s="261" t="s">
        <v>49</v>
      </c>
      <c r="E5" s="261" t="s">
        <v>74</v>
      </c>
      <c r="F5" s="262" t="s">
        <v>165</v>
      </c>
      <c r="G5" s="335">
        <v>1</v>
      </c>
      <c r="H5" s="263" t="str">
        <f>CONCATENATE("+",'Personal File'!$B$9+'Personal File'!$C$11+D5)</f>
        <v>+3</v>
      </c>
      <c r="I5" s="159">
        <f t="shared" ca="1" si="2"/>
        <v>16</v>
      </c>
      <c r="J5" s="264">
        <f t="shared" ref="J5" ca="1" si="4">I5+H5</f>
        <v>19</v>
      </c>
      <c r="K5" s="339" t="s">
        <v>160</v>
      </c>
      <c r="M5" s="337">
        <v>4</v>
      </c>
    </row>
    <row r="6" spans="1:14" ht="6" customHeight="1" thickTop="1" thickBot="1" x14ac:dyDescent="0.35"/>
    <row r="7" spans="1:14" ht="16.8" thickTop="1" thickBot="1" x14ac:dyDescent="0.35">
      <c r="A7" s="147" t="s">
        <v>3</v>
      </c>
      <c r="B7" s="148" t="s">
        <v>4</v>
      </c>
      <c r="C7" s="148" t="s">
        <v>17</v>
      </c>
      <c r="D7" s="148" t="s">
        <v>18</v>
      </c>
      <c r="E7" s="149" t="s">
        <v>51</v>
      </c>
      <c r="F7" s="148" t="s">
        <v>5</v>
      </c>
      <c r="G7" s="148" t="s">
        <v>19</v>
      </c>
      <c r="H7" s="150" t="s">
        <v>69</v>
      </c>
      <c r="I7" s="151" t="s">
        <v>73</v>
      </c>
      <c r="J7" s="150" t="s">
        <v>62</v>
      </c>
      <c r="K7" s="152" t="s">
        <v>61</v>
      </c>
      <c r="M7" s="197" t="s">
        <v>86</v>
      </c>
    </row>
    <row r="8" spans="1:14" x14ac:dyDescent="0.3">
      <c r="A8" s="253" t="s">
        <v>208</v>
      </c>
      <c r="B8" s="228" t="s">
        <v>79</v>
      </c>
      <c r="C8" s="228" t="str">
        <f>'Personal File'!C11</f>
        <v>+2</v>
      </c>
      <c r="D8" s="271" t="s">
        <v>207</v>
      </c>
      <c r="E8" s="228" t="s">
        <v>166</v>
      </c>
      <c r="F8" s="271" t="s">
        <v>167</v>
      </c>
      <c r="G8" s="285">
        <v>2</v>
      </c>
      <c r="H8" s="286" t="str">
        <f>CONCATENATE("+",'Personal File'!$B$9+'Personal File'!$C$12+D8)</f>
        <v>+4</v>
      </c>
      <c r="I8" s="258">
        <f ca="1">RANDBETWEEN(1,20)</f>
        <v>4</v>
      </c>
      <c r="J8" s="259">
        <f ca="1">I8+H8</f>
        <v>8</v>
      </c>
      <c r="K8" s="252" t="s">
        <v>212</v>
      </c>
      <c r="M8" s="229">
        <f>225+300</f>
        <v>525</v>
      </c>
      <c r="N8" s="295"/>
    </row>
    <row r="9" spans="1:14" x14ac:dyDescent="0.3">
      <c r="A9" s="237"/>
      <c r="B9" s="238"/>
      <c r="C9" s="318"/>
      <c r="D9" s="318"/>
      <c r="E9" s="238"/>
      <c r="F9" s="318"/>
      <c r="G9" s="336"/>
      <c r="H9" s="239" t="str">
        <f>CONCATENATE("+",'Personal File'!$B$9+'Personal File'!$C$12+D9)</f>
        <v>+3</v>
      </c>
      <c r="I9" s="240">
        <f t="shared" ref="I9" ca="1" si="5">RANDBETWEEN(1,20)</f>
        <v>7</v>
      </c>
      <c r="J9" s="241">
        <f t="shared" ref="J9" ca="1" si="6">I9+H9</f>
        <v>10</v>
      </c>
      <c r="K9" s="319"/>
      <c r="M9" s="229"/>
    </row>
    <row r="10" spans="1:14" ht="16.2" thickBot="1" x14ac:dyDescent="0.35">
      <c r="A10" s="154" t="s">
        <v>81</v>
      </c>
      <c r="B10" s="155" t="s">
        <v>84</v>
      </c>
      <c r="C10" s="156" t="str">
        <f>'Personal File'!$C$11</f>
        <v>+2</v>
      </c>
      <c r="D10" s="156" t="s">
        <v>49</v>
      </c>
      <c r="E10" s="155" t="s">
        <v>84</v>
      </c>
      <c r="F10" s="156" t="s">
        <v>84</v>
      </c>
      <c r="G10" s="157" t="s">
        <v>84</v>
      </c>
      <c r="H10" s="158" t="str">
        <f>CONCATENATE("+",'Personal File'!$B$9+'Personal File'!$C$12+D10)</f>
        <v>+3</v>
      </c>
      <c r="I10" s="159">
        <f ca="1">RANDBETWEEN(1,20)</f>
        <v>5</v>
      </c>
      <c r="J10" s="160">
        <f ca="1">I10+H10</f>
        <v>8</v>
      </c>
      <c r="K10" s="161"/>
      <c r="M10" s="338" t="s">
        <v>84</v>
      </c>
    </row>
    <row r="11" spans="1:14" ht="6" customHeight="1" thickTop="1" thickBot="1" x14ac:dyDescent="0.35">
      <c r="D11" s="162"/>
      <c r="E11" s="162"/>
      <c r="G11" s="163"/>
      <c r="H11" s="163"/>
      <c r="I11" s="163"/>
      <c r="J11" s="163"/>
    </row>
    <row r="12" spans="1:14" ht="16.8" thickTop="1" thickBot="1" x14ac:dyDescent="0.35">
      <c r="A12" s="147" t="s">
        <v>55</v>
      </c>
      <c r="B12" s="148" t="s">
        <v>8</v>
      </c>
      <c r="C12" s="148" t="s">
        <v>22</v>
      </c>
      <c r="D12" s="148" t="s">
        <v>62</v>
      </c>
      <c r="E12" s="148" t="s">
        <v>63</v>
      </c>
      <c r="F12" s="148" t="s">
        <v>64</v>
      </c>
      <c r="G12" s="148" t="s">
        <v>19</v>
      </c>
      <c r="H12" s="164" t="s">
        <v>61</v>
      </c>
      <c r="I12" s="165"/>
      <c r="J12" s="165"/>
      <c r="K12" s="166"/>
      <c r="M12" s="197" t="s">
        <v>86</v>
      </c>
    </row>
    <row r="13" spans="1:14" x14ac:dyDescent="0.3">
      <c r="A13" s="196" t="s">
        <v>205</v>
      </c>
      <c r="B13" s="330">
        <v>4</v>
      </c>
      <c r="C13" s="331">
        <v>6</v>
      </c>
      <c r="D13" s="330">
        <v>0</v>
      </c>
      <c r="E13" s="332">
        <v>0.1</v>
      </c>
      <c r="F13" s="333" t="s">
        <v>210</v>
      </c>
      <c r="G13" s="334">
        <v>12.5</v>
      </c>
      <c r="H13" s="168"/>
      <c r="I13" s="169"/>
      <c r="J13" s="169"/>
      <c r="K13" s="170"/>
      <c r="M13" s="232">
        <v>1100</v>
      </c>
      <c r="N13" s="295"/>
    </row>
    <row r="14" spans="1:14" ht="16.2" thickBot="1" x14ac:dyDescent="0.35">
      <c r="A14" s="132" t="s">
        <v>189</v>
      </c>
      <c r="B14" s="133">
        <v>1</v>
      </c>
      <c r="C14" s="201">
        <v>0</v>
      </c>
      <c r="D14" s="133">
        <v>0</v>
      </c>
      <c r="E14" s="202">
        <v>0.05</v>
      </c>
      <c r="F14" s="133" t="s">
        <v>170</v>
      </c>
      <c r="G14" s="299">
        <v>5</v>
      </c>
      <c r="H14" s="225"/>
      <c r="I14" s="171"/>
      <c r="J14" s="171"/>
      <c r="K14" s="172"/>
      <c r="M14" s="200">
        <v>165</v>
      </c>
      <c r="N14" s="295"/>
    </row>
    <row r="15" spans="1:14" ht="6.75" customHeight="1" thickTop="1" thickBot="1" x14ac:dyDescent="0.35"/>
    <row r="16" spans="1:14" ht="16.8" thickTop="1" thickBot="1" x14ac:dyDescent="0.35">
      <c r="A16" s="173"/>
      <c r="B16" s="163"/>
      <c r="D16" s="174" t="s">
        <v>56</v>
      </c>
      <c r="E16" s="175"/>
      <c r="F16" s="164" t="s">
        <v>2</v>
      </c>
      <c r="G16" s="148" t="s">
        <v>19</v>
      </c>
      <c r="H16" s="150" t="s">
        <v>69</v>
      </c>
      <c r="I16" s="164" t="s">
        <v>61</v>
      </c>
      <c r="J16" s="165"/>
      <c r="K16" s="166"/>
      <c r="M16" s="197" t="s">
        <v>86</v>
      </c>
    </row>
    <row r="17" spans="1:13" x14ac:dyDescent="0.3">
      <c r="A17" s="173"/>
      <c r="B17" s="163"/>
      <c r="D17" s="176" t="s">
        <v>168</v>
      </c>
      <c r="E17" s="177"/>
      <c r="F17" s="178">
        <v>20</v>
      </c>
      <c r="G17" s="167">
        <f t="shared" ref="G17:G18" si="7">F17/20</f>
        <v>1</v>
      </c>
      <c r="H17" s="179" t="s">
        <v>49</v>
      </c>
      <c r="I17" s="180"/>
      <c r="J17" s="181"/>
      <c r="K17" s="182"/>
      <c r="M17" s="199">
        <f>F17/10</f>
        <v>2</v>
      </c>
    </row>
    <row r="18" spans="1:13" ht="16.2" thickBot="1" x14ac:dyDescent="0.35">
      <c r="A18" s="173"/>
      <c r="B18" s="163"/>
      <c r="D18" s="183" t="s">
        <v>211</v>
      </c>
      <c r="E18" s="184"/>
      <c r="F18" s="185">
        <v>20</v>
      </c>
      <c r="G18" s="186">
        <f t="shared" si="7"/>
        <v>1</v>
      </c>
      <c r="H18" s="187" t="s">
        <v>49</v>
      </c>
      <c r="I18" s="188"/>
      <c r="J18" s="189"/>
      <c r="K18" s="190"/>
      <c r="M18" s="200">
        <f>F18*2</f>
        <v>40</v>
      </c>
    </row>
    <row r="19" spans="1:13" ht="6" customHeight="1" thickTop="1" thickBot="1" x14ac:dyDescent="0.35"/>
    <row r="20" spans="1:13" ht="16.8" thickTop="1" thickBot="1" x14ac:dyDescent="0.35">
      <c r="D20" s="174" t="s">
        <v>88</v>
      </c>
      <c r="E20" s="165"/>
      <c r="F20" s="165"/>
      <c r="G20" s="165"/>
      <c r="H20" s="218" t="s">
        <v>2</v>
      </c>
      <c r="I20" s="218" t="s">
        <v>89</v>
      </c>
      <c r="J20" s="218" t="s">
        <v>90</v>
      </c>
      <c r="K20" s="166" t="s">
        <v>93</v>
      </c>
      <c r="L20" s="219"/>
      <c r="M20" s="197" t="s">
        <v>86</v>
      </c>
    </row>
    <row r="21" spans="1:13" x14ac:dyDescent="0.3">
      <c r="D21" s="287" t="s">
        <v>209</v>
      </c>
      <c r="E21" s="288"/>
      <c r="F21" s="288"/>
      <c r="G21" s="288"/>
      <c r="H21" s="238">
        <v>1</v>
      </c>
      <c r="I21" s="238">
        <v>1</v>
      </c>
      <c r="J21" s="238">
        <v>1</v>
      </c>
      <c r="K21" s="289"/>
      <c r="L21" s="219"/>
      <c r="M21" s="199">
        <f>50*H21*I21*J21</f>
        <v>50</v>
      </c>
    </row>
    <row r="22" spans="1:13" x14ac:dyDescent="0.3">
      <c r="D22" s="220"/>
      <c r="E22" s="221"/>
      <c r="F22" s="221"/>
      <c r="G22" s="221"/>
      <c r="H22" s="131"/>
      <c r="I22" s="131"/>
      <c r="J22" s="131"/>
      <c r="K22" s="222"/>
      <c r="L22" s="219"/>
      <c r="M22" s="199"/>
    </row>
    <row r="23" spans="1:13" x14ac:dyDescent="0.3">
      <c r="C23" s="296"/>
      <c r="D23" s="277"/>
      <c r="E23" s="278"/>
      <c r="F23" s="278"/>
      <c r="G23" s="278"/>
      <c r="H23" s="279"/>
      <c r="I23" s="279"/>
      <c r="J23" s="279"/>
      <c r="K23" s="280"/>
      <c r="L23" s="219"/>
      <c r="M23" s="243"/>
    </row>
    <row r="24" spans="1:13" ht="16.2" thickBot="1" x14ac:dyDescent="0.35">
      <c r="D24" s="223"/>
      <c r="E24" s="224"/>
      <c r="F24" s="224"/>
      <c r="G24" s="224"/>
      <c r="H24" s="133"/>
      <c r="I24" s="133"/>
      <c r="J24" s="133"/>
      <c r="K24" s="281"/>
      <c r="L24" s="219"/>
      <c r="M24" s="200"/>
    </row>
    <row r="25" spans="1:13" ht="16.2" thickTop="1" x14ac:dyDescent="0.3"/>
  </sheetData>
  <phoneticPr fontId="0" type="noConversion"/>
  <conditionalFormatting sqref="I3">
    <cfRule type="cellIs" dxfId="1" priority="1" operator="greaterThanOrEqual">
      <formula>17</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9"/>
  <sheetViews>
    <sheetView showGridLines="0" workbookViewId="0"/>
  </sheetViews>
  <sheetFormatPr defaultColWidth="13" defaultRowHeight="15.6" x14ac:dyDescent="0.3"/>
  <cols>
    <col min="1" max="1" width="23.8984375" style="23" bestFit="1" customWidth="1"/>
    <col min="2" max="2" width="4.5" style="23" bestFit="1" customWidth="1"/>
    <col min="3" max="3" width="5.59765625" style="24" bestFit="1" customWidth="1"/>
    <col min="4" max="5" width="26.59765625" style="1" customWidth="1"/>
    <col min="6" max="6" width="2.8984375" style="23" customWidth="1"/>
    <col min="7" max="7" width="8.296875" style="1" bestFit="1" customWidth="1"/>
    <col min="8" max="16384" width="13" style="1"/>
  </cols>
  <sheetData>
    <row r="1" spans="1:7" ht="23.4" thickBot="1" x14ac:dyDescent="0.45">
      <c r="A1" s="22" t="s">
        <v>58</v>
      </c>
      <c r="B1" s="22"/>
      <c r="C1" s="46"/>
      <c r="D1" s="22"/>
      <c r="E1" s="22"/>
    </row>
    <row r="2" spans="1:7" s="23" customFormat="1" ht="16.8" thickTop="1" thickBot="1" x14ac:dyDescent="0.35">
      <c r="A2" s="47" t="s">
        <v>59</v>
      </c>
      <c r="B2" s="142" t="s">
        <v>2</v>
      </c>
      <c r="C2" s="48" t="s">
        <v>19</v>
      </c>
      <c r="D2" s="49" t="s">
        <v>60</v>
      </c>
      <c r="E2" s="50" t="s">
        <v>61</v>
      </c>
      <c r="G2" s="212" t="s">
        <v>86</v>
      </c>
    </row>
    <row r="3" spans="1:7" x14ac:dyDescent="0.3">
      <c r="A3" s="126" t="s">
        <v>171</v>
      </c>
      <c r="B3" s="140">
        <v>1</v>
      </c>
      <c r="C3" s="58" t="s">
        <v>91</v>
      </c>
      <c r="D3" s="127"/>
      <c r="E3" s="57"/>
      <c r="G3" s="213" t="s">
        <v>84</v>
      </c>
    </row>
    <row r="4" spans="1:7" x14ac:dyDescent="0.3">
      <c r="A4" s="100" t="s">
        <v>172</v>
      </c>
      <c r="B4" s="140">
        <v>1</v>
      </c>
      <c r="C4" s="64">
        <v>3</v>
      </c>
      <c r="D4" s="128"/>
      <c r="E4" s="52"/>
      <c r="G4" s="214">
        <v>1</v>
      </c>
    </row>
    <row r="5" spans="1:7" x14ac:dyDescent="0.3">
      <c r="A5" s="206" t="s">
        <v>173</v>
      </c>
      <c r="B5" s="207">
        <v>1</v>
      </c>
      <c r="C5" s="208">
        <v>0</v>
      </c>
      <c r="D5" s="236"/>
      <c r="E5" s="233"/>
      <c r="G5" s="234">
        <v>1</v>
      </c>
    </row>
    <row r="6" spans="1:7" x14ac:dyDescent="0.3">
      <c r="A6" s="206" t="s">
        <v>190</v>
      </c>
      <c r="B6" s="207">
        <v>2</v>
      </c>
      <c r="C6" s="208">
        <v>0</v>
      </c>
      <c r="D6" s="235"/>
      <c r="E6" s="233"/>
      <c r="G6" s="234">
        <f>B6*50</f>
        <v>100</v>
      </c>
    </row>
    <row r="7" spans="1:7" ht="16.2" thickBot="1" x14ac:dyDescent="0.35">
      <c r="A7" s="129" t="s">
        <v>191</v>
      </c>
      <c r="B7" s="141">
        <v>1</v>
      </c>
      <c r="C7" s="53">
        <v>1</v>
      </c>
      <c r="D7" s="130"/>
      <c r="E7" s="54"/>
      <c r="G7" s="215">
        <v>25</v>
      </c>
    </row>
    <row r="8" spans="1:7" ht="24" thickTop="1" thickBot="1" x14ac:dyDescent="0.45">
      <c r="A8" s="22" t="s">
        <v>82</v>
      </c>
      <c r="B8" s="22"/>
      <c r="C8" s="55"/>
      <c r="D8" s="22"/>
      <c r="E8" s="56"/>
    </row>
    <row r="9" spans="1:7" ht="16.8" thickTop="1" thickBot="1" x14ac:dyDescent="0.35">
      <c r="A9" s="47" t="s">
        <v>59</v>
      </c>
      <c r="B9" s="142" t="s">
        <v>2</v>
      </c>
      <c r="C9" s="48" t="s">
        <v>19</v>
      </c>
      <c r="D9" s="49" t="s">
        <v>60</v>
      </c>
      <c r="E9" s="50" t="s">
        <v>61</v>
      </c>
      <c r="G9" s="212" t="s">
        <v>86</v>
      </c>
    </row>
    <row r="10" spans="1:7" x14ac:dyDescent="0.3">
      <c r="A10" s="371" t="s">
        <v>87</v>
      </c>
      <c r="B10" s="140">
        <v>1</v>
      </c>
      <c r="C10" s="51">
        <v>2</v>
      </c>
      <c r="D10" s="203"/>
      <c r="E10" s="204"/>
      <c r="F10" s="66"/>
      <c r="G10" s="213">
        <v>2</v>
      </c>
    </row>
    <row r="11" spans="1:7" x14ac:dyDescent="0.3">
      <c r="A11" s="100" t="s">
        <v>222</v>
      </c>
      <c r="B11" s="140">
        <v>1</v>
      </c>
      <c r="C11" s="51">
        <v>0</v>
      </c>
      <c r="D11" s="203"/>
      <c r="E11" s="205"/>
      <c r="F11" s="66"/>
      <c r="G11" s="216" t="s">
        <v>230</v>
      </c>
    </row>
    <row r="12" spans="1:7" x14ac:dyDescent="0.3">
      <c r="A12" s="100" t="s">
        <v>223</v>
      </c>
      <c r="B12" s="140">
        <v>1</v>
      </c>
      <c r="C12" s="51">
        <v>1</v>
      </c>
      <c r="D12" s="203"/>
      <c r="E12" s="205"/>
      <c r="F12" s="66"/>
      <c r="G12" s="216" t="s">
        <v>230</v>
      </c>
    </row>
    <row r="13" spans="1:7" x14ac:dyDescent="0.3">
      <c r="A13" s="100" t="s">
        <v>224</v>
      </c>
      <c r="B13" s="140">
        <v>1</v>
      </c>
      <c r="C13" s="51">
        <v>0</v>
      </c>
      <c r="D13" s="203"/>
      <c r="E13" s="205"/>
      <c r="F13" s="66"/>
      <c r="G13" s="216" t="s">
        <v>230</v>
      </c>
    </row>
    <row r="14" spans="1:7" x14ac:dyDescent="0.3">
      <c r="A14" s="100" t="s">
        <v>225</v>
      </c>
      <c r="B14" s="140">
        <v>1</v>
      </c>
      <c r="C14" s="51">
        <v>0.5</v>
      </c>
      <c r="D14" s="203"/>
      <c r="E14" s="205"/>
      <c r="F14" s="66"/>
      <c r="G14" s="216" t="s">
        <v>230</v>
      </c>
    </row>
    <row r="15" spans="1:7" x14ac:dyDescent="0.3">
      <c r="A15" s="100" t="s">
        <v>226</v>
      </c>
      <c r="B15" s="140">
        <v>1</v>
      </c>
      <c r="C15" s="51">
        <v>1</v>
      </c>
      <c r="D15" s="203"/>
      <c r="E15" s="205"/>
      <c r="F15" s="66"/>
      <c r="G15" s="216" t="s">
        <v>230</v>
      </c>
    </row>
    <row r="16" spans="1:7" x14ac:dyDescent="0.3">
      <c r="A16" s="100" t="s">
        <v>227</v>
      </c>
      <c r="B16" s="140">
        <v>1</v>
      </c>
      <c r="C16" s="51">
        <v>0.5</v>
      </c>
      <c r="D16" s="203"/>
      <c r="E16" s="205"/>
      <c r="F16" s="66"/>
      <c r="G16" s="216" t="s">
        <v>230</v>
      </c>
    </row>
    <row r="17" spans="1:7" x14ac:dyDescent="0.3">
      <c r="A17" s="100" t="s">
        <v>228</v>
      </c>
      <c r="B17" s="140">
        <v>1</v>
      </c>
      <c r="C17" s="51">
        <v>0</v>
      </c>
      <c r="D17" s="203"/>
      <c r="E17" s="205"/>
      <c r="F17" s="66"/>
      <c r="G17" s="216" t="s">
        <v>230</v>
      </c>
    </row>
    <row r="18" spans="1:7" x14ac:dyDescent="0.3">
      <c r="A18" s="100" t="s">
        <v>229</v>
      </c>
      <c r="B18" s="140">
        <v>1</v>
      </c>
      <c r="C18" s="51">
        <v>1</v>
      </c>
      <c r="D18" s="203"/>
      <c r="E18" s="205"/>
      <c r="F18" s="66"/>
      <c r="G18" s="216" t="s">
        <v>230</v>
      </c>
    </row>
    <row r="19" spans="1:7" x14ac:dyDescent="0.3">
      <c r="A19" s="100" t="s">
        <v>169</v>
      </c>
      <c r="B19" s="140">
        <v>1</v>
      </c>
      <c r="C19" s="64">
        <v>2</v>
      </c>
      <c r="D19" s="203" t="s">
        <v>72</v>
      </c>
      <c r="E19" s="205"/>
      <c r="F19" s="66"/>
      <c r="G19" s="214">
        <v>100</v>
      </c>
    </row>
    <row r="20" spans="1:7" x14ac:dyDescent="0.3">
      <c r="A20" s="100" t="s">
        <v>174</v>
      </c>
      <c r="B20" s="140">
        <v>1</v>
      </c>
      <c r="C20" s="64">
        <v>5</v>
      </c>
      <c r="D20" s="203"/>
      <c r="E20" s="205"/>
      <c r="F20" s="66"/>
      <c r="G20" s="214">
        <v>55</v>
      </c>
    </row>
    <row r="21" spans="1:7" x14ac:dyDescent="0.3">
      <c r="A21" s="272" t="s">
        <v>175</v>
      </c>
      <c r="B21" s="273">
        <v>1</v>
      </c>
      <c r="C21" s="274">
        <v>9</v>
      </c>
      <c r="D21" s="275" t="s">
        <v>83</v>
      </c>
      <c r="E21" s="276"/>
      <c r="F21" s="231"/>
      <c r="G21" s="216">
        <v>11</v>
      </c>
    </row>
    <row r="22" spans="1:7" x14ac:dyDescent="0.3">
      <c r="A22" s="100" t="s">
        <v>176</v>
      </c>
      <c r="B22" s="140">
        <v>1</v>
      </c>
      <c r="C22" s="64">
        <v>3</v>
      </c>
      <c r="D22" s="203"/>
      <c r="E22" s="205"/>
      <c r="F22" s="66"/>
      <c r="G22" s="217">
        <v>0.5</v>
      </c>
    </row>
    <row r="23" spans="1:7" x14ac:dyDescent="0.3">
      <c r="A23" s="206" t="s">
        <v>76</v>
      </c>
      <c r="B23" s="207">
        <v>1</v>
      </c>
      <c r="C23" s="298">
        <v>4</v>
      </c>
      <c r="D23" s="209"/>
      <c r="E23" s="205"/>
      <c r="F23" s="66"/>
      <c r="G23" s="214">
        <v>1</v>
      </c>
    </row>
    <row r="24" spans="1:7" x14ac:dyDescent="0.3">
      <c r="A24" s="272" t="s">
        <v>177</v>
      </c>
      <c r="B24" s="273">
        <v>1</v>
      </c>
      <c r="C24" s="274">
        <v>0</v>
      </c>
      <c r="D24" s="275"/>
      <c r="E24" s="276"/>
      <c r="F24" s="231"/>
      <c r="G24" s="216">
        <v>1</v>
      </c>
    </row>
    <row r="25" spans="1:7" x14ac:dyDescent="0.3">
      <c r="A25" s="272" t="s">
        <v>178</v>
      </c>
      <c r="B25" s="273">
        <v>51</v>
      </c>
      <c r="C25" s="274">
        <f>B25/100</f>
        <v>0.51</v>
      </c>
      <c r="D25" s="275"/>
      <c r="E25" s="276"/>
      <c r="F25" s="231"/>
      <c r="G25" s="216">
        <f>B25</f>
        <v>51</v>
      </c>
    </row>
    <row r="26" spans="1:7" ht="16.2" thickBot="1" x14ac:dyDescent="0.35">
      <c r="A26" s="129"/>
      <c r="B26" s="141"/>
      <c r="C26" s="53"/>
      <c r="D26" s="210"/>
      <c r="E26" s="211"/>
      <c r="F26" s="66"/>
      <c r="G26" s="215"/>
    </row>
    <row r="27" spans="1:7" ht="16.2" thickTop="1" x14ac:dyDescent="0.3"/>
    <row r="28" spans="1:7" x14ac:dyDescent="0.3">
      <c r="E28" s="226" t="s">
        <v>92</v>
      </c>
      <c r="F28" s="219"/>
      <c r="G28" s="227">
        <f>SUM(G3:G26,Martial!M3:M24)</f>
        <v>2649.5</v>
      </c>
    </row>
    <row r="29" spans="1:7" x14ac:dyDescent="0.3">
      <c r="E29" s="226" t="s">
        <v>179</v>
      </c>
      <c r="F29" s="231"/>
      <c r="G29" s="227">
        <v>2700</v>
      </c>
    </row>
  </sheetData>
  <sortState xmlns:xlrd2="http://schemas.microsoft.com/office/spreadsheetml/2017/richdata2" ref="A3:E10">
    <sortCondition ref="A3:A10"/>
  </sortState>
  <phoneticPr fontId="0" type="noConversion"/>
  <conditionalFormatting sqref="G28">
    <cfRule type="cellIs" dxfId="0" priority="1" operator="lessThan">
      <formula>0</formula>
    </cfRule>
  </conditionalFormatting>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2016-11-01T13:04:40Z</cp:lastPrinted>
  <dcterms:created xsi:type="dcterms:W3CDTF">2000-10-24T15:39:59Z</dcterms:created>
  <dcterms:modified xsi:type="dcterms:W3CDTF">2025-01-26T12:16:18Z</dcterms:modified>
</cp:coreProperties>
</file>