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A\Juegos\FMN\Used\Characters\"/>
    </mc:Choice>
  </mc:AlternateContent>
  <xr:revisionPtr revIDLastSave="0" documentId="8_{A1B66144-09A0-4076-827F-A02A59307ECA}" xr6:coauthVersionLast="47" xr6:coauthVersionMax="47" xr10:uidLastSave="{00000000-0000-0000-0000-000000000000}"/>
  <bookViews>
    <workbookView xWindow="-108" yWindow="-108" windowWidth="23256" windowHeight="13176" tabRatio="407"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File'!$A$1:$H$97</definedName>
    <definedName name="_xlnm.Print_Area" localSheetId="1">Skills!$A$1:$K$29</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 i="15" l="1"/>
  <c r="F25" i="15"/>
  <c r="C3" i="6"/>
  <c r="H3" i="6"/>
  <c r="F33" i="15"/>
  <c r="F13" i="15"/>
  <c r="I5" i="6"/>
  <c r="H5" i="6"/>
  <c r="C13" i="19"/>
  <c r="M4" i="6"/>
  <c r="J5" i="6" l="1"/>
  <c r="G15" i="19"/>
  <c r="G17" i="19"/>
  <c r="G13" i="19"/>
  <c r="C3" i="19"/>
  <c r="G3" i="19"/>
  <c r="I4" i="6"/>
  <c r="H4" i="6"/>
  <c r="F39" i="15"/>
  <c r="C9" i="6"/>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A3" i="20"/>
  <c r="J4" i="6" l="1"/>
  <c r="F6" i="20"/>
  <c r="A8" i="20"/>
  <c r="F10" i="20" l="1"/>
  <c r="M18" i="6" l="1"/>
  <c r="G17" i="6"/>
  <c r="G18" i="6"/>
  <c r="G19" i="6" l="1"/>
  <c r="M19" i="6"/>
  <c r="M17" i="6"/>
  <c r="C25" i="19" l="1"/>
  <c r="B25" i="19" s="1"/>
  <c r="I10" i="6" l="1"/>
  <c r="H8" i="15" l="1"/>
  <c r="H3" i="15" l="1"/>
  <c r="H4" i="15"/>
  <c r="H5" i="15"/>
  <c r="I9" i="6" l="1"/>
  <c r="I3" i="6" l="1"/>
  <c r="C14" i="4" l="1"/>
  <c r="D5" i="15" s="1"/>
  <c r="C15" i="4"/>
  <c r="D30" i="15" l="1"/>
  <c r="E5" i="15"/>
  <c r="G5" i="15"/>
  <c r="I5" i="15" s="1"/>
  <c r="E30" i="15" l="1"/>
  <c r="G30" i="15"/>
  <c r="I30" i="15" s="1"/>
  <c r="G32" i="19"/>
  <c r="F7" i="20" l="1"/>
  <c r="F7" i="15" l="1"/>
  <c r="F9" i="15"/>
  <c r="F16" i="15"/>
  <c r="F21" i="15"/>
  <c r="F23" i="15"/>
  <c r="F28" i="15"/>
  <c r="E11" i="4" l="1"/>
  <c r="C13" i="4" l="1"/>
  <c r="C12" i="4"/>
  <c r="C11" i="4"/>
  <c r="E13" i="4" s="1"/>
  <c r="C10" i="4"/>
  <c r="D26" i="15" l="1"/>
  <c r="D25" i="15"/>
  <c r="D3" i="15"/>
  <c r="E3" i="15" s="1"/>
  <c r="E12" i="4"/>
  <c r="H9" i="6"/>
  <c r="A7" i="20"/>
  <c r="D37" i="15"/>
  <c r="C6" i="6"/>
  <c r="H6" i="6"/>
  <c r="B9" i="4"/>
  <c r="H10" i="6"/>
  <c r="J10" i="6" s="1"/>
  <c r="D4" i="15"/>
  <c r="E15" i="4"/>
  <c r="E14" i="4" s="1"/>
  <c r="E46" i="15"/>
  <c r="H44" i="15"/>
  <c r="H6" i="15"/>
  <c r="G3" i="15" l="1"/>
  <c r="I3" i="15" s="1"/>
  <c r="G25" i="15"/>
  <c r="I25" i="15" s="1"/>
  <c r="E25" i="15"/>
  <c r="G26" i="15"/>
  <c r="I26" i="15" s="1"/>
  <c r="E26" i="15"/>
  <c r="E45" i="15"/>
  <c r="G37" i="15"/>
  <c r="I37" i="15" s="1"/>
  <c r="E37" i="15"/>
  <c r="E4" i="15"/>
  <c r="G4" i="15"/>
  <c r="I4" i="15" s="1"/>
  <c r="J9" i="6"/>
  <c r="J3" i="6"/>
  <c r="D24" i="15" l="1"/>
  <c r="E24" i="15" l="1"/>
  <c r="G24" i="15"/>
  <c r="I24" i="15" l="1"/>
  <c r="D31" i="15"/>
  <c r="E31" i="15" l="1"/>
  <c r="G31" i="15"/>
  <c r="D38" i="15"/>
  <c r="D19" i="15"/>
  <c r="D40" i="15"/>
  <c r="D36" i="15"/>
  <c r="D42" i="15"/>
  <c r="D39" i="15"/>
  <c r="D41" i="15"/>
  <c r="D33" i="15"/>
  <c r="D43" i="15"/>
  <c r="D29" i="15"/>
  <c r="D35" i="15"/>
  <c r="D14" i="15"/>
  <c r="D12" i="15"/>
  <c r="D44" i="15"/>
  <c r="D34" i="15"/>
  <c r="D32" i="15"/>
  <c r="D28" i="15"/>
  <c r="D27" i="15"/>
  <c r="D23" i="15"/>
  <c r="D22" i="15"/>
  <c r="D21" i="15"/>
  <c r="D20" i="15"/>
  <c r="D18" i="15"/>
  <c r="D17" i="15"/>
  <c r="D16" i="15"/>
  <c r="D15" i="15"/>
  <c r="D13" i="15"/>
  <c r="D11" i="15"/>
  <c r="D10" i="15"/>
  <c r="D9" i="15"/>
  <c r="D8" i="15"/>
  <c r="D7" i="15"/>
  <c r="D6" i="15"/>
  <c r="E7" i="15" l="1"/>
  <c r="G7" i="15"/>
  <c r="E11" i="15"/>
  <c r="G11" i="15"/>
  <c r="I11" i="15" s="1"/>
  <c r="E17" i="15"/>
  <c r="G17" i="15"/>
  <c r="E22" i="15"/>
  <c r="G22" i="15"/>
  <c r="E27" i="15"/>
  <c r="G27" i="15"/>
  <c r="I31" i="15"/>
  <c r="E34" i="15"/>
  <c r="G34" i="15"/>
  <c r="I34" i="15" s="1"/>
  <c r="E12" i="15"/>
  <c r="G12" i="15"/>
  <c r="E35" i="15"/>
  <c r="G35" i="15"/>
  <c r="E43" i="15"/>
  <c r="G43" i="15"/>
  <c r="E41" i="15"/>
  <c r="G41" i="15"/>
  <c r="I41" i="15" s="1"/>
  <c r="E42" i="15"/>
  <c r="G42" i="15"/>
  <c r="E36" i="15"/>
  <c r="G36"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8" i="15"/>
  <c r="G28" i="15"/>
  <c r="I28" i="15" s="1"/>
  <c r="E32" i="15"/>
  <c r="G32" i="15"/>
  <c r="E44" i="15"/>
  <c r="G44" i="15"/>
  <c r="E14" i="15"/>
  <c r="G14" i="15"/>
  <c r="E29" i="15"/>
  <c r="G29" i="15"/>
  <c r="I29" i="15" s="1"/>
  <c r="E33" i="15"/>
  <c r="G33" i="15"/>
  <c r="E39" i="15"/>
  <c r="G39" i="15"/>
  <c r="E40" i="15"/>
  <c r="G40" i="15"/>
  <c r="E38" i="15"/>
  <c r="G38" i="15"/>
  <c r="I38" i="15" l="1"/>
  <c r="I39" i="15"/>
  <c r="I44" i="15"/>
  <c r="I21" i="15"/>
  <c r="I16" i="15"/>
  <c r="I10" i="15"/>
  <c r="I15" i="15"/>
  <c r="I19" i="15"/>
  <c r="I43" i="15"/>
  <c r="I22" i="15"/>
  <c r="I40" i="15"/>
  <c r="I33" i="15"/>
  <c r="I32" i="15"/>
  <c r="I23" i="15"/>
  <c r="I18" i="15"/>
  <c r="I8" i="15"/>
  <c r="I20" i="15"/>
  <c r="I9" i="15"/>
  <c r="I42" i="15"/>
  <c r="I27" i="15"/>
  <c r="I17" i="15"/>
  <c r="I7" i="15"/>
  <c r="I14" i="15"/>
  <c r="I36" i="15"/>
  <c r="I35"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4878A423-4C86-4EC5-825A-30C3B86AB4D9}">
      <text>
        <r>
          <rPr>
            <i/>
            <sz val="12"/>
            <color indexed="81"/>
            <rFont val="Times New Roman"/>
            <family val="1"/>
          </rPr>
          <t>Turmish; born in Gildenglade</t>
        </r>
      </text>
    </comment>
    <comment ref="E9" authorId="0" shapeId="0" xr:uid="{D9E6032A-A505-4A39-A752-533817F5C924}">
      <text>
        <r>
          <rPr>
            <sz val="12"/>
            <color indexed="81"/>
            <rFont val="Times New Roman"/>
            <family val="1"/>
          </rPr>
          <t>Next level at 500 XPs</t>
        </r>
      </text>
    </comment>
    <comment ref="E10" authorId="0" shapeId="0" xr:uid="{02A1D133-9C43-48F9-B185-A3E12BBA8CF3}">
      <text>
        <r>
          <rPr>
            <sz val="12"/>
            <color indexed="81"/>
            <rFont val="Times New Roman"/>
            <family val="1"/>
          </rPr>
          <t>See PHB 162</t>
        </r>
      </text>
    </comment>
    <comment ref="E12" authorId="0" shapeId="0" xr:uid="{00000000-0006-0000-0000-000005000000}">
      <text>
        <r>
          <rPr>
            <sz val="12"/>
            <color indexed="81"/>
            <rFont val="Times New Roman"/>
            <family val="1"/>
          </rPr>
          <t>[(1 * 8 Divine Bard) * 75%] 
+ (1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595C6AB6-9408-4FAF-AA55-C185C8655D58}">
      <text>
        <r>
          <rPr>
            <sz val="12"/>
            <color indexed="81"/>
            <rFont val="Times New Roman"/>
            <family val="1"/>
          </rPr>
          <t>Strong Soul +1</t>
        </r>
      </text>
    </comment>
    <comment ref="J3" authorId="0" shapeId="0" xr:uid="{8631D256-0ABC-4027-8197-22B610096E1F}">
      <text>
        <r>
          <rPr>
            <sz val="12"/>
            <color indexed="81"/>
            <rFont val="Times New Roman"/>
            <family val="1"/>
          </rPr>
          <t>Strong Soul +1</t>
        </r>
      </text>
    </comment>
    <comment ref="F5" authorId="0" shapeId="0" xr:uid="{E15A02CF-A28F-429E-99BF-D8653F1D64A8}">
      <text>
        <r>
          <rPr>
            <sz val="12"/>
            <color indexed="81"/>
            <rFont val="Times New Roman"/>
            <family val="1"/>
          </rPr>
          <t>Strong Soul +1</t>
        </r>
      </text>
    </comment>
    <comment ref="J5" authorId="0" shapeId="0" xr:uid="{66CC3BDE-E44B-435A-A9AC-7BD29662E7E6}">
      <text>
        <r>
          <rPr>
            <sz val="12"/>
            <color indexed="81"/>
            <rFont val="Times New Roman"/>
            <family val="1"/>
          </rPr>
          <t>Strong Soul +1</t>
        </r>
      </text>
    </comment>
    <comment ref="F7" authorId="0" shapeId="0" xr:uid="{00000000-0006-0000-0100-000004000000}">
      <text>
        <r>
          <rPr>
            <sz val="12"/>
            <color indexed="81"/>
            <rFont val="Times New Roman"/>
            <family val="1"/>
          </rPr>
          <t>No armor penalties</t>
        </r>
      </text>
    </comment>
    <comment ref="F9" authorId="0" shapeId="0" xr:uid="{00000000-0006-0000-0100-000006000000}">
      <text>
        <r>
          <rPr>
            <sz val="12"/>
            <color indexed="81"/>
            <rFont val="Times New Roman"/>
            <family val="1"/>
          </rPr>
          <t>No armor penalties</t>
        </r>
      </text>
    </comment>
    <comment ref="F13" authorId="0" shapeId="0" xr:uid="{9894EB5D-8321-4E60-A46D-7DE767741674}">
      <text>
        <r>
          <rPr>
            <i/>
            <sz val="12"/>
            <color indexed="81"/>
            <rFont val="Times New Roman"/>
            <family val="1"/>
          </rPr>
          <t>Negotiator +2
Polite +1</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21" authorId="0" shapeId="0" xr:uid="{00000000-0006-0000-0100-00000C000000}">
      <text>
        <r>
          <rPr>
            <sz val="12"/>
            <color indexed="81"/>
            <rFont val="Times New Roman"/>
            <family val="1"/>
          </rPr>
          <t>No armor penalties</t>
        </r>
      </text>
    </comment>
    <comment ref="F22" authorId="0" shapeId="0" xr:uid="{9E6FFE20-13EF-43E8-B7DA-1E4EEE9364F8}">
      <text>
        <r>
          <rPr>
            <i/>
            <sz val="12"/>
            <color indexed="81"/>
            <rFont val="Times New Roman"/>
            <family val="1"/>
          </rPr>
          <t>Polite -2</t>
        </r>
      </text>
    </comment>
    <comment ref="F23" authorId="0" shapeId="0" xr:uid="{00000000-0006-0000-0100-00000E000000}">
      <text>
        <r>
          <rPr>
            <sz val="12"/>
            <color indexed="81"/>
            <rFont val="Times New Roman"/>
            <family val="1"/>
          </rPr>
          <t>No armor penalties</t>
        </r>
      </text>
    </comment>
    <comment ref="F27" authorId="0" shapeId="0" xr:uid="{7D9BE0DC-732C-4DA8-B183-A882CBFF78FF}">
      <text>
        <r>
          <rPr>
            <sz val="12"/>
            <color indexed="81"/>
            <rFont val="Times New Roman"/>
            <family val="1"/>
          </rPr>
          <t>Elf +2</t>
        </r>
      </text>
    </comment>
    <comment ref="F28" authorId="0" shapeId="0" xr:uid="{00000000-0006-0000-0100-00000F000000}">
      <text>
        <r>
          <rPr>
            <sz val="12"/>
            <color indexed="81"/>
            <rFont val="Times New Roman"/>
            <family val="1"/>
          </rPr>
          <t>No armor penalties</t>
        </r>
      </text>
    </comment>
    <comment ref="F33" authorId="0" shapeId="0" xr:uid="{2FD3E2AB-D029-4CEC-87AC-722DE6B77F64}">
      <text>
        <r>
          <rPr>
            <i/>
            <sz val="12"/>
            <color indexed="81"/>
            <rFont val="Times New Roman"/>
            <family val="1"/>
          </rPr>
          <t>Farsighted -2
Elf +2</t>
        </r>
      </text>
    </comment>
    <comment ref="F34" authorId="0" shapeId="0" xr:uid="{106CF888-2565-4634-8BCA-4CB681D1CC0A}">
      <text>
        <r>
          <rPr>
            <i/>
            <sz val="12"/>
            <color indexed="81"/>
            <rFont val="Times New Roman"/>
            <family val="1"/>
          </rPr>
          <t>Negotiator +2</t>
        </r>
      </text>
    </comment>
    <comment ref="F39" authorId="0" shapeId="0" xr:uid="{9EC14D74-31D2-46BE-ABAE-3E8DAB0293AB}">
      <text>
        <r>
          <rPr>
            <i/>
            <sz val="12"/>
            <color indexed="81"/>
            <rFont val="Times New Roman"/>
            <family val="1"/>
          </rPr>
          <t>Farsighted +1
Elf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89D46C20-915B-4F12-B81B-ADF0B5C63649}">
      <text>
        <r>
          <rPr>
            <sz val="12"/>
            <color indexed="81"/>
            <rFont val="Times New Roman"/>
            <family val="1"/>
          </rPr>
          <t>Copper wire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6727CFE4-6F54-41B2-8CAF-C040B05788C8}">
      <text>
        <r>
          <rPr>
            <sz val="12"/>
            <color indexed="81"/>
            <rFont val="Times New Roman"/>
            <family val="1"/>
          </rPr>
          <t xml:space="preserve">You are good at gauging and swaying attitudes.
</t>
        </r>
        <r>
          <rPr>
            <b/>
            <sz val="12"/>
            <color indexed="81"/>
            <rFont val="Times New Roman"/>
            <family val="1"/>
          </rPr>
          <t xml:space="preserve">Benefit: </t>
        </r>
        <r>
          <rPr>
            <sz val="12"/>
            <color indexed="81"/>
            <rFont val="Times New Roman"/>
            <family val="1"/>
          </rPr>
          <t>You get a +2 bonus on all Diplomacy checks and Sense Motive checks.
PHB 98</t>
        </r>
      </text>
    </comment>
    <comment ref="A3" authorId="0" shapeId="0" xr:uid="{41724B67-CF4A-4BFE-907F-21C76D33A48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4" authorId="0" shapeId="0" xr:uid="{C924F023-A395-46E6-A7DF-B52E5BF225F8}">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39</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 ref="A16" authorId="0" shapeId="0" xr:uid="{57A024F0-6438-402D-BF22-CD106ED47FBE}">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400-000002000000}">
      <text>
        <r>
          <rPr>
            <sz val="12"/>
            <color indexed="81"/>
            <rFont val="Times New Roman"/>
            <family val="1"/>
          </rPr>
          <t>Balance, Climb, Escape Artist, Hide, Jump, Move Silently, Sleight of Hand, Tumble.</t>
        </r>
      </text>
    </comment>
    <comment ref="E13" authorId="0" shapeId="0" xr:uid="{66D5FAC4-4B8E-4F51-8CE9-CB7ADC193AE4}">
      <text>
        <r>
          <rPr>
            <b/>
            <sz val="12"/>
            <color indexed="81"/>
            <rFont val="Times New Roman"/>
            <family val="1"/>
          </rPr>
          <t xml:space="preserve">Divine Bard:  </t>
        </r>
        <r>
          <rPr>
            <sz val="12"/>
            <color indexed="81"/>
            <rFont val="Times New Roman"/>
            <family val="1"/>
          </rPr>
          <t>Casts divine spells.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9"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<sst xmlns="http://schemas.openxmlformats.org/spreadsheetml/2006/main" count="398" uniqueCount="236">
  <si>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</si>
  <si>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</si>
  <si>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</si>
  <si>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</si>
  <si>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</si>
  <si>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</si>
  <si>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</si>
  <si>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</si>
  <si>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</si>
  <si>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</si>
  <si>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</si>
  <si>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</si>
  <si>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</si>
  <si>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</si>
  <si>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</si>
  <si>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</si>
  <si>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</si>
  <si>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</si>
  <si>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</si>
  <si>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</si>
  <si>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</si>
  <si>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</si>
  <si>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</si>
  <si>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</si>
  <si>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</si>
  <si>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</si>
  <si>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</si>
  <si>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</si>
  <si>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</si>
  <si>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</si>
  <si>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</si>
  <si>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</si>
  <si>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</si>
  <si>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</si>
  <si>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</si>
  <si>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</si>
  <si>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</si>
  <si>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</si>
  <si>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</si>
  <si>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</si>
  <si>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</si>
  <si>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</si>
  <si>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</si>
  <si>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</si>
  <si>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</si>
  <si>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</si>
  <si>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</si>
  <si>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</si>
  <si>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</si>
  <si>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</si>
  <si>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</si>
  <si>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</si>
  <si>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</si>
  <si>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</si>
  <si>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</si>
  <si>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</si>
  <si>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</si>
  <si>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</si>
  <si>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</si>
  <si>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</si>
  <si>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</si>
  <si>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</si>
  <si>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</si>
  <si>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</si>
  <si>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</si>
  <si>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Instant</t>
  </si>
  <si>
    <t>Personal</t>
  </si>
  <si>
    <t>10 min/lvl</t>
  </si>
  <si>
    <t>Spell</t>
  </si>
  <si>
    <t>Cast?</t>
  </si>
  <si>
    <t>Languages</t>
  </si>
  <si>
    <t>School</t>
  </si>
  <si>
    <t>10’</t>
  </si>
  <si>
    <t>Equipment Worn</t>
  </si>
  <si>
    <t>Item</t>
  </si>
  <si>
    <t>Effects/</t>
  </si>
  <si>
    <t>Notes</t>
  </si>
  <si>
    <t>Equipment Carried</t>
  </si>
  <si>
    <t>Check</t>
  </si>
  <si>
    <t>Arcane</t>
  </si>
  <si>
    <t>Speed</t>
  </si>
  <si>
    <t>Sleight of Hand</t>
  </si>
  <si>
    <t>Survival</t>
  </si>
  <si>
    <t>Craft:  (type)</t>
  </si>
  <si>
    <t>Class Features</t>
  </si>
  <si>
    <t>DC</t>
  </si>
  <si>
    <t>Weapon Proficiencies</t>
  </si>
  <si>
    <t>Shields (not tower)</t>
  </si>
  <si>
    <t>Atk</t>
  </si>
  <si>
    <t>Components</t>
  </si>
  <si>
    <t>Casting</t>
  </si>
  <si>
    <t>V S</t>
  </si>
  <si>
    <t>1 SA</t>
  </si>
  <si>
    <t>100’ + 10’/lvl</t>
  </si>
  <si>
    <t>V S F</t>
  </si>
  <si>
    <t>Spells per Day</t>
  </si>
  <si>
    <t>Spell Level</t>
  </si>
  <si>
    <t>Total Divine</t>
  </si>
  <si>
    <t>Feats</t>
  </si>
  <si>
    <t>19-20, x2</t>
  </si>
  <si>
    <t>Prcg/Slsh</t>
  </si>
  <si>
    <t>-</t>
  </si>
  <si>
    <t>Roll</t>
  </si>
  <si>
    <t>Skill/Save</t>
  </si>
  <si>
    <t>30’</t>
  </si>
  <si>
    <t>Light &amp; Medium Armor</t>
  </si>
  <si>
    <t>Traveler’s Outfit</t>
  </si>
  <si>
    <t>Value</t>
  </si>
  <si>
    <t>Scrolls and Potions</t>
  </si>
  <si>
    <t>CLev</t>
  </si>
  <si>
    <t>Ranged Touch Attack</t>
  </si>
  <si>
    <t>Charisma Bonus</t>
  </si>
  <si>
    <t>Parchment</t>
  </si>
  <si>
    <t>1d8</t>
  </si>
  <si>
    <t>Countersong</t>
  </si>
  <si>
    <t>Fascinate</t>
  </si>
  <si>
    <t>PHB</t>
  </si>
  <si>
    <t>Reference</t>
  </si>
  <si>
    <t>Page</t>
  </si>
  <si>
    <t>Transmutation</t>
  </si>
  <si>
    <t>Bard Spells</t>
  </si>
  <si>
    <t>1d4</t>
  </si>
  <si>
    <t>Conjuration</t>
  </si>
  <si>
    <t>Total Equity:</t>
  </si>
  <si>
    <t>1d6</t>
  </si>
  <si>
    <t>Spells Known</t>
  </si>
  <si>
    <t>ü</t>
  </si>
  <si>
    <t>Touch</t>
  </si>
  <si>
    <t>Exact Location</t>
  </si>
  <si>
    <t>Race</t>
  </si>
  <si>
    <t>Class</t>
  </si>
  <si>
    <t>Sex</t>
  </si>
  <si>
    <t>Age</t>
  </si>
  <si>
    <t>Alignment</t>
  </si>
  <si>
    <t>Strength</t>
  </si>
  <si>
    <t>Dexterity</t>
  </si>
  <si>
    <t>Constitution</t>
  </si>
  <si>
    <t>Intelligence</t>
  </si>
  <si>
    <t>Wisdom</t>
  </si>
  <si>
    <t>Charisma</t>
  </si>
  <si>
    <t>AC</t>
  </si>
  <si>
    <t>Deity</t>
  </si>
  <si>
    <t>Region</t>
  </si>
  <si>
    <t>Height</t>
  </si>
  <si>
    <t>Weight</t>
  </si>
  <si>
    <t>Initiative</t>
  </si>
  <si>
    <t>Attack Bonus</t>
  </si>
  <si>
    <t>Lb. Capacity</t>
  </si>
  <si>
    <t>Lb. Carried</t>
  </si>
  <si>
    <t>Hit Points</t>
  </si>
  <si>
    <t>Touch AC</t>
  </si>
  <si>
    <t>FF AC</t>
  </si>
  <si>
    <t>Male</t>
  </si>
  <si>
    <t>Neutral Good</t>
  </si>
  <si>
    <t>Knowledge:  Arcana</t>
  </si>
  <si>
    <t>Perform:  Vocal</t>
  </si>
  <si>
    <t>Message</t>
  </si>
  <si>
    <t>Inspire Courage +1</t>
  </si>
  <si>
    <t>XP</t>
  </si>
  <si>
    <t>Stash:  ?</t>
  </si>
  <si>
    <t>% Full:</t>
  </si>
  <si>
    <t>Heward’s Handy Haversack</t>
  </si>
  <si>
    <t>Signal Whistle</t>
  </si>
  <si>
    <t>Candle</t>
  </si>
  <si>
    <t>Knowledge:  Bardic</t>
  </si>
  <si>
    <t>Gold Coins</t>
  </si>
  <si>
    <t xml:space="preserve">Simple Weapons, Longsword, </t>
  </si>
  <si>
    <t>Rapier, Sap, Short Sword,</t>
  </si>
  <si>
    <t>80’</t>
  </si>
  <si>
    <t>Knowledge:  Religion</t>
  </si>
  <si>
    <t>Caster Level:</t>
  </si>
  <si>
    <t>Soft Equity Ceiling:</t>
  </si>
  <si>
    <t>Landorin</t>
  </si>
  <si>
    <t>of Gildenglade</t>
  </si>
  <si>
    <t>Played by Ernest Hakey</t>
  </si>
  <si>
    <t>Divine Bard</t>
  </si>
  <si>
    <t>5’ 2”</t>
  </si>
  <si>
    <t>Moon Elf</t>
  </si>
  <si>
    <t>Selûne</t>
  </si>
  <si>
    <t>Vilhon Reach</t>
  </si>
  <si>
    <t>130 lbs.</t>
  </si>
  <si>
    <t>Cure Minor Wounds</t>
  </si>
  <si>
    <t>Know Direction</t>
  </si>
  <si>
    <t>Mending</t>
  </si>
  <si>
    <t>Divination</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</si>
  <si>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</si>
  <si>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Flaws</t>
  </si>
  <si>
    <t>Murky-Eyed</t>
  </si>
  <si>
    <t>Traits</t>
  </si>
  <si>
    <t>Farsighted</t>
  </si>
  <si>
    <t>Polite</t>
  </si>
  <si>
    <t>Divine Bard 1</t>
  </si>
  <si>
    <t>@3rd:  Inspire Competence</t>
  </si>
  <si>
    <t>@6th:  Suggestion</t>
  </si>
  <si>
    <t>Profession:  Sailor</t>
  </si>
  <si>
    <t>Speak Language:  Damaran</t>
  </si>
  <si>
    <t>Speak Language:  Aglarondan</t>
  </si>
  <si>
    <t>Common, Elven, Chondathan,</t>
  </si>
  <si>
    <t>Aglarondan, Damaran</t>
  </si>
  <si>
    <t>-2</t>
  </si>
  <si>
    <t>Regional:  Strong Soul</t>
  </si>
  <si>
    <t>+1 vs. Energy Drain &amp; Death effects</t>
  </si>
  <si>
    <t>UA p. 91: roll miss % vs concealment x2</t>
  </si>
  <si>
    <t>2k ₲</t>
  </si>
  <si>
    <t>Longbow, Shortbow, Whip</t>
  </si>
  <si>
    <t>MW Studded Leather</t>
  </si>
  <si>
    <t>MW Buckler</t>
  </si>
  <si>
    <t>Arrows</t>
  </si>
  <si>
    <t>Rapier</t>
  </si>
  <si>
    <t xml:space="preserve">1d6 </t>
  </si>
  <si>
    <t>Silvered Shortsword</t>
  </si>
  <si>
    <t>Cold Iron Dagger</t>
  </si>
  <si>
    <t>Wooden Holy Symbol of Selûne</t>
  </si>
  <si>
    <t>Spell Component Pouch</t>
  </si>
  <si>
    <t>Belt Pouches</t>
  </si>
  <si>
    <t>Entertainer’s Outfit</t>
  </si>
  <si>
    <t>free</t>
  </si>
  <si>
    <t>Satchel</t>
  </si>
  <si>
    <t>Ink &amp; Pens</t>
  </si>
  <si>
    <t>Sack</t>
  </si>
  <si>
    <t>Tindertwigs</t>
  </si>
  <si>
    <t>18-20, x2</t>
  </si>
  <si>
    <t>Piercing</t>
  </si>
  <si>
    <t>-1</t>
  </si>
  <si>
    <t>Placed into the satchel by default</t>
  </si>
  <si>
    <t>Debt</t>
  </si>
  <si>
    <t>Bludgeon</t>
  </si>
  <si>
    <t>folded &amp; creased</t>
  </si>
  <si>
    <t>For later…?</t>
  </si>
  <si>
    <t>Melodic Casting</t>
  </si>
  <si>
    <t>1st:  Negotiator</t>
  </si>
  <si>
    <t>2</t>
  </si>
  <si>
    <t>Painted with 2 Eyes/7 Stars</t>
  </si>
  <si>
    <t>Composite Longbow, Str 12</t>
  </si>
  <si>
    <t>Sap</t>
  </si>
  <si>
    <t>x2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</si>
</sst>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5"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8"/>
      <color rgb="FF9966FF"/>
      <name val="Times New Roman"/>
      <family val="1"/>
    </font>
    <font>
      <i/>
      <sz val="17"/>
      <name val="Times New Roman"/>
      <family val="1"/>
    </font>
    <font>
      <b/>
      <sz val="12"/>
      <color rgb="FFFF0000"/>
      <name val="Times New Roman"/>
      <family val="1"/>
    </font>
    <font>
      <i/>
      <sz val="22"/>
      <color rgb="FFCC99FF"/>
      <name val="Times New Roman"/>
      <family val="1"/>
    </font>
    <font>
      <sz val="12"/>
      <color theme="0"/>
      <name val="Times New Roman"/>
      <family val="1"/>
    </font>
    <font>
      <sz val="12"/>
      <color rgb="FF00B0F0"/>
      <name val="Times New Roman"/>
      <family val="1"/>
    </font>
  </fonts>
  <fills count="2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theme="0" tint="-0.249977111117893"/>
        <bgColor indexed="55"/>
      </patternFill>
    </fill>
    <fill>
      <patternFill patternType="solid">
        <fgColor rgb="FFFFC000"/>
        <bgColor indexed="64"/>
      </patternFill>
    </fill>
    <fill>
      <patternFill patternType="solid">
        <fgColor theme="1" tint="0.34998626667073579"/>
        <bgColor indexed="64"/>
      </patternFill>
    </fill>
    <fill>
      <patternFill patternType="solid">
        <fgColor rgb="FF00B0F0"/>
        <bgColor indexed="64"/>
      </patternFill>
    </fill>
    <fill>
      <patternFill patternType="solid">
        <fgColor rgb="FF99CCFF"/>
        <bgColor indexed="64"/>
      </patternFill>
    </fill>
  </fills>
  <borders count="12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9" fillId="0" borderId="0"/>
    <xf numFmtId="0" fontId="2" fillId="0" borderId="0"/>
    <xf numFmtId="9" fontId="2" fillId="0" borderId="0" applyFont="0" applyFill="0" applyBorder="0" applyAlignment="0" applyProtection="0"/>
    <xf numFmtId="0" fontId="2" fillId="0" borderId="0"/>
    <xf numFmtId="0" fontId="36" fillId="0" borderId="0"/>
    <xf numFmtId="0" fontId="2" fillId="0" borderId="0"/>
    <xf numFmtId="0" fontId="1" fillId="0" borderId="0"/>
    <xf numFmtId="0" fontId="2" fillId="0" borderId="0"/>
  </cellStyleXfs>
  <cellXfs count="504">
    <xf numFmtId="0" fontId="0" fillId="0" borderId="0" xfId="0"/>
    <xf numFmtId="0" fontId="7" fillId="0" borderId="29" xfId="0" applyFont="1" applyBorder="1" applyAlignment="1">
      <alignment horizontal="center" vertical="center" wrapText="1"/>
    </xf>
    <xf numFmtId="9" fontId="7" fillId="0" borderId="28" xfId="2" applyFont="1" applyFill="1" applyBorder="1" applyAlignment="1">
      <alignment horizontal="center" vertical="center" shrinkToFit="1"/>
    </xf>
    <xf numFmtId="0" fontId="2" fillId="0" borderId="74" xfId="0" applyFont="1" applyBorder="1" applyAlignment="1">
      <alignment horizontal="center" vertical="center"/>
    </xf>
    <xf numFmtId="164" fontId="2" fillId="0" borderId="74" xfId="0" applyNumberFormat="1" applyFont="1" applyBorder="1" applyAlignment="1">
      <alignment horizontal="center"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45" fillId="13" borderId="38" xfId="0" applyFont="1" applyFill="1" applyBorder="1" applyAlignment="1">
      <alignment horizontal="center" vertical="center" wrapText="1"/>
    </xf>
    <xf numFmtId="0" fontId="12" fillId="3" borderId="68" xfId="0" applyFont="1" applyFill="1" applyBorder="1" applyAlignment="1">
      <alignment horizontal="center" vertical="center"/>
    </xf>
    <xf numFmtId="0" fontId="4" fillId="0" borderId="0" xfId="0" applyFont="1" applyAlignment="1">
      <alignmen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35"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91" xfId="0" applyFont="1" applyFill="1" applyBorder="1" applyAlignment="1">
      <alignment horizontal="right" vertical="center"/>
    </xf>
    <xf numFmtId="49" fontId="7" fillId="0" borderId="78"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0" fillId="2" borderId="4" xfId="0" applyFont="1" applyFill="1" applyBorder="1" applyAlignment="1">
      <alignment horizontal="right" vertical="center"/>
    </xf>
    <xf numFmtId="0" fontId="11" fillId="4" borderId="52"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2"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3"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1" fillId="13" borderId="28" xfId="0" applyFont="1" applyFill="1" applyBorder="1" applyAlignment="1">
      <alignment horizontal="center" vertical="center"/>
    </xf>
    <xf numFmtId="0" fontId="7" fillId="0" borderId="29" xfId="0" quotePrefix="1" applyFont="1" applyBorder="1" applyAlignment="1">
      <alignment horizontal="center" vertical="center"/>
    </xf>
    <xf numFmtId="0" fontId="44" fillId="0" borderId="1" xfId="0" applyFont="1" applyBorder="1" applyAlignment="1">
      <alignment vertical="center"/>
    </xf>
    <xf numFmtId="0" fontId="13" fillId="0" borderId="28" xfId="0" applyFont="1" applyBorder="1" applyAlignment="1">
      <alignment horizontal="center" vertical="center"/>
    </xf>
    <xf numFmtId="0" fontId="43" fillId="0" borderId="34" xfId="0" applyFont="1" applyBorder="1" applyAlignment="1">
      <alignment vertical="center"/>
    </xf>
    <xf numFmtId="0" fontId="6" fillId="0" borderId="48" xfId="0" applyFont="1" applyBorder="1" applyAlignment="1">
      <alignment horizontal="center" vertical="center"/>
    </xf>
    <xf numFmtId="0" fontId="7" fillId="0" borderId="48" xfId="0" applyFont="1" applyBorder="1" applyAlignment="1">
      <alignment horizontal="center" vertical="center"/>
    </xf>
    <xf numFmtId="0" fontId="45" fillId="0" borderId="48" xfId="0" applyFont="1" applyBorder="1" applyAlignment="1">
      <alignment horizontal="center" vertical="center" wrapText="1"/>
    </xf>
    <xf numFmtId="1" fontId="7" fillId="0" borderId="48" xfId="0" applyNumberFormat="1" applyFont="1" applyBorder="1" applyAlignment="1">
      <alignment horizontal="center" vertical="center" wrapText="1"/>
    </xf>
    <xf numFmtId="0" fontId="41" fillId="13" borderId="48" xfId="0" applyFont="1" applyFill="1" applyBorder="1" applyAlignment="1">
      <alignment horizontal="center" vertical="center"/>
    </xf>
    <xf numFmtId="0" fontId="7" fillId="0" borderId="35"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7" fillId="7" borderId="27"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1" fillId="6" borderId="1" xfId="0" applyFont="1" applyFill="1" applyBorder="1" applyAlignment="1">
      <alignment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13" fillId="0" borderId="8" xfId="0" applyFont="1" applyBorder="1" applyAlignment="1">
      <alignment vertical="center"/>
    </xf>
    <xf numFmtId="49" fontId="24" fillId="0" borderId="47" xfId="0" applyNumberFormat="1" applyFont="1" applyBorder="1" applyAlignment="1">
      <alignment horizontal="center" vertical="center"/>
    </xf>
    <xf numFmtId="0" fontId="24" fillId="0" borderId="49" xfId="0" applyFont="1" applyBorder="1" applyAlignment="1">
      <alignment horizontal="center" vertical="center"/>
    </xf>
    <xf numFmtId="0" fontId="13"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41" fillId="13" borderId="47" xfId="0" applyFont="1" applyFill="1" applyBorder="1" applyAlignment="1">
      <alignment horizontal="center" vertical="center"/>
    </xf>
    <xf numFmtId="0" fontId="7" fillId="0" borderId="3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8" xfId="0" applyFont="1" applyFill="1" applyBorder="1" applyAlignment="1">
      <alignment horizontal="center" vertical="center" wrapText="1"/>
    </xf>
    <xf numFmtId="0" fontId="2" fillId="0" borderId="0" xfId="0" applyFont="1" applyAlignment="1">
      <alignment vertical="center"/>
    </xf>
    <xf numFmtId="0" fontId="4" fillId="0" borderId="5" xfId="0" applyFont="1" applyBorder="1" applyAlignment="1">
      <alignment horizontal="centerContinuous" vertical="center"/>
    </xf>
    <xf numFmtId="0" fontId="17" fillId="0" borderId="37" xfId="0" applyFont="1" applyBorder="1" applyAlignment="1">
      <alignment horizontal="center" vertical="center" shrinkToFit="1"/>
    </xf>
    <xf numFmtId="0" fontId="3" fillId="0" borderId="0" xfId="0" applyFont="1" applyAlignment="1">
      <alignment horizontal="centerContinuous" vertical="center"/>
    </xf>
    <xf numFmtId="0" fontId="5" fillId="0" borderId="0" xfId="0"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6"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12" borderId="21" xfId="0" applyFont="1" applyFill="1" applyBorder="1" applyAlignment="1">
      <alignment horizontal="centerContinuous" vertical="center"/>
    </xf>
    <xf numFmtId="0" fontId="21" fillId="12" borderId="72" xfId="0" applyFont="1" applyFill="1" applyBorder="1" applyAlignment="1">
      <alignment horizontal="centerContinuous" vertical="center"/>
    </xf>
    <xf numFmtId="0" fontId="21" fillId="12" borderId="51" xfId="0" applyFont="1" applyFill="1" applyBorder="1" applyAlignment="1">
      <alignment horizontal="centerContinuous" vertical="center"/>
    </xf>
    <xf numFmtId="0" fontId="2" fillId="0" borderId="74" xfId="0" quotePrefix="1" applyFont="1" applyBorder="1" applyAlignment="1">
      <alignment horizontal="center" vertical="center"/>
    </xf>
    <xf numFmtId="164" fontId="2" fillId="0" borderId="75" xfId="0" applyNumberFormat="1" applyFont="1" applyBorder="1" applyAlignment="1">
      <alignment horizontal="centerContinuous" vertical="center"/>
    </xf>
    <xf numFmtId="164" fontId="2" fillId="0" borderId="76" xfId="0" applyNumberFormat="1" applyFont="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7" xfId="0" applyFont="1" applyBorder="1" applyAlignment="1">
      <alignment horizontal="centerContinuous" vertical="center"/>
    </xf>
    <xf numFmtId="0" fontId="5" fillId="0" borderId="88" xfId="0" applyFont="1" applyBorder="1" applyAlignment="1">
      <alignment horizontal="centerContinuous" vertical="center"/>
    </xf>
    <xf numFmtId="0" fontId="5" fillId="0" borderId="75" xfId="0" applyFont="1" applyBorder="1" applyAlignment="1">
      <alignment horizontal="centerContinuous" vertical="center"/>
    </xf>
    <xf numFmtId="49" fontId="2" fillId="0" borderId="75" xfId="0" applyNumberFormat="1" applyFont="1" applyBorder="1" applyAlignment="1">
      <alignment horizontal="center" vertical="center"/>
    </xf>
    <xf numFmtId="49" fontId="2" fillId="0" borderId="75" xfId="0" applyNumberFormat="1" applyFont="1" applyBorder="1" applyAlignment="1">
      <alignment horizontal="centerContinuous" vertical="center"/>
    </xf>
    <xf numFmtId="49" fontId="2" fillId="0" borderId="76" xfId="0" applyNumberFormat="1" applyFont="1" applyBorder="1" applyAlignment="1">
      <alignment horizontal="centerContinuous" vertical="center"/>
    </xf>
    <xf numFmtId="0" fontId="5" fillId="0" borderId="77" xfId="0" applyFont="1" applyBorder="1" applyAlignment="1">
      <alignment horizontal="centerContinuous" vertical="center"/>
    </xf>
    <xf numFmtId="0" fontId="2" fillId="0" borderId="89" xfId="0" applyFont="1" applyBorder="1" applyAlignment="1">
      <alignment horizontal="centerContinuous" vertical="center"/>
    </xf>
    <xf numFmtId="0" fontId="5" fillId="0" borderId="90" xfId="0" applyFont="1" applyBorder="1" applyAlignment="1">
      <alignment horizontal="centerContinuous" vertical="center"/>
    </xf>
    <xf numFmtId="0" fontId="5" fillId="0" borderId="81" xfId="0" applyFont="1" applyBorder="1" applyAlignment="1">
      <alignment horizontal="centerContinuous" vertical="center"/>
    </xf>
    <xf numFmtId="164" fontId="2" fillId="0" borderId="80" xfId="0" applyNumberFormat="1" applyFont="1" applyBorder="1" applyAlignment="1">
      <alignment horizontal="center" vertical="center"/>
    </xf>
    <xf numFmtId="49" fontId="2" fillId="0" borderId="81" xfId="0" applyNumberFormat="1" applyFont="1" applyBorder="1" applyAlignment="1">
      <alignment horizontal="center" vertical="center"/>
    </xf>
    <xf numFmtId="49" fontId="2" fillId="0" borderId="81" xfId="0" applyNumberFormat="1" applyFont="1" applyBorder="1" applyAlignment="1">
      <alignment horizontal="centerContinuous" vertical="center"/>
    </xf>
    <xf numFmtId="49" fontId="2" fillId="0" borderId="82" xfId="0" applyNumberFormat="1" applyFont="1" applyBorder="1" applyAlignment="1">
      <alignment horizontal="centerContinuous" vertical="center"/>
    </xf>
    <xf numFmtId="0" fontId="5" fillId="0" borderId="83" xfId="0" applyFont="1" applyBorder="1" applyAlignment="1">
      <alignment horizontal="centerContinuous" vertical="center"/>
    </xf>
    <xf numFmtId="0" fontId="48" fillId="0" borderId="0" xfId="0" applyFont="1" applyAlignment="1">
      <alignment horizontal="right" vertical="center"/>
    </xf>
    <xf numFmtId="0" fontId="21" fillId="12" borderId="93" xfId="0" applyFont="1" applyFill="1" applyBorder="1" applyAlignment="1">
      <alignment horizontal="center" vertical="center"/>
    </xf>
    <xf numFmtId="0" fontId="49" fillId="0" borderId="0" xfId="0" applyFont="1" applyAlignment="1">
      <alignment horizontal="center" vertical="center"/>
    </xf>
    <xf numFmtId="0" fontId="2" fillId="0" borderId="89" xfId="0" applyFont="1" applyBorder="1" applyAlignment="1">
      <alignment horizontal="centerContinuous" vertical="center" shrinkToFit="1"/>
    </xf>
    <xf numFmtId="0" fontId="2" fillId="0" borderId="45"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6" xfId="0" applyNumberFormat="1" applyFont="1" applyBorder="1" applyAlignment="1">
      <alignment horizontal="center" vertical="center" shrinkToFit="1"/>
    </xf>
    <xf numFmtId="0" fontId="2" fillId="0" borderId="0" xfId="0" applyFont="1" applyAlignment="1">
      <alignment horizontal="center" vertical="center"/>
    </xf>
    <xf numFmtId="0" fontId="2" fillId="0" borderId="85"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84"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6"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0" fontId="2" fillId="0" borderId="94" xfId="0" applyFont="1" applyBorder="1" applyAlignment="1">
      <alignment horizontal="centerContinuous" vertical="center" shrinkToFit="1"/>
    </xf>
    <xf numFmtId="0" fontId="21" fillId="0" borderId="95" xfId="0" applyFont="1" applyBorder="1" applyAlignment="1">
      <alignment horizontal="centerContinuous" vertical="center"/>
    </xf>
    <xf numFmtId="0" fontId="21" fillId="0" borderId="96" xfId="0" applyFont="1" applyBorder="1" applyAlignment="1">
      <alignment horizontal="centerContinuous" vertical="center"/>
    </xf>
    <xf numFmtId="0" fontId="2" fillId="0" borderId="97" xfId="0" applyFont="1" applyBorder="1" applyAlignment="1">
      <alignment horizontal="center" vertical="center"/>
    </xf>
    <xf numFmtId="0" fontId="2" fillId="0" borderId="98" xfId="0" applyFont="1" applyBorder="1" applyAlignment="1">
      <alignment horizontal="centerContinuous" vertical="center"/>
    </xf>
    <xf numFmtId="0" fontId="21" fillId="0" borderId="82" xfId="0" applyFont="1" applyBorder="1" applyAlignment="1">
      <alignment horizontal="centerContinuous" vertical="center"/>
    </xf>
    <xf numFmtId="0" fontId="21" fillId="0" borderId="63" xfId="0" applyFont="1" applyBorder="1" applyAlignment="1">
      <alignment horizontal="centerContinuous" vertical="center"/>
    </xf>
    <xf numFmtId="0" fontId="2" fillId="0" borderId="44" xfId="0" applyFont="1" applyBorder="1" applyAlignment="1">
      <alignment horizontal="center" vertical="center"/>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 fontId="2" fillId="14" borderId="50" xfId="0" applyNumberFormat="1" applyFont="1" applyFill="1" applyBorder="1" applyAlignment="1">
      <alignment horizontal="center" vertical="center" shrinkToFit="1"/>
    </xf>
    <xf numFmtId="1" fontId="3" fillId="0" borderId="0" xfId="0" applyNumberFormat="1" applyFont="1" applyAlignment="1">
      <alignment horizontal="centerContinuous" vertical="center" shrinkToFit="1"/>
    </xf>
    <xf numFmtId="1" fontId="2" fillId="0" borderId="57"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0" xfId="0" quotePrefix="1" applyFont="1" applyBorder="1" applyAlignment="1">
      <alignment horizontal="center" vertical="center"/>
    </xf>
    <xf numFmtId="9" fontId="2" fillId="0" borderId="80" xfId="0" applyNumberFormat="1" applyFont="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Font="1" applyFill="1" applyBorder="1" applyAlignment="1">
      <alignment horizontal="center" vertical="center"/>
    </xf>
    <xf numFmtId="0" fontId="14" fillId="15" borderId="28" xfId="0"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Font="1" applyFill="1" applyBorder="1" applyAlignment="1">
      <alignment horizontal="center" vertical="center"/>
    </xf>
    <xf numFmtId="0" fontId="22" fillId="15" borderId="28" xfId="0" applyFont="1" applyFill="1" applyBorder="1" applyAlignment="1">
      <alignment horizontal="center" vertical="center"/>
    </xf>
    <xf numFmtId="164" fontId="5"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0" fontId="2" fillId="0" borderId="4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Font="1" applyBorder="1" applyAlignment="1">
      <alignment horizontal="center" vertical="center" wrapText="1"/>
    </xf>
    <xf numFmtId="49" fontId="7" fillId="17" borderId="28" xfId="0" applyNumberFormat="1" applyFont="1" applyFill="1" applyBorder="1" applyAlignment="1">
      <alignment horizontal="center" vertical="center"/>
    </xf>
    <xf numFmtId="0" fontId="7" fillId="17" borderId="29" xfId="0" applyFont="1" applyFill="1" applyBorder="1" applyAlignment="1">
      <alignment horizontal="center" vertical="center"/>
    </xf>
    <xf numFmtId="165" fontId="2"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0" fontId="6" fillId="4" borderId="11" xfId="0" applyFont="1" applyFill="1" applyBorder="1" applyAlignment="1">
      <alignment horizontal="right" vertical="center"/>
    </xf>
    <xf numFmtId="0" fontId="26" fillId="0" borderId="26" xfId="0" applyFont="1" applyBorder="1" applyAlignment="1">
      <alignment horizontal="center" vertical="center"/>
    </xf>
    <xf numFmtId="1" fontId="2" fillId="0" borderId="50" xfId="0" applyNumberFormat="1" applyFont="1" applyBorder="1" applyAlignment="1">
      <alignment horizontal="center" vertical="center"/>
    </xf>
    <xf numFmtId="1" fontId="21" fillId="12" borderId="33"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1" fontId="2" fillId="0" borderId="99"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9" borderId="50"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7" xfId="0" applyFont="1" applyFill="1" applyBorder="1" applyAlignment="1">
      <alignment horizontal="center" vertical="center"/>
    </xf>
    <xf numFmtId="49" fontId="2" fillId="18" borderId="47"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4" xfId="0" applyFont="1" applyBorder="1" applyAlignment="1">
      <alignment horizontal="center" vertical="center"/>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49" fontId="16" fillId="0" borderId="0" xfId="0" applyNumberFormat="1" applyFont="1" applyAlignment="1">
      <alignment vertical="center"/>
    </xf>
    <xf numFmtId="1" fontId="7" fillId="0" borderId="26" xfId="0" applyNumberFormat="1" applyFont="1" applyBorder="1" applyAlignment="1">
      <alignment horizontal="centerContinuous" vertical="center"/>
    </xf>
    <xf numFmtId="1" fontId="7" fillId="0" borderId="100" xfId="0" applyNumberFormat="1" applyFont="1" applyBorder="1" applyAlignment="1">
      <alignment horizontal="centerContinuous"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49" fontId="2" fillId="0" borderId="109" xfId="0" applyNumberFormat="1" applyFont="1" applyBorder="1" applyAlignment="1">
      <alignment horizontal="center" vertical="center"/>
    </xf>
    <xf numFmtId="164" fontId="2" fillId="0" borderId="109" xfId="0" applyNumberFormat="1" applyFont="1" applyBorder="1" applyAlignment="1">
      <alignment horizontal="center" vertical="center"/>
    </xf>
    <xf numFmtId="0" fontId="6" fillId="4" borderId="32" xfId="0" applyFont="1" applyFill="1" applyBorder="1" applyAlignment="1">
      <alignment horizontal="right" vertical="center"/>
    </xf>
    <xf numFmtId="164" fontId="2" fillId="0" borderId="97" xfId="0" applyNumberFormat="1" applyFont="1" applyBorder="1" applyAlignment="1">
      <alignment horizontal="center" vertical="center" shrinkToFit="1"/>
    </xf>
    <xf numFmtId="0" fontId="2" fillId="0" borderId="98" xfId="0" applyFont="1" applyBorder="1" applyAlignment="1">
      <alignment horizontal="left" vertical="center" shrinkToFit="1"/>
    </xf>
    <xf numFmtId="49" fontId="2" fillId="0" borderId="74" xfId="0" quotePrefix="1" applyNumberFormat="1" applyFont="1" applyBorder="1" applyAlignment="1">
      <alignment horizontal="center" vertical="center"/>
    </xf>
    <xf numFmtId="49" fontId="17" fillId="0" borderId="35" xfId="0" applyNumberFormat="1" applyFont="1" applyBorder="1" applyAlignment="1">
      <alignment horizontal="center" shrinkToFit="1"/>
    </xf>
    <xf numFmtId="0" fontId="58" fillId="0" borderId="0" xfId="0" applyFont="1" applyAlignment="1">
      <alignment vertical="center"/>
    </xf>
    <xf numFmtId="164" fontId="2" fillId="0" borderId="42" xfId="0" applyNumberFormat="1"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Font="1" applyFill="1" applyBorder="1" applyAlignment="1">
      <alignment horizontal="center" vertical="center"/>
    </xf>
    <xf numFmtId="0" fontId="11" fillId="17" borderId="28" xfId="0" applyFont="1" applyFill="1" applyBorder="1" applyAlignment="1">
      <alignment horizontal="center" vertical="center"/>
    </xf>
    <xf numFmtId="0" fontId="7" fillId="17" borderId="29" xfId="0" quotePrefix="1" applyFont="1" applyFill="1" applyBorder="1" applyAlignment="1">
      <alignment horizontal="center" vertical="center"/>
    </xf>
    <xf numFmtId="0" fontId="59"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Font="1" applyFill="1" applyBorder="1" applyAlignment="1">
      <alignment horizontal="centerContinuous" vertical="center"/>
    </xf>
    <xf numFmtId="0" fontId="7" fillId="0" borderId="48" xfId="0" applyFont="1" applyBorder="1" applyAlignment="1">
      <alignment horizontal="center" vertical="center" wrapText="1"/>
    </xf>
    <xf numFmtId="3" fontId="7" fillId="0" borderId="12" xfId="0" applyNumberFormat="1" applyFont="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Font="1" applyFill="1" applyBorder="1" applyAlignment="1">
      <alignment horizontal="center" vertical="center"/>
    </xf>
    <xf numFmtId="0" fontId="13"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Font="1" applyFill="1" applyBorder="1" applyAlignment="1">
      <alignment horizontal="center" vertical="center"/>
    </xf>
    <xf numFmtId="0" fontId="2" fillId="0" borderId="0" xfId="0" applyFont="1" applyAlignment="1">
      <alignment horizontal="center" vertical="center" shrinkToFit="1"/>
    </xf>
    <xf numFmtId="0" fontId="60"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12" xfId="0" applyFont="1" applyBorder="1" applyAlignment="1">
      <alignment horizontal="left" vertical="center"/>
    </xf>
    <xf numFmtId="1" fontId="2" fillId="0" borderId="37" xfId="0" applyNumberFormat="1" applyFont="1" applyBorder="1" applyAlignment="1">
      <alignment horizontal="center"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xf numFmtId="1" fontId="2" fillId="0" borderId="0" xfId="0" applyNumberFormat="1" applyFont="1" applyAlignment="1">
      <alignment horizontal="center" vertical="center" shrinkToFit="1"/>
    </xf>
    <xf numFmtId="0" fontId="2" fillId="0" borderId="94" xfId="0" applyFont="1" applyBorder="1" applyAlignment="1">
      <alignment horizontal="center" vertical="center" shrinkToFit="1"/>
    </xf>
    <xf numFmtId="1" fontId="2" fillId="0" borderId="97" xfId="0" applyNumberFormat="1" applyFont="1" applyBorder="1" applyAlignment="1">
      <alignment horizontal="center" vertical="center" shrinkToFit="1"/>
    </xf>
    <xf numFmtId="0" fontId="2" fillId="0" borderId="114" xfId="0" applyFont="1" applyBorder="1" applyAlignment="1">
      <alignment horizontal="left" vertical="center"/>
    </xf>
    <xf numFmtId="1" fontId="2" fillId="0" borderId="99" xfId="0" applyNumberFormat="1" applyFont="1" applyBorder="1" applyAlignment="1">
      <alignment horizontal="center" vertical="center" shrinkToFit="1"/>
    </xf>
    <xf numFmtId="2" fontId="2" fillId="0" borderId="37" xfId="0" applyNumberFormat="1" applyFont="1" applyBorder="1" applyAlignment="1">
      <alignment horizontal="center" vertical="center" shrinkToFit="1"/>
    </xf>
    <xf numFmtId="164" fontId="2" fillId="0" borderId="27" xfId="0" applyNumberFormat="1" applyFont="1" applyBorder="1" applyAlignment="1">
      <alignment horizontal="center" vertical="center"/>
    </xf>
    <xf numFmtId="1" fontId="2" fillId="0" borderId="110" xfId="0" applyNumberFormat="1" applyFont="1" applyBorder="1" applyAlignment="1">
      <alignment horizontal="center" vertical="center"/>
    </xf>
    <xf numFmtId="0" fontId="61" fillId="2" borderId="65" xfId="0" applyFont="1" applyFill="1" applyBorder="1" applyAlignment="1">
      <alignment horizontal="center" vertical="center"/>
    </xf>
    <xf numFmtId="0" fontId="13" fillId="17" borderId="1" xfId="0" applyFont="1" applyFill="1" applyBorder="1" applyAlignment="1">
      <alignment vertical="center"/>
    </xf>
    <xf numFmtId="49" fontId="24" fillId="17" borderId="27" xfId="0" applyNumberFormat="1" applyFont="1" applyFill="1" applyBorder="1" applyAlignment="1">
      <alignment horizontal="center" vertical="center"/>
    </xf>
    <xf numFmtId="0" fontId="24" fillId="17" borderId="28" xfId="0" applyFont="1" applyFill="1" applyBorder="1" applyAlignment="1">
      <alignment horizontal="center" vertical="center"/>
    </xf>
    <xf numFmtId="0" fontId="13" fillId="17" borderId="28" xfId="0" applyFont="1" applyFill="1" applyBorder="1" applyAlignment="1">
      <alignment horizontal="center" vertical="center"/>
    </xf>
    <xf numFmtId="0" fontId="50" fillId="0" borderId="50" xfId="0" quotePrefix="1" applyFont="1" applyBorder="1" applyAlignment="1">
      <alignment horizontal="center" vertical="center" shrinkToFit="1"/>
    </xf>
    <xf numFmtId="0" fontId="7" fillId="17" borderId="28" xfId="0" applyFont="1" applyFill="1" applyBorder="1" applyAlignment="1">
      <alignment horizontal="center" vertical="center"/>
    </xf>
    <xf numFmtId="0" fontId="7" fillId="15" borderId="28" xfId="0" applyFont="1" applyFill="1" applyBorder="1" applyAlignment="1">
      <alignment horizontal="center" vertical="center"/>
    </xf>
    <xf numFmtId="0" fontId="11" fillId="18" borderId="1" xfId="0" applyFont="1" applyFill="1" applyBorder="1" applyAlignment="1">
      <alignment vertical="center"/>
    </xf>
    <xf numFmtId="0" fontId="7" fillId="18" borderId="27" xfId="0" applyFont="1" applyFill="1" applyBorder="1" applyAlignment="1">
      <alignment horizontal="center" vertical="center"/>
    </xf>
    <xf numFmtId="49" fontId="17" fillId="18" borderId="27" xfId="0" applyNumberFormat="1" applyFont="1" applyFill="1" applyBorder="1" applyAlignment="1">
      <alignment horizontal="center" vertical="center"/>
    </xf>
    <xf numFmtId="0" fontId="17" fillId="18" borderId="28" xfId="0" applyFont="1" applyFill="1" applyBorder="1" applyAlignment="1">
      <alignment horizontal="center" vertical="center"/>
    </xf>
    <xf numFmtId="0" fontId="11" fillId="18" borderId="28" xfId="0" applyFont="1" applyFill="1" applyBorder="1" applyAlignment="1">
      <alignment horizontal="center" vertical="center"/>
    </xf>
    <xf numFmtId="0" fontId="7" fillId="21" borderId="28" xfId="0"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8" borderId="29" xfId="0" applyFont="1" applyFill="1" applyBorder="1" applyAlignment="1">
      <alignment horizontal="center" vertical="center"/>
    </xf>
    <xf numFmtId="164" fontId="5" fillId="0" borderId="109" xfId="0" applyNumberFormat="1" applyFont="1" applyBorder="1" applyAlignment="1">
      <alignment horizontal="center" vertical="center"/>
    </xf>
    <xf numFmtId="1" fontId="47" fillId="13" borderId="109" xfId="0" applyNumberFormat="1" applyFont="1" applyFill="1" applyBorder="1" applyAlignment="1">
      <alignment horizontal="center" vertical="center"/>
    </xf>
    <xf numFmtId="1" fontId="5" fillId="0" borderId="109" xfId="0" applyNumberFormat="1" applyFont="1" applyBorder="1" applyAlignment="1">
      <alignment horizontal="center" vertical="center"/>
    </xf>
    <xf numFmtId="1" fontId="47" fillId="13" borderId="115" xfId="0" applyNumberFormat="1" applyFont="1" applyFill="1" applyBorder="1" applyAlignment="1">
      <alignment horizontal="center" vertical="center"/>
    </xf>
    <xf numFmtId="1" fontId="2" fillId="18" borderId="47" xfId="0" applyNumberFormat="1" applyFont="1" applyFill="1" applyBorder="1" applyAlignment="1">
      <alignment horizontal="center" vertical="center"/>
    </xf>
    <xf numFmtId="1" fontId="47" fillId="13" borderId="47" xfId="0" applyNumberFormat="1" applyFont="1" applyFill="1" applyBorder="1" applyAlignment="1">
      <alignment horizontal="center" vertical="center"/>
    </xf>
    <xf numFmtId="0" fontId="2" fillId="0" borderId="1" xfId="0" applyFont="1" applyBorder="1" applyAlignment="1">
      <alignment horizontal="centerContinuous" vertical="center"/>
    </xf>
    <xf numFmtId="0" fontId="5" fillId="0" borderId="116" xfId="0" applyFont="1" applyBorder="1" applyAlignment="1">
      <alignment horizontal="centerContinuous" vertical="center"/>
    </xf>
    <xf numFmtId="0" fontId="5" fillId="0" borderId="28" xfId="0" applyFont="1" applyBorder="1" applyAlignment="1">
      <alignment horizontal="centerContinuous" vertical="center"/>
    </xf>
    <xf numFmtId="49" fontId="2" fillId="0" borderId="28" xfId="0" applyNumberFormat="1" applyFont="1" applyBorder="1" applyAlignment="1">
      <alignment horizontal="center" vertical="center"/>
    </xf>
    <xf numFmtId="49" fontId="2" fillId="0" borderId="28" xfId="0" applyNumberFormat="1" applyFont="1" applyBorder="1" applyAlignment="1">
      <alignment horizontal="centerContinuous" vertical="center"/>
    </xf>
    <xf numFmtId="49" fontId="2" fillId="0" borderId="0" xfId="0" applyNumberFormat="1" applyFont="1" applyAlignment="1">
      <alignment horizontal="centerContinuous" vertical="center"/>
    </xf>
    <xf numFmtId="0" fontId="5" fillId="0" borderId="2" xfId="0" applyFont="1" applyBorder="1" applyAlignment="1">
      <alignment horizontal="centerContinuous" vertical="center"/>
    </xf>
    <xf numFmtId="0" fontId="2" fillId="0" borderId="111" xfId="0" applyFont="1" applyBorder="1" applyAlignment="1">
      <alignment horizontal="center" vertical="center"/>
    </xf>
    <xf numFmtId="0" fontId="6" fillId="0" borderId="30" xfId="0" applyFont="1" applyBorder="1" applyAlignment="1">
      <alignment horizontal="center" vertical="center"/>
    </xf>
    <xf numFmtId="9" fontId="7" fillId="11" borderId="27" xfId="3" applyFont="1" applyFill="1" applyBorder="1" applyAlignment="1">
      <alignment horizontal="center" vertical="center" shrinkToFit="1"/>
    </xf>
    <xf numFmtId="9" fontId="7" fillId="0" borderId="48" xfId="2" applyFont="1" applyFill="1" applyBorder="1" applyAlignment="1">
      <alignment horizontal="center" vertical="center" shrinkToFit="1"/>
    </xf>
    <xf numFmtId="9" fontId="7" fillId="11" borderId="28" xfId="3"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11" borderId="28" xfId="0"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11" borderId="28" xfId="3" applyNumberFormat="1" applyFont="1" applyFill="1" applyBorder="1" applyAlignment="1">
      <alignment horizontal="center" vertical="center" shrinkToFit="1"/>
    </xf>
    <xf numFmtId="0" fontId="7" fillId="15" borderId="27" xfId="0" applyFont="1" applyFill="1" applyBorder="1" applyAlignment="1">
      <alignment horizontal="center" vertical="center"/>
    </xf>
    <xf numFmtId="0" fontId="7" fillId="17" borderId="27" xfId="0" applyFont="1" applyFill="1" applyBorder="1" applyAlignment="1">
      <alignment horizontal="center" vertical="center"/>
    </xf>
    <xf numFmtId="0" fontId="7" fillId="5" borderId="27" xfId="0" applyFont="1" applyFill="1" applyBorder="1" applyAlignment="1">
      <alignment horizontal="center" vertical="center"/>
    </xf>
    <xf numFmtId="0" fontId="7" fillId="6" borderId="27" xfId="0" applyFont="1" applyFill="1" applyBorder="1" applyAlignment="1">
      <alignment horizontal="center" vertical="center"/>
    </xf>
    <xf numFmtId="0" fontId="7" fillId="9" borderId="27" xfId="0" applyFont="1" applyFill="1" applyBorder="1" applyAlignment="1">
      <alignment horizontal="center" vertical="center"/>
    </xf>
    <xf numFmtId="0" fontId="7" fillId="0" borderId="47" xfId="0" applyFont="1" applyBorder="1" applyAlignment="1">
      <alignment horizontal="center" vertical="center"/>
    </xf>
    <xf numFmtId="0" fontId="2" fillId="0" borderId="73" xfId="0" applyFont="1" applyBorder="1" applyAlignment="1">
      <alignment horizontal="center" vertical="center"/>
    </xf>
    <xf numFmtId="0" fontId="2" fillId="0" borderId="74" xfId="0" quotePrefix="1" applyFont="1" applyBorder="1" applyAlignment="1">
      <alignment horizontal="center" vertical="center" wrapText="1"/>
    </xf>
    <xf numFmtId="49" fontId="2" fillId="0" borderId="117" xfId="2" applyNumberFormat="1" applyFont="1" applyFill="1" applyBorder="1" applyAlignment="1">
      <alignment horizontal="center" vertical="center"/>
    </xf>
    <xf numFmtId="164" fontId="5" fillId="0" borderId="75" xfId="0" applyNumberFormat="1" applyFont="1" applyBorder="1" applyAlignment="1">
      <alignment horizontal="center" vertical="center"/>
    </xf>
    <xf numFmtId="164" fontId="5" fillId="0" borderId="118" xfId="0" applyNumberFormat="1" applyFont="1" applyBorder="1" applyAlignment="1">
      <alignment horizontal="center" vertical="center"/>
    </xf>
    <xf numFmtId="0" fontId="5" fillId="0" borderId="80" xfId="0" quotePrefix="1" applyFont="1" applyBorder="1" applyAlignment="1">
      <alignment horizontal="center" vertical="center" wrapText="1"/>
    </xf>
    <xf numFmtId="49" fontId="2" fillId="0" borderId="80" xfId="2" applyNumberFormat="1" applyFont="1" applyBorder="1" applyAlignment="1">
      <alignment horizontal="center" vertical="center"/>
    </xf>
    <xf numFmtId="0" fontId="2" fillId="0" borderId="80" xfId="0" applyFont="1" applyBorder="1" applyAlignment="1">
      <alignment horizontal="center" vertical="center" shrinkToFit="1"/>
    </xf>
    <xf numFmtId="164" fontId="2" fillId="0" borderId="81" xfId="0" applyNumberFormat="1" applyFont="1" applyBorder="1" applyAlignment="1">
      <alignment horizontal="center" vertical="center"/>
    </xf>
    <xf numFmtId="1" fontId="7" fillId="0" borderId="70" xfId="0" applyNumberFormat="1" applyFont="1" applyBorder="1" applyAlignment="1">
      <alignment horizontal="centerContinuous" vertical="center"/>
    </xf>
    <xf numFmtId="0" fontId="2" fillId="0" borderId="71" xfId="0" applyFont="1" applyBorder="1" applyAlignment="1">
      <alignment horizontal="centerContinuous" vertical="center"/>
    </xf>
    <xf numFmtId="0" fontId="62" fillId="2" borderId="64" xfId="0" applyFont="1" applyFill="1" applyBorder="1" applyAlignment="1">
      <alignment horizontal="right" vertical="center"/>
    </xf>
    <xf numFmtId="0" fontId="62" fillId="2" borderId="65" xfId="0" applyFont="1" applyFill="1" applyBorder="1" applyAlignment="1">
      <alignment horizontal="left" vertical="center"/>
    </xf>
    <xf numFmtId="9" fontId="7" fillId="0" borderId="27" xfId="8" applyFont="1" applyFill="1" applyBorder="1" applyAlignment="1">
      <alignment horizontal="center" vertical="center" shrinkToFit="1"/>
    </xf>
    <xf numFmtId="0" fontId="7" fillId="9" borderId="1" xfId="0" applyFont="1" applyFill="1" applyBorder="1" applyAlignment="1">
      <alignment horizontal="center" vertical="center" shrinkToFit="1"/>
    </xf>
    <xf numFmtId="0" fontId="7" fillId="9" borderId="27" xfId="0" applyFont="1" applyFill="1" applyBorder="1" applyAlignment="1">
      <alignment horizontal="center" vertical="center" wrapText="1"/>
    </xf>
    <xf numFmtId="9" fontId="7" fillId="9" borderId="27" xfId="2" applyFont="1" applyFill="1" applyBorder="1" applyAlignment="1">
      <alignment horizontal="center" vertical="center" shrinkToFit="1"/>
    </xf>
    <xf numFmtId="9" fontId="7" fillId="9" borderId="28" xfId="2" applyFont="1" applyFill="1" applyBorder="1" applyAlignment="1">
      <alignment horizontal="center" vertical="center" shrinkToFit="1"/>
    </xf>
    <xf numFmtId="0" fontId="7" fillId="9" borderId="28" xfId="0" applyFont="1" applyFill="1" applyBorder="1" applyAlignment="1">
      <alignment horizontal="center" vertical="center" shrinkToFit="1"/>
    </xf>
    <xf numFmtId="0" fontId="7" fillId="9" borderId="28" xfId="2" applyNumberFormat="1" applyFont="1" applyFill="1" applyBorder="1" applyAlignment="1">
      <alignment horizontal="center" vertical="center" shrinkToFit="1"/>
    </xf>
    <xf numFmtId="0" fontId="7" fillId="9" borderId="29" xfId="0" applyFont="1" applyFill="1" applyBorder="1" applyAlignment="1">
      <alignment horizontal="center" vertical="center" wrapText="1"/>
    </xf>
    <xf numFmtId="0" fontId="7" fillId="9" borderId="8" xfId="0" applyFont="1" applyFill="1" applyBorder="1" applyAlignment="1">
      <alignment horizontal="center" vertical="center" shrinkToFit="1"/>
    </xf>
    <xf numFmtId="0" fontId="7" fillId="9" borderId="47" xfId="0" applyFont="1" applyFill="1" applyBorder="1" applyAlignment="1">
      <alignment horizontal="center" vertical="center" wrapText="1"/>
    </xf>
    <xf numFmtId="9" fontId="7" fillId="9" borderId="47" xfId="2" applyFont="1" applyFill="1" applyBorder="1" applyAlignment="1">
      <alignment horizontal="center" vertical="center" shrinkToFit="1"/>
    </xf>
    <xf numFmtId="9" fontId="7" fillId="9" borderId="49" xfId="2" applyFont="1" applyFill="1" applyBorder="1" applyAlignment="1">
      <alignment horizontal="center" vertical="center" shrinkToFit="1"/>
    </xf>
    <xf numFmtId="0" fontId="7" fillId="9" borderId="49" xfId="0" applyFont="1" applyFill="1" applyBorder="1" applyAlignment="1">
      <alignment horizontal="center" vertical="center" shrinkToFit="1"/>
    </xf>
    <xf numFmtId="0" fontId="7" fillId="9" borderId="49" xfId="2" applyNumberFormat="1" applyFont="1" applyFill="1" applyBorder="1" applyAlignment="1">
      <alignment horizontal="center" vertical="center" shrinkToFit="1"/>
    </xf>
    <xf numFmtId="0" fontId="7" fillId="9" borderId="36" xfId="0" applyFont="1" applyFill="1" applyBorder="1" applyAlignment="1">
      <alignment horizontal="center" vertical="center" wrapText="1"/>
    </xf>
    <xf numFmtId="0" fontId="7" fillId="0" borderId="26" xfId="0" quotePrefix="1" applyFont="1" applyBorder="1" applyAlignment="1">
      <alignment horizontal="center" vertical="center"/>
    </xf>
    <xf numFmtId="0" fontId="6" fillId="9" borderId="1" xfId="0" applyFont="1" applyFill="1" applyBorder="1" applyAlignment="1">
      <alignment horizontal="right" vertical="center"/>
    </xf>
    <xf numFmtId="0" fontId="2" fillId="9" borderId="0" xfId="0" applyFont="1" applyFill="1" applyAlignment="1">
      <alignment horizontal="centerContinuous" vertical="center"/>
    </xf>
    <xf numFmtId="0" fontId="6" fillId="9" borderId="0" xfId="0" applyFont="1" applyFill="1" applyAlignment="1">
      <alignment horizontal="right" vertical="center"/>
    </xf>
    <xf numFmtId="0" fontId="7" fillId="9" borderId="0" xfId="0" applyFont="1" applyFill="1" applyAlignment="1">
      <alignment horizontal="center" vertical="center"/>
    </xf>
    <xf numFmtId="0" fontId="50" fillId="0" borderId="0" xfId="0" quotePrefix="1" applyFont="1" applyAlignment="1">
      <alignment horizontal="center" vertical="center" shrinkToFit="1"/>
    </xf>
    <xf numFmtId="0" fontId="17" fillId="0" borderId="0" xfId="0" applyFont="1" applyAlignment="1">
      <alignment horizontal="center" vertical="center" shrinkToFit="1"/>
    </xf>
    <xf numFmtId="0" fontId="17" fillId="0" borderId="0" xfId="0" quotePrefix="1" applyFont="1" applyAlignment="1">
      <alignment horizontal="center" vertical="center" shrinkToFit="1"/>
    </xf>
    <xf numFmtId="0" fontId="53" fillId="0" borderId="33" xfId="0" applyFont="1" applyBorder="1" applyAlignment="1">
      <alignment horizontal="center" vertical="center"/>
    </xf>
    <xf numFmtId="0" fontId="51" fillId="0" borderId="0" xfId="0" applyFont="1" applyAlignment="1">
      <alignment horizontal="center" vertical="center"/>
    </xf>
    <xf numFmtId="0" fontId="50" fillId="0" borderId="37" xfId="0" applyFont="1" applyBorder="1" applyAlignment="1">
      <alignment horizontal="center" vertical="center"/>
    </xf>
    <xf numFmtId="0" fontId="50" fillId="0" borderId="0" xfId="0" applyFont="1" applyAlignment="1">
      <alignment horizontal="center" vertical="center"/>
    </xf>
    <xf numFmtId="0" fontId="53" fillId="0" borderId="0" xfId="0" applyFont="1" applyAlignment="1">
      <alignment horizontal="center" vertical="center"/>
    </xf>
    <xf numFmtId="0" fontId="7" fillId="0" borderId="55" xfId="0" applyFont="1" applyBorder="1" applyAlignment="1">
      <alignment horizontal="center" vertical="center"/>
    </xf>
    <xf numFmtId="0" fontId="7" fillId="0" borderId="37" xfId="0" applyFont="1" applyBorder="1" applyAlignment="1">
      <alignment horizontal="center" vertical="center"/>
    </xf>
    <xf numFmtId="0" fontId="7" fillId="0" borderId="50" xfId="0" applyFont="1" applyBorder="1" applyAlignment="1">
      <alignment horizontal="center" vertical="center"/>
    </xf>
    <xf numFmtId="0" fontId="7" fillId="0" borderId="56" xfId="0" applyFont="1" applyBorder="1" applyAlignment="1">
      <alignment horizontal="center" vertical="center"/>
    </xf>
    <xf numFmtId="0" fontId="55" fillId="0" borderId="33" xfId="0" applyFont="1" applyBorder="1" applyAlignment="1">
      <alignment horizontal="center" vertical="center"/>
    </xf>
    <xf numFmtId="0" fontId="57" fillId="0" borderId="0" xfId="0" applyFont="1" applyAlignment="1">
      <alignment horizontal="centerContinuous" vertical="center"/>
    </xf>
    <xf numFmtId="0" fontId="37" fillId="0" borderId="0" xfId="0" applyFont="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10" borderId="60" xfId="0" applyFont="1" applyFill="1" applyBorder="1" applyAlignment="1">
      <alignment horizontal="center" vertical="center"/>
    </xf>
    <xf numFmtId="0" fontId="2" fillId="10" borderId="61" xfId="0" applyFont="1" applyFill="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2" fillId="10" borderId="42" xfId="0" applyFont="1" applyFill="1" applyBorder="1" applyAlignment="1">
      <alignment horizontal="center" vertical="center"/>
    </xf>
    <xf numFmtId="0" fontId="2" fillId="10" borderId="43" xfId="0" applyFont="1" applyFill="1" applyBorder="1" applyAlignment="1">
      <alignment horizontal="center" vertical="center"/>
    </xf>
    <xf numFmtId="0" fontId="4" fillId="0" borderId="101" xfId="0" applyFont="1" applyBorder="1" applyAlignment="1">
      <alignment horizontal="right" vertical="center"/>
    </xf>
    <xf numFmtId="0" fontId="38" fillId="19" borderId="105" xfId="0" applyFont="1" applyFill="1" applyBorder="1" applyAlignment="1">
      <alignment horizontal="center" vertical="center"/>
    </xf>
    <xf numFmtId="0" fontId="4" fillId="10" borderId="106" xfId="0" applyFont="1" applyFill="1" applyBorder="1" applyAlignment="1">
      <alignment horizontal="center" vertical="center"/>
    </xf>
    <xf numFmtId="0" fontId="4" fillId="10" borderId="107" xfId="0" applyFont="1" applyFill="1" applyBorder="1" applyAlignment="1">
      <alignment horizontal="center" vertical="center"/>
    </xf>
    <xf numFmtId="0" fontId="4" fillId="0" borderId="57" xfId="0" applyFont="1" applyBorder="1" applyAlignment="1">
      <alignment horizontal="right" vertical="center"/>
    </xf>
    <xf numFmtId="1" fontId="2" fillId="0" borderId="102" xfId="0" applyNumberFormat="1" applyFont="1" applyBorder="1" applyAlignment="1">
      <alignment horizontal="center" vertical="center"/>
    </xf>
    <xf numFmtId="0" fontId="2" fillId="10" borderId="103" xfId="0" applyFont="1" applyFill="1" applyBorder="1" applyAlignment="1">
      <alignment horizontal="center" vertical="center"/>
    </xf>
    <xf numFmtId="0" fontId="2" fillId="10" borderId="104" xfId="0" applyFont="1" applyFill="1" applyBorder="1" applyAlignment="1">
      <alignment horizontal="center" vertical="center"/>
    </xf>
    <xf numFmtId="0" fontId="54" fillId="0" borderId="33" xfId="0" applyFont="1" applyBorder="1" applyAlignment="1">
      <alignment horizontal="center" vertical="center"/>
    </xf>
    <xf numFmtId="0" fontId="4" fillId="0" borderId="50" xfId="0" applyFont="1" applyBorder="1" applyAlignment="1">
      <alignment horizontal="right" vertical="center"/>
    </xf>
    <xf numFmtId="0" fontId="2" fillId="16" borderId="63" xfId="0" applyFont="1" applyFill="1" applyBorder="1" applyAlignment="1">
      <alignment horizontal="center" vertical="center"/>
    </xf>
    <xf numFmtId="0" fontId="2" fillId="10" borderId="44" xfId="0" applyFont="1" applyFill="1" applyBorder="1" applyAlignment="1">
      <alignment horizontal="center" vertical="center"/>
    </xf>
    <xf numFmtId="0" fontId="2" fillId="10" borderId="45" xfId="0" applyFont="1" applyFill="1" applyBorder="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vertical="center"/>
    </xf>
    <xf numFmtId="0" fontId="17" fillId="9" borderId="56" xfId="0" quotePrefix="1" applyFont="1" applyFill="1" applyBorder="1" applyAlignment="1">
      <alignment horizontal="center" vertical="center" shrinkToFit="1"/>
    </xf>
    <xf numFmtId="0" fontId="17" fillId="9" borderId="37" xfId="0" quotePrefix="1" applyFont="1" applyFill="1" applyBorder="1" applyAlignment="1">
      <alignment horizontal="center" vertical="center" shrinkToFit="1"/>
    </xf>
    <xf numFmtId="0" fontId="8" fillId="17" borderId="1" xfId="0" applyFont="1" applyFill="1" applyBorder="1" applyAlignment="1">
      <alignment vertical="center"/>
    </xf>
    <xf numFmtId="49" fontId="18" fillId="17" borderId="27" xfId="0" applyNumberFormat="1" applyFont="1" applyFill="1" applyBorder="1" applyAlignment="1">
      <alignment horizontal="center" vertical="center"/>
    </xf>
    <xf numFmtId="0" fontId="18" fillId="17" borderId="28" xfId="0" applyFont="1" applyFill="1" applyBorder="1" applyAlignment="1">
      <alignment horizontal="center" vertical="center"/>
    </xf>
    <xf numFmtId="0" fontId="8" fillId="17" borderId="28" xfId="0" applyFont="1" applyFill="1" applyBorder="1" applyAlignment="1">
      <alignment horizontal="center" vertical="center"/>
    </xf>
    <xf numFmtId="0" fontId="14" fillId="22" borderId="1" xfId="0" applyFont="1" applyFill="1" applyBorder="1" applyAlignment="1">
      <alignment vertical="center"/>
    </xf>
    <xf numFmtId="0" fontId="7" fillId="22" borderId="27" xfId="0" applyFont="1" applyFill="1" applyBorder="1" applyAlignment="1">
      <alignment horizontal="center" vertical="center"/>
    </xf>
    <xf numFmtId="49" fontId="23" fillId="22" borderId="27" xfId="0" applyNumberFormat="1" applyFont="1" applyFill="1" applyBorder="1" applyAlignment="1">
      <alignment horizontal="center" vertical="center"/>
    </xf>
    <xf numFmtId="0" fontId="23" fillId="22" borderId="28" xfId="0" applyFont="1" applyFill="1" applyBorder="1" applyAlignment="1">
      <alignment horizontal="center" vertical="center"/>
    </xf>
    <xf numFmtId="0" fontId="14" fillId="22" borderId="28" xfId="0" applyFont="1" applyFill="1" applyBorder="1" applyAlignment="1">
      <alignment horizontal="center" vertical="center"/>
    </xf>
    <xf numFmtId="49" fontId="7" fillId="22" borderId="28" xfId="0" applyNumberFormat="1" applyFont="1" applyFill="1" applyBorder="1" applyAlignment="1">
      <alignment horizontal="center" vertical="center"/>
    </xf>
    <xf numFmtId="0" fontId="7" fillId="22" borderId="29" xfId="0" quotePrefix="1" applyFont="1" applyFill="1" applyBorder="1" applyAlignment="1">
      <alignment horizontal="center" vertical="center"/>
    </xf>
    <xf numFmtId="0" fontId="10" fillId="22" borderId="1" xfId="0" applyFont="1" applyFill="1" applyBorder="1" applyAlignment="1">
      <alignment vertical="center"/>
    </xf>
    <xf numFmtId="49" fontId="27" fillId="22" borderId="27" xfId="0" applyNumberFormat="1" applyFont="1" applyFill="1" applyBorder="1" applyAlignment="1">
      <alignment horizontal="center" vertical="center"/>
    </xf>
    <xf numFmtId="0" fontId="27" fillId="22" borderId="28" xfId="0" applyFont="1" applyFill="1" applyBorder="1" applyAlignment="1">
      <alignment horizontal="center" vertical="center"/>
    </xf>
    <xf numFmtId="0" fontId="10" fillId="22" borderId="28" xfId="0" applyFont="1" applyFill="1" applyBorder="1" applyAlignment="1">
      <alignment horizontal="center" vertical="center"/>
    </xf>
    <xf numFmtId="0" fontId="7" fillId="22" borderId="29" xfId="0" applyFont="1" applyFill="1" applyBorder="1" applyAlignment="1">
      <alignment horizontal="center" vertical="center"/>
    </xf>
    <xf numFmtId="0" fontId="2" fillId="0" borderId="77" xfId="0" quotePrefix="1" applyFont="1" applyBorder="1" applyAlignment="1">
      <alignment horizontal="centerContinuous"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49" fontId="2" fillId="0" borderId="120" xfId="2" applyNumberFormat="1" applyFont="1" applyFill="1" applyBorder="1" applyAlignment="1">
      <alignment horizontal="center" vertical="center"/>
    </xf>
    <xf numFmtId="0" fontId="2" fillId="0" borderId="120" xfId="0" applyFont="1" applyBorder="1" applyAlignment="1">
      <alignment horizontal="center" vertical="center" shrinkToFit="1"/>
    </xf>
    <xf numFmtId="164" fontId="2" fillId="0" borderId="120" xfId="0" applyNumberFormat="1" applyFont="1" applyBorder="1" applyAlignment="1">
      <alignment horizontal="center" vertical="center"/>
    </xf>
    <xf numFmtId="1" fontId="2" fillId="0" borderId="57" xfId="0" applyNumberFormat="1" applyFont="1" applyBorder="1" applyAlignment="1">
      <alignment horizontal="center" vertical="center"/>
    </xf>
    <xf numFmtId="0" fontId="2" fillId="0" borderId="97" xfId="0" applyFont="1" applyBorder="1" applyAlignment="1">
      <alignment horizontal="center" vertical="center" shrinkToFit="1"/>
    </xf>
    <xf numFmtId="164" fontId="2" fillId="9" borderId="97" xfId="0" applyNumberFormat="1" applyFont="1" applyFill="1" applyBorder="1" applyAlignment="1">
      <alignment horizontal="center" vertical="center" shrinkToFit="1"/>
    </xf>
    <xf numFmtId="0" fontId="5" fillId="0" borderId="114" xfId="0" applyFont="1" applyBorder="1" applyAlignment="1">
      <alignment horizontal="left" vertical="center"/>
    </xf>
    <xf numFmtId="1" fontId="47" fillId="13" borderId="74" xfId="0" applyNumberFormat="1" applyFont="1" applyFill="1" applyBorder="1" applyAlignment="1">
      <alignment horizontal="center" vertical="center"/>
    </xf>
    <xf numFmtId="1" fontId="47" fillId="13" borderId="80" xfId="0" applyNumberFormat="1" applyFont="1" applyFill="1" applyBorder="1" applyAlignment="1">
      <alignment horizontal="center" vertical="center"/>
    </xf>
    <xf numFmtId="0" fontId="5" fillId="0" borderId="77" xfId="0" applyFont="1" applyBorder="1" applyAlignment="1">
      <alignment horizontal="center" vertical="center"/>
    </xf>
    <xf numFmtId="0" fontId="5" fillId="0" borderId="121" xfId="0" applyFont="1" applyBorder="1" applyAlignment="1">
      <alignment horizontal="center" vertical="center"/>
    </xf>
    <xf numFmtId="0" fontId="4" fillId="0" borderId="83" xfId="0" applyFont="1" applyBorder="1" applyAlignment="1">
      <alignment horizontal="center" vertical="center"/>
    </xf>
    <xf numFmtId="1" fontId="5" fillId="0" borderId="74" xfId="0" applyNumberFormat="1" applyFont="1" applyBorder="1" applyAlignment="1">
      <alignment horizontal="center" vertical="center"/>
    </xf>
    <xf numFmtId="1" fontId="5" fillId="0" borderId="115" xfId="0" applyNumberFormat="1" applyFont="1" applyBorder="1" applyAlignment="1">
      <alignment horizontal="center" vertical="center"/>
    </xf>
    <xf numFmtId="1" fontId="2" fillId="0" borderId="80" xfId="0" applyNumberFormat="1" applyFont="1" applyBorder="1" applyAlignment="1">
      <alignment horizontal="center" vertical="center"/>
    </xf>
    <xf numFmtId="0" fontId="2" fillId="23" borderId="94" xfId="0" applyFont="1" applyFill="1" applyBorder="1" applyAlignment="1">
      <alignment horizontal="center" vertical="center" shrinkToFit="1"/>
    </xf>
    <xf numFmtId="0" fontId="2" fillId="20" borderId="94" xfId="0" applyFont="1" applyFill="1" applyBorder="1" applyAlignment="1">
      <alignment horizontal="center" vertical="center" shrinkToFit="1"/>
    </xf>
    <xf numFmtId="0" fontId="47" fillId="24" borderId="94" xfId="0" applyFont="1" applyFill="1" applyBorder="1" applyAlignment="1">
      <alignment horizontal="center" vertical="center" shrinkToFit="1"/>
    </xf>
    <xf numFmtId="0" fontId="47" fillId="24" borderId="86" xfId="0" applyFont="1" applyFill="1" applyBorder="1" applyAlignment="1">
      <alignment horizontal="center" vertical="center" shrinkToFit="1"/>
    </xf>
    <xf numFmtId="0" fontId="2" fillId="9" borderId="94" xfId="0" applyFont="1" applyFill="1" applyBorder="1" applyAlignment="1">
      <alignment horizontal="center" vertical="center" shrinkToFit="1"/>
    </xf>
    <xf numFmtId="1" fontId="2" fillId="9" borderId="97" xfId="0" applyNumberFormat="1" applyFont="1" applyFill="1" applyBorder="1" applyAlignment="1">
      <alignment horizontal="center" vertical="center" shrinkToFit="1"/>
    </xf>
    <xf numFmtId="0" fontId="2" fillId="9" borderId="114" xfId="0" applyFont="1" applyFill="1" applyBorder="1" applyAlignment="1">
      <alignment horizontal="left" vertical="center"/>
    </xf>
    <xf numFmtId="0" fontId="2" fillId="9" borderId="98" xfId="0" applyFont="1" applyFill="1" applyBorder="1" applyAlignment="1">
      <alignment horizontal="left" vertical="center" shrinkToFit="1"/>
    </xf>
    <xf numFmtId="0" fontId="2" fillId="9" borderId="89" xfId="0" applyFont="1" applyFill="1" applyBorder="1" applyAlignment="1">
      <alignment horizontal="center" vertical="center" shrinkToFit="1"/>
    </xf>
    <xf numFmtId="1" fontId="2" fillId="9" borderId="44" xfId="0" applyNumberFormat="1" applyFont="1" applyFill="1" applyBorder="1" applyAlignment="1">
      <alignment horizontal="center" vertical="center" shrinkToFit="1"/>
    </xf>
    <xf numFmtId="164" fontId="2" fillId="9" borderId="44" xfId="0" applyNumberFormat="1" applyFont="1" applyFill="1" applyBorder="1" applyAlignment="1">
      <alignment horizontal="center" vertical="center" shrinkToFit="1"/>
    </xf>
    <xf numFmtId="0" fontId="2" fillId="9" borderId="113" xfId="0" applyFont="1" applyFill="1" applyBorder="1" applyAlignment="1">
      <alignment horizontal="left" vertical="center"/>
    </xf>
    <xf numFmtId="0" fontId="2" fillId="9" borderId="45" xfId="0" applyFont="1" applyFill="1" applyBorder="1" applyAlignment="1">
      <alignment horizontal="left" vertical="center" shrinkToFit="1"/>
    </xf>
    <xf numFmtId="2" fontId="2" fillId="9" borderId="37" xfId="0" applyNumberFormat="1" applyFont="1" applyFill="1" applyBorder="1" applyAlignment="1">
      <alignment horizontal="center" vertical="center" shrinkToFit="1"/>
    </xf>
    <xf numFmtId="1" fontId="2" fillId="9" borderId="99" xfId="0" applyNumberFormat="1" applyFont="1" applyFill="1" applyBorder="1" applyAlignment="1">
      <alignment horizontal="center" vertical="center" shrinkToFit="1"/>
    </xf>
    <xf numFmtId="1" fontId="2" fillId="9" borderId="50" xfId="0" applyNumberFormat="1" applyFont="1" applyFill="1" applyBorder="1" applyAlignment="1">
      <alignment horizontal="center" vertical="center" shrinkToFit="1"/>
    </xf>
    <xf numFmtId="0" fontId="2" fillId="25" borderId="85" xfId="0" applyFont="1" applyFill="1" applyBorder="1" applyAlignment="1">
      <alignment horizontal="center" vertical="center" shrinkToFit="1"/>
    </xf>
    <xf numFmtId="0" fontId="63" fillId="19" borderId="85" xfId="0" applyFont="1" applyFill="1" applyBorder="1" applyAlignment="1">
      <alignment horizontal="center" vertical="center" shrinkToFit="1"/>
    </xf>
    <xf numFmtId="0" fontId="2" fillId="26" borderId="86" xfId="0" applyFont="1" applyFill="1" applyBorder="1" applyAlignment="1">
      <alignment horizontal="center" vertical="center" shrinkToFit="1"/>
    </xf>
    <xf numFmtId="0" fontId="2" fillId="26" borderId="44" xfId="0" applyFont="1" applyFill="1" applyBorder="1" applyAlignment="1">
      <alignment horizontal="center" vertical="center" shrinkToFit="1"/>
    </xf>
    <xf numFmtId="1" fontId="2" fillId="26" borderId="50" xfId="0" applyNumberFormat="1" applyFont="1" applyFill="1" applyBorder="1" applyAlignment="1">
      <alignment horizontal="center" vertical="center" shrinkToFit="1"/>
    </xf>
    <xf numFmtId="0" fontId="5" fillId="26" borderId="44" xfId="0" applyFont="1" applyFill="1" applyBorder="1" applyAlignment="1">
      <alignment horizontal="left" vertical="center"/>
    </xf>
    <xf numFmtId="0" fontId="5" fillId="26" borderId="45" xfId="0" applyFont="1" applyFill="1" applyBorder="1" applyAlignment="1">
      <alignment horizontal="left" vertical="center" shrinkToFit="1"/>
    </xf>
    <xf numFmtId="0" fontId="64" fillId="24" borderId="94" xfId="0" applyFont="1" applyFill="1" applyBorder="1" applyAlignment="1">
      <alignment horizontal="center" vertical="center" shrinkToFit="1"/>
    </xf>
    <xf numFmtId="0" fontId="64" fillId="24" borderId="41" xfId="0" applyFont="1" applyFill="1" applyBorder="1" applyAlignment="1">
      <alignment horizontal="center" vertical="center" shrinkToFit="1"/>
    </xf>
    <xf numFmtId="164" fontId="2" fillId="0" borderId="81" xfId="0" applyNumberFormat="1" applyFont="1" applyBorder="1" applyAlignment="1">
      <alignment horizontal="centerContinuous" vertical="center"/>
    </xf>
    <xf numFmtId="164" fontId="2" fillId="0" borderId="82" xfId="0" applyNumberFormat="1" applyFont="1" applyBorder="1" applyAlignment="1">
      <alignment horizontal="centerContinuous" vertical="center"/>
    </xf>
    <xf numFmtId="0" fontId="2" fillId="0" borderId="83" xfId="0" applyFont="1" applyBorder="1" applyAlignment="1">
      <alignment horizontal="centerContinuous" vertical="center"/>
    </xf>
    <xf numFmtId="9" fontId="2" fillId="9" borderId="74" xfId="2" quotePrefix="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1">
    <dxf>
      <font>
        <color rgb="FFFF0000"/>
      </font>
    </dxf>
    <dxf>
      <fill>
        <patternFill>
          <bgColor rgb="FFFF0000"/>
        </patternFill>
      </fill>
    </dxf>
    <dxf>
      <font>
        <b val="0"/>
        <i/>
        <color auto="1"/>
      </font>
      <fill>
        <patternFill>
          <bgColor theme="0" tint="-0.24994659260841701"/>
        </patternFill>
      </fill>
    </dxf>
    <dxf>
      <font>
        <b/>
        <i val="0"/>
        <color theme="1"/>
      </font>
      <fill>
        <patternFill>
          <bgColor rgb="FF00FF00"/>
        </patternFill>
      </fill>
    </dxf>
    <dxf>
      <font>
        <b/>
        <i val="0"/>
        <color theme="1"/>
      </font>
      <fill>
        <patternFill>
          <bgColor rgb="FF00FF00"/>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CCFF"/>
      <color rgb="FFFF00FF"/>
      <color rgb="FF66FF33"/>
      <color rgb="FF9966FF"/>
      <color rgb="FFCCFFCC"/>
      <color rgb="FFCC99FF"/>
      <color rgb="FF00FF00"/>
      <color rgb="FF0000FF"/>
      <color rgb="FF66FF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34290</xdr:colOff>
      <xdr:row>16</xdr:row>
      <xdr:rowOff>66675</xdr:rowOff>
    </xdr:from>
    <xdr:to>
      <xdr:col>6</xdr:col>
      <xdr:colOff>1116330</xdr:colOff>
      <xdr:row>96</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34290" y="3777615"/>
          <a:ext cx="6507480" cy="1719072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Landorin is a fairly typical moon elf in appearance, a couple inches taller than average and definitely stockier, he clearly enjoys food a bit more fattening than what he grew up on as a child, having put on some extra weight once he became a sailor. He has silver-white hair, tied back in a braid, and fair skin, though a bit tanned and weathered due to his time spent out in the sun, wind, and salty spray.</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Landorin’s eyes are green with gold flecks, but looking closely, they occasionally seem a bit murky, due to some minor damage done during an incident with salty water and grit that got into them. He’s naturally Farsighted to begin with, able to focus better on things at a distance, which is helpful for spotting sails on the horizon, but not as useful when trying to find specific small tools in a toolbox or other small object close by, and focusing on things in shadowy areas can be tricky. This occasionally makes him seem distracted when talking to folks, as he might not be looking straight at them.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Landorin normally wears a traveler’s outfit, though one suited to a sailor’s duties, and he naturally fits in near the docks; some folks mistake him for a human boy from a distance. He also has folded away an entertainer’s outfit for wearing during performances, whether busking on the street or singing on a stage. But when he’s fully geared up, he wears light armor that won’t interfere with his movements, with a buckler on his left arm and a few weapons here and there...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Landorin was born and grew up in the metropolis of Gildenglade in Turmish, in the Vilhon Reach region, to a middle-class elven clan of woodcarvers and merchants. For his first 100 years he played like most elven children without worrying too much about what he would do when he grew up. But as he approaches the age of maturity, during that decade he found that he enjoyed listening to music, and began singing along with the few bards and other singers he encountered, even making up songs on occasion.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also occasionally traveled with family members on occasion to the capital of Turmish - Alaghon, the ancient city of stone, where ships came from and went to many exotic and strange other places. As he looked at the sea, he felt it calling to him. He resolved one day to come back and get on one of those ships to go see more of the world.</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At almost 115 years of age, he had spent 5 years working on becoming a bard, but he felt his gift was different than the gifts of other bards, it felt more like a gift being given to him by the goddess of the Moon, Selune, whom he’d come to worship, rather than a gift he was born with. But he learned a few things from those who has the normal gift, while thinking about the sea, and finally he talked with his family about this yearning to wander on the waves. This was no great surprise to his mother, who also called Selune her goddess, and his parents made arrangements for him to work as an sailor for one of the shipping companies that occasionally carried their finely carven goods to buyers elsewhere.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The deal was made, and on his 115th birthday, he signed on and shipped out as a sailor of the lowest rank on the merchant ship Wavedancer. He took to the job with gusto, and with his youthful enthusiasm, polite demeanor, and charming ways, quickly became well-liked by most of the crew, though they didn’t cut him any slack as far as the work was concerned. He learned that, at sea, discipline was important, and that orders needed to be carried out quickly and without questioning, that it was important to trust in the officers and senior crew, regardless of their race, gender, or other differences. This chafed a bit, but he adapted well enough, and mastered the profession of sailor as best he could.</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also learned that sailors enjoy singing as well, even if they couldn’t hold a tune very well, and often used songs called sea chanteys to help them perform repetitive tasks more efficiently and enjoyably. He quickly picked up many of those tunes and ended up leading them sometimes. He further developed the gifts Selûne gave him, including mastering a few minor spells useful aboard ship. Though he could only cast a couple each day, he was happy to use them on behalf of the ship and crew, curing minor injuries, verifying direction on occasion, mending broken items, and sending whispered messages to sailors at a distance when the winds were too loud for should to travel.</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When the ship put in to port, Landorin would often accompany one of the more responsible senior sailors, and enjoyed hearing tales of various kinds, while not drinking too much so as to keep a clear head. He didn’t get in too many brawls, but when his companions did, he used his music to help them. Occasionally he was even able to persuade people to stop fighting and just have another drink to smooth things over; he usually had a few coins saved up and was happy to buy a round to stop a fight.</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After a mere (in elven time) 20 years, though, his life aboard ship came to an end. He’d seen something ahead of the ship during a storm that was dangerous, but he couldn’t persuade the officer in charge to change course, they were following orders and there was no time to argue.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prayed to Selûne for guidance to help save the ship, and with Her voice in his head he took it up on himself to take the helm and divert the ship from a collision just in time. This earned him a Captain’s mast and some lashes, because those were the rules! He didn’t complain, and while it hurt, he was pretty sure the first mate had gone easy on him, and he held no grudge. The crew were sorry to see him off the ship, but he’d started to think maybe it was time to see more than just the sea and the ports...and that just maybe following the rules might be his way. He had some serious thinking to do about that, but for now, he was going to get drunk for the first time in his life...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solidFill>
                <a:schemeClr val="bg1">
                  <a:lumMod val="65000"/>
                </a:schemeClr>
              </a:solidFill>
              <a:effectLst/>
              <a:latin typeface="Times New Roman" panose="02020603050405020304" pitchFamily="18" charset="0"/>
              <a:ea typeface="+mn-ea"/>
              <a:cs typeface="Times New Roman" panose="02020603050405020304" pitchFamily="18" charset="0"/>
            </a:rPr>
            <a:t>NOTE – at this point he is 135, he has 2 more years before he meets the dwarf, according to the aging die rolls I made; I have him at age 137 at 1st level, but figure at this point he just has 2 skill points left to use, during these two years in port is when he’ll learn his two languages, ie he’ll be working on Chondathan and Damaran, he only knows a few words of each currently.</a:t>
          </a:r>
        </a:p>
        <a:p>
          <a:pPr algn="just"/>
          <a:endParaRPr lang="en-US" sz="1200">
            <a:solidFill>
              <a:schemeClr val="bg1">
                <a:lumMod val="65000"/>
              </a:schemeClr>
            </a:solidFill>
            <a:effectLst/>
            <a:latin typeface="Times New Roman" panose="02020603050405020304" pitchFamily="18" charset="0"/>
            <a:ea typeface="+mn-ea"/>
            <a:cs typeface="Times New Roman" panose="02020603050405020304" pitchFamily="18" charset="0"/>
          </a:endParaRPr>
        </a:p>
        <a:p>
          <a:pPr algn="just"/>
          <a:r>
            <a:rPr lang="en-US" sz="1200">
              <a:solidFill>
                <a:schemeClr val="bg1">
                  <a:lumMod val="65000"/>
                </a:schemeClr>
              </a:solidFill>
              <a:effectLst/>
              <a:latin typeface="Times New Roman" panose="02020603050405020304" pitchFamily="18" charset="0"/>
              <a:ea typeface="+mn-ea"/>
              <a:cs typeface="Times New Roman" panose="02020603050405020304" pitchFamily="18" charset="0"/>
            </a:rPr>
            <a:t>Note – counting back from the expected half-elf age, it looks like she will be 29 when Landorin is 158, so she’ll have been born roughly when Landorin was 129. At that time he’d have been ~14 years into his 20 year stint as a sailor, so she would have been conceived during a visit to a port city somewhere around the Sea Of Fallen Stars, perhaps with a woman Landorin had ‘dated’ multiple times over the course of several stops.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Landorin is polite and friendly, but a bit reserved. He enjoys drinking but not getting drunk, he enjoys eating a little too much, he loves to sing but isn’t much of a dancer, and he’s fond of spinning the occasional tall tales, perhaps stretching the truth a little.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knows beyond a doubt in his mind that his bardic abilities are a gift from his goddess, and he will literally sing her praises, having learned al few hymns in addition to more popular songs and sea chanteys. He has always been a good person, and knows that some rules are important and must be followed for the good of all in a community or aboard a ship, though lately he has become a bit less sure of that, and has been talking to clerics of Selune about the core precepts of Her teachings.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likes women, and he especially likes women who like sailors, and has had various lovers in various ports, probably seeing only one or two women in each, returning to visit them each time the ship has a layover. He has very few racial biases, having had dwarven friends growing up but then meeting a lot of other sorts of people during his sea travels.</a:t>
          </a:r>
        </a:p>
        <a:p>
          <a:pPr algn="just"/>
          <a:endParaRPr lang="en-US" sz="1200">
            <a:effectLst/>
            <a:latin typeface="Times New Roman" panose="02020603050405020304" pitchFamily="18" charset="0"/>
            <a:ea typeface="+mn-ea"/>
            <a:cs typeface="Times New Roman" panose="02020603050405020304" pitchFamily="18" charset="0"/>
          </a:endParaRPr>
        </a:p>
        <a:p>
          <a:pPr algn="just"/>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63261</xdr:colOff>
      <xdr:row>14</xdr:row>
      <xdr:rowOff>213360</xdr:rowOff>
    </xdr:from>
    <xdr:to>
      <xdr:col>6</xdr:col>
      <xdr:colOff>1078302</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44838" y="3396507"/>
          <a:ext cx="2159479" cy="246176"/>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81701</xdr:colOff>
      <xdr:row>1</xdr:row>
      <xdr:rowOff>91440</xdr:rowOff>
    </xdr:from>
    <xdr:to>
      <xdr:col>6</xdr:col>
      <xdr:colOff>1066799</xdr:colOff>
      <xdr:row>14</xdr:row>
      <xdr:rowOff>137160</xdr:rowOff>
    </xdr:to>
    <xdr:pic>
      <xdr:nvPicPr>
        <xdr:cNvPr id="2" name="Picture 1">
          <a:extLst>
            <a:ext uri="{FF2B5EF4-FFF2-40B4-BE49-F238E27FC236}">
              <a16:creationId xmlns:a16="http://schemas.microsoft.com/office/drawing/2014/main" id="{840D339F-0E5A-DF74-7427-92B881D1C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4141" y="464820"/>
          <a:ext cx="2128098" cy="2857500"/>
        </a:xfrm>
        <a:prstGeom prst="rect">
          <a:avLst/>
        </a:prstGeom>
        <a:noFill/>
        <a:ln w="34925"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15241</xdr:colOff>
      <xdr:row>5</xdr:row>
      <xdr:rowOff>15240</xdr:rowOff>
    </xdr:from>
    <xdr:to>
      <xdr:col>9</xdr:col>
      <xdr:colOff>2560321</xdr:colOff>
      <xdr:row>23</xdr:row>
      <xdr:rowOff>205740</xdr:rowOff>
    </xdr:to>
    <xdr:pic>
      <xdr:nvPicPr>
        <xdr:cNvPr id="3" name="Picture 2">
          <a:extLst>
            <a:ext uri="{FF2B5EF4-FFF2-40B4-BE49-F238E27FC236}">
              <a16:creationId xmlns:a16="http://schemas.microsoft.com/office/drawing/2014/main" id="{74609DFB-42D9-4705-911F-C481698A8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8281" y="1386840"/>
          <a:ext cx="2545080" cy="403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40005</xdr:colOff>
      <xdr:row>1</xdr:row>
      <xdr:rowOff>123825</xdr:rowOff>
    </xdr:from>
    <xdr:to>
      <xdr:col>3</xdr:col>
      <xdr:colOff>405765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28492</xdr:colOff>
      <xdr:row>6</xdr:row>
      <xdr:rowOff>5271</xdr:rowOff>
    </xdr:from>
    <xdr:to>
      <xdr:col>10</xdr:col>
      <xdr:colOff>20180</xdr:colOff>
      <xdr:row>7</xdr:row>
      <xdr:rowOff>6626</xdr:rowOff>
    </xdr:to>
    <xdr:sp macro="" textlink="">
      <xdr:nvSpPr>
        <xdr:cNvPr id="2" name="TextBox 1">
          <a:extLst>
            <a:ext uri="{FF2B5EF4-FFF2-40B4-BE49-F238E27FC236}">
              <a16:creationId xmlns:a16="http://schemas.microsoft.com/office/drawing/2014/main" id="{3BEAE011-652A-3DEA-A314-E5C794B6F279}"/>
            </a:ext>
          </a:extLst>
        </xdr:cNvPr>
        <xdr:cNvSpPr txBox="1"/>
      </xdr:nvSpPr>
      <xdr:spPr>
        <a:xfrm>
          <a:off x="6972631" y="1310610"/>
          <a:ext cx="2973427" cy="206764"/>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Landarin has an</a:t>
          </a:r>
          <a:r>
            <a:rPr lang="en-US" sz="1200" b="1" baseline="0"/>
            <a:t> outstanding debt of 12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subject=Werehunte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
  <sheetViews>
    <sheetView showGridLines="0" tabSelected="1" zoomScaleNormal="100" workbookViewId="0"/>
  </sheetViews>
  <sheetFormatPr defaultColWidth="13" defaultRowHeight="15.6" x14ac:dyDescent="0.3"/>
  <cols>
    <col min="1" max="1" width="16.5" style="55" customWidth="1"/>
    <col min="2" max="2" width="10" style="56" customWidth="1"/>
    <col min="3" max="3" width="5.09765625" style="56" customWidth="1"/>
    <col min="4" max="4" width="13.69921875" style="55" bestFit="1" customWidth="1"/>
    <col min="5" max="5" width="10.8984375" style="56" bestFit="1" customWidth="1"/>
    <col min="6" max="6" width="15" style="55" customWidth="1"/>
    <col min="7" max="7" width="15" style="56" customWidth="1"/>
    <col min="8" max="16384" width="13" style="14"/>
  </cols>
  <sheetData>
    <row r="1" spans="1:7" ht="29.4" thickTop="1" thickBot="1" x14ac:dyDescent="0.35">
      <c r="A1" s="374" t="s">
        <v>172</v>
      </c>
      <c r="B1" s="375" t="s">
        <v>173</v>
      </c>
      <c r="C1" s="11"/>
      <c r="D1" s="12"/>
      <c r="E1" s="319"/>
      <c r="F1" s="12"/>
      <c r="G1" s="13" t="s">
        <v>174</v>
      </c>
    </row>
    <row r="2" spans="1:7" ht="17.399999999999999" thickTop="1" x14ac:dyDescent="0.3">
      <c r="A2" s="15" t="s">
        <v>129</v>
      </c>
      <c r="B2" s="16" t="s">
        <v>177</v>
      </c>
      <c r="C2" s="16"/>
      <c r="D2" s="17" t="s">
        <v>131</v>
      </c>
      <c r="E2" s="18" t="s">
        <v>152</v>
      </c>
      <c r="F2"/>
      <c r="G2" s="19"/>
    </row>
    <row r="3" spans="1:7" ht="16.8" x14ac:dyDescent="0.3">
      <c r="A3" s="15" t="s">
        <v>130</v>
      </c>
      <c r="B3" s="16" t="s">
        <v>175</v>
      </c>
      <c r="C3" s="16"/>
      <c r="D3" s="17" t="s">
        <v>0</v>
      </c>
      <c r="E3" s="18">
        <v>1</v>
      </c>
      <c r="F3" s="17"/>
      <c r="G3" s="19"/>
    </row>
    <row r="4" spans="1:7" ht="16.8" x14ac:dyDescent="0.3">
      <c r="A4" s="392" t="s">
        <v>130</v>
      </c>
      <c r="B4" s="393"/>
      <c r="C4" s="393"/>
      <c r="D4" s="394" t="s">
        <v>0</v>
      </c>
      <c r="E4" s="395">
        <v>0</v>
      </c>
      <c r="F4" s="17"/>
      <c r="G4" s="19"/>
    </row>
    <row r="5" spans="1:7" ht="16.8" x14ac:dyDescent="0.3">
      <c r="A5" s="15" t="s">
        <v>142</v>
      </c>
      <c r="B5" s="16" t="s">
        <v>179</v>
      </c>
      <c r="C5" s="16"/>
      <c r="D5" s="17" t="s">
        <v>132</v>
      </c>
      <c r="E5" s="18">
        <v>137</v>
      </c>
      <c r="F5" s="17"/>
      <c r="G5" s="19"/>
    </row>
    <row r="6" spans="1:7" ht="16.8" x14ac:dyDescent="0.3">
      <c r="A6" s="15" t="s">
        <v>141</v>
      </c>
      <c r="B6" s="16" t="s">
        <v>178</v>
      </c>
      <c r="C6" s="16"/>
      <c r="D6" s="17" t="s">
        <v>143</v>
      </c>
      <c r="E6" s="18" t="s">
        <v>176</v>
      </c>
      <c r="F6" s="17"/>
      <c r="G6" s="19"/>
    </row>
    <row r="7" spans="1:7" ht="17.399999999999999" thickBot="1" x14ac:dyDescent="0.35">
      <c r="A7" s="15" t="s">
        <v>133</v>
      </c>
      <c r="B7" s="16" t="s">
        <v>153</v>
      </c>
      <c r="C7" s="16"/>
      <c r="D7" s="17" t="s">
        <v>144</v>
      </c>
      <c r="E7" s="18" t="s">
        <v>180</v>
      </c>
      <c r="F7" s="17"/>
      <c r="G7" s="19"/>
    </row>
    <row r="8" spans="1:7" ht="17.399999999999999" thickTop="1" x14ac:dyDescent="0.3">
      <c r="A8" s="20" t="s">
        <v>146</v>
      </c>
      <c r="B8" s="372">
        <v>0</v>
      </c>
      <c r="C8" s="373"/>
      <c r="D8" s="21" t="s">
        <v>80</v>
      </c>
      <c r="E8" s="22" t="s">
        <v>104</v>
      </c>
      <c r="F8" s="23"/>
      <c r="G8" s="19"/>
    </row>
    <row r="9" spans="1:7" ht="17.399999999999999" thickBot="1" x14ac:dyDescent="0.35">
      <c r="A9" s="250" t="s">
        <v>145</v>
      </c>
      <c r="B9" s="267" t="str">
        <f>C11</f>
        <v>+3</v>
      </c>
      <c r="C9" s="268"/>
      <c r="D9" s="273" t="s">
        <v>158</v>
      </c>
      <c r="E9" s="294">
        <v>0</v>
      </c>
      <c r="F9" s="23"/>
      <c r="G9" s="19"/>
    </row>
    <row r="10" spans="1:7" ht="17.399999999999999" thickTop="1" x14ac:dyDescent="0.3">
      <c r="A10" s="24" t="s">
        <v>134</v>
      </c>
      <c r="B10" s="263">
        <v>13</v>
      </c>
      <c r="C10" s="25" t="str">
        <f t="shared" ref="C10:C13" si="0">IF(B10&gt;9.9,CONCATENATE("+",ROUNDDOWN((B10-10)/2,0)),ROUNDUP((B10-10)/2,0))</f>
        <v>+1</v>
      </c>
      <c r="D10" s="26" t="s">
        <v>147</v>
      </c>
      <c r="E10" s="277" t="s">
        <v>185</v>
      </c>
      <c r="F10" s="23"/>
      <c r="G10" s="19"/>
    </row>
    <row r="11" spans="1:7" ht="16.8" x14ac:dyDescent="0.3">
      <c r="A11" s="27" t="s">
        <v>135</v>
      </c>
      <c r="B11" s="32">
        <v>16</v>
      </c>
      <c r="C11" s="28" t="str">
        <f t="shared" si="0"/>
        <v>+3</v>
      </c>
      <c r="D11" s="29" t="s">
        <v>148</v>
      </c>
      <c r="E11" s="30">
        <f>SUM(Martial!G3:G17)+SUM(Equipment!C3:C18)</f>
        <v>45.7</v>
      </c>
      <c r="F11" s="23"/>
      <c r="G11" s="19"/>
    </row>
    <row r="12" spans="1:7" ht="16.8" x14ac:dyDescent="0.3">
      <c r="A12" s="31" t="s">
        <v>136</v>
      </c>
      <c r="B12" s="32">
        <v>10</v>
      </c>
      <c r="C12" s="33" t="str">
        <f t="shared" si="0"/>
        <v>+0</v>
      </c>
      <c r="D12" s="29" t="s">
        <v>149</v>
      </c>
      <c r="E12" s="349">
        <f>ROUNDUP(((E3*8)*0.75)+((E4*6)*0.75)+((E3+E4)*C12),0)</f>
        <v>6</v>
      </c>
      <c r="F12" s="23"/>
      <c r="G12" s="19"/>
    </row>
    <row r="13" spans="1:7" ht="16.8" x14ac:dyDescent="0.3">
      <c r="A13" s="34" t="s">
        <v>137</v>
      </c>
      <c r="B13" s="32">
        <v>10</v>
      </c>
      <c r="C13" s="28" t="str">
        <f t="shared" si="0"/>
        <v>+0</v>
      </c>
      <c r="D13" s="35" t="s">
        <v>150</v>
      </c>
      <c r="E13" s="36">
        <f>10+C11</f>
        <v>13</v>
      </c>
      <c r="F13" s="15"/>
      <c r="G13" s="19"/>
    </row>
    <row r="14" spans="1:7" ht="16.8" x14ac:dyDescent="0.3">
      <c r="A14" s="37" t="s">
        <v>138</v>
      </c>
      <c r="B14" s="38">
        <v>12</v>
      </c>
      <c r="C14" s="25" t="str">
        <f t="shared" ref="C14:C15" si="1">IF(B14&gt;9.9,CONCATENATE("+",ROUNDDOWN((B14-10)/2,0)),ROUNDUP((B14-10)/2,0))</f>
        <v>+1</v>
      </c>
      <c r="D14" s="35" t="s">
        <v>151</v>
      </c>
      <c r="E14" s="36">
        <f>E15-C11</f>
        <v>14</v>
      </c>
      <c r="F14" s="23"/>
      <c r="G14" s="19"/>
    </row>
    <row r="15" spans="1:7" ht="17.399999999999999" thickBot="1" x14ac:dyDescent="0.35">
      <c r="A15" s="39" t="s">
        <v>139</v>
      </c>
      <c r="B15" s="391">
        <v>14</v>
      </c>
      <c r="C15" s="251" t="str">
        <f t="shared" si="1"/>
        <v>+2</v>
      </c>
      <c r="D15" s="40" t="s">
        <v>140</v>
      </c>
      <c r="E15" s="41">
        <f>E13+SUM(Martial!B13:B14)</f>
        <v>17</v>
      </c>
      <c r="F15" s="23"/>
      <c r="G15" s="19"/>
    </row>
    <row r="16" spans="1:7" ht="24" thickTop="1" thickBot="1" x14ac:dyDescent="0.35">
      <c r="A16" s="42" t="s">
        <v>18</v>
      </c>
      <c r="B16" s="43"/>
      <c r="C16" s="43"/>
      <c r="D16" s="44"/>
      <c r="E16" s="266"/>
      <c r="F16" s="44"/>
      <c r="G16" s="45"/>
    </row>
    <row r="17" spans="1:7" s="10" customFormat="1" ht="17.399999999999999" thickTop="1" x14ac:dyDescent="0.3">
      <c r="A17" s="46"/>
      <c r="B17" s="47"/>
      <c r="C17" s="47"/>
      <c r="D17" s="47"/>
      <c r="E17" s="47"/>
      <c r="F17" s="47"/>
      <c r="G17" s="48"/>
    </row>
    <row r="18" spans="1:7" s="10" customFormat="1" ht="16.8" x14ac:dyDescent="0.3">
      <c r="A18" s="49"/>
      <c r="B18" s="50"/>
      <c r="C18" s="50"/>
      <c r="D18" s="50"/>
      <c r="E18" s="50"/>
      <c r="F18" s="50"/>
      <c r="G18" s="51"/>
    </row>
    <row r="19" spans="1:7" s="10" customFormat="1" ht="16.8" x14ac:dyDescent="0.3">
      <c r="A19" s="49"/>
      <c r="B19" s="50"/>
      <c r="C19" s="50"/>
      <c r="D19" s="50"/>
      <c r="E19" s="50"/>
      <c r="F19" s="50"/>
      <c r="G19" s="51"/>
    </row>
    <row r="20" spans="1:7" s="10" customFormat="1" ht="16.8" x14ac:dyDescent="0.3">
      <c r="A20" s="49"/>
      <c r="B20" s="50"/>
      <c r="C20" s="50"/>
      <c r="D20" s="50"/>
      <c r="E20" s="50"/>
      <c r="F20" s="50"/>
      <c r="G20" s="51"/>
    </row>
    <row r="21" spans="1:7" s="10" customFormat="1" ht="16.8" x14ac:dyDescent="0.3">
      <c r="A21" s="49"/>
      <c r="B21" s="50"/>
      <c r="C21" s="50"/>
      <c r="D21" s="50"/>
      <c r="E21" s="50"/>
      <c r="F21" s="50"/>
      <c r="G21" s="51"/>
    </row>
    <row r="22" spans="1:7" s="10" customFormat="1" ht="16.8" x14ac:dyDescent="0.3">
      <c r="A22" s="49"/>
      <c r="B22" s="50"/>
      <c r="C22" s="50"/>
      <c r="D22" s="50"/>
      <c r="E22" s="50"/>
      <c r="F22" s="50"/>
      <c r="G22" s="51"/>
    </row>
    <row r="23" spans="1:7" s="10" customFormat="1" ht="16.8" x14ac:dyDescent="0.3">
      <c r="A23" s="49"/>
      <c r="B23" s="50"/>
      <c r="C23" s="50"/>
      <c r="D23" s="50"/>
      <c r="E23" s="50"/>
      <c r="F23" s="50"/>
      <c r="G23" s="51"/>
    </row>
    <row r="24" spans="1:7" s="10" customFormat="1" ht="16.8" x14ac:dyDescent="0.3">
      <c r="A24" s="49"/>
      <c r="B24" s="50"/>
      <c r="C24" s="50"/>
      <c r="D24" s="50"/>
      <c r="E24" s="50"/>
      <c r="F24" s="50"/>
      <c r="G24" s="51"/>
    </row>
    <row r="25" spans="1:7" s="10" customFormat="1" ht="16.8" x14ac:dyDescent="0.3">
      <c r="A25" s="49"/>
      <c r="B25" s="50"/>
      <c r="C25" s="50"/>
      <c r="D25" s="50"/>
      <c r="E25" s="50"/>
      <c r="F25" s="50"/>
      <c r="G25" s="51"/>
    </row>
    <row r="26" spans="1:7" s="10" customFormat="1" ht="16.8" x14ac:dyDescent="0.3">
      <c r="A26" s="49"/>
      <c r="B26" s="50"/>
      <c r="C26" s="50"/>
      <c r="D26" s="50"/>
      <c r="E26" s="50"/>
      <c r="F26" s="50"/>
      <c r="G26" s="51"/>
    </row>
    <row r="27" spans="1:7" s="10" customFormat="1" ht="16.8" x14ac:dyDescent="0.3">
      <c r="A27" s="49"/>
      <c r="B27" s="50"/>
      <c r="C27" s="50"/>
      <c r="D27" s="50"/>
      <c r="E27" s="50"/>
      <c r="F27" s="50"/>
      <c r="G27" s="51"/>
    </row>
    <row r="28" spans="1:7" s="10" customFormat="1" ht="16.8" x14ac:dyDescent="0.3">
      <c r="A28" s="49"/>
      <c r="B28" s="50"/>
      <c r="C28" s="50"/>
      <c r="D28" s="50"/>
      <c r="E28" s="50"/>
      <c r="F28" s="50"/>
      <c r="G28" s="51"/>
    </row>
    <row r="29" spans="1:7" s="10" customFormat="1" ht="16.8" x14ac:dyDescent="0.3">
      <c r="A29" s="49"/>
      <c r="B29" s="50"/>
      <c r="C29" s="50"/>
      <c r="D29" s="50"/>
      <c r="E29" s="50"/>
      <c r="F29" s="50"/>
      <c r="G29" s="51"/>
    </row>
    <row r="30" spans="1:7" s="10" customFormat="1" ht="16.8" x14ac:dyDescent="0.3">
      <c r="A30" s="49"/>
      <c r="B30" s="50"/>
      <c r="C30" s="50"/>
      <c r="D30" s="50"/>
      <c r="E30" s="50"/>
      <c r="F30" s="50"/>
      <c r="G30" s="51"/>
    </row>
    <row r="31" spans="1:7" s="10" customFormat="1" ht="16.8" x14ac:dyDescent="0.3">
      <c r="A31" s="49"/>
      <c r="B31" s="50"/>
      <c r="C31" s="50"/>
      <c r="D31" s="50"/>
      <c r="E31" s="50"/>
      <c r="F31" s="50"/>
      <c r="G31" s="51"/>
    </row>
    <row r="32" spans="1:7" s="10" customFormat="1" ht="16.8" x14ac:dyDescent="0.3">
      <c r="A32" s="49"/>
      <c r="B32" s="50"/>
      <c r="C32" s="50"/>
      <c r="D32" s="50"/>
      <c r="E32" s="50"/>
      <c r="F32" s="50"/>
      <c r="G32" s="51"/>
    </row>
    <row r="33" spans="1:7" s="10" customFormat="1" ht="16.8" x14ac:dyDescent="0.3">
      <c r="A33" s="49"/>
      <c r="B33" s="50"/>
      <c r="C33" s="50"/>
      <c r="D33" s="50"/>
      <c r="E33" s="50"/>
      <c r="F33" s="50"/>
      <c r="G33" s="51"/>
    </row>
    <row r="34" spans="1:7" s="10" customFormat="1" ht="16.8" x14ac:dyDescent="0.3">
      <c r="A34" s="49"/>
      <c r="B34" s="50"/>
      <c r="C34" s="50"/>
      <c r="D34" s="50"/>
      <c r="E34" s="50"/>
      <c r="F34" s="50"/>
      <c r="G34" s="51"/>
    </row>
    <row r="35" spans="1:7" s="10" customFormat="1" ht="16.8" x14ac:dyDescent="0.3">
      <c r="A35" s="49"/>
      <c r="B35" s="50"/>
      <c r="C35" s="50"/>
      <c r="D35" s="50"/>
      <c r="E35" s="50"/>
      <c r="F35" s="50"/>
      <c r="G35" s="51"/>
    </row>
    <row r="36" spans="1:7" s="10" customFormat="1" ht="16.8" x14ac:dyDescent="0.3">
      <c r="A36" s="49"/>
      <c r="B36" s="50"/>
      <c r="C36" s="50"/>
      <c r="D36" s="50"/>
      <c r="E36" s="50"/>
      <c r="F36" s="50"/>
      <c r="G36" s="51"/>
    </row>
    <row r="37" spans="1:7" s="10" customFormat="1" ht="16.8" x14ac:dyDescent="0.3">
      <c r="A37" s="49"/>
      <c r="B37" s="50"/>
      <c r="C37" s="50"/>
      <c r="D37" s="50"/>
      <c r="E37" s="50"/>
      <c r="F37" s="50"/>
      <c r="G37" s="51"/>
    </row>
    <row r="38" spans="1:7" s="10" customFormat="1" ht="16.8" x14ac:dyDescent="0.3">
      <c r="A38" s="49"/>
      <c r="B38" s="50"/>
      <c r="C38" s="50"/>
      <c r="D38" s="50"/>
      <c r="E38" s="50"/>
      <c r="F38" s="50"/>
      <c r="G38" s="51"/>
    </row>
    <row r="39" spans="1:7" s="10" customFormat="1" ht="16.8" x14ac:dyDescent="0.3">
      <c r="A39" s="49"/>
      <c r="B39" s="50"/>
      <c r="C39" s="50"/>
      <c r="D39" s="50"/>
      <c r="E39" s="50"/>
      <c r="F39" s="50"/>
      <c r="G39" s="51"/>
    </row>
    <row r="40" spans="1:7" s="10" customFormat="1" ht="16.8" x14ac:dyDescent="0.3">
      <c r="A40" s="49"/>
      <c r="B40" s="50"/>
      <c r="C40" s="50"/>
      <c r="D40" s="50"/>
      <c r="E40" s="50"/>
      <c r="F40" s="50"/>
      <c r="G40" s="51"/>
    </row>
    <row r="41" spans="1:7" s="10" customFormat="1" ht="16.8" x14ac:dyDescent="0.3">
      <c r="A41" s="49"/>
      <c r="B41" s="50"/>
      <c r="C41" s="50"/>
      <c r="D41" s="50"/>
      <c r="E41" s="50"/>
      <c r="F41" s="50"/>
      <c r="G41" s="51"/>
    </row>
    <row r="42" spans="1:7" s="10" customFormat="1" ht="16.8" x14ac:dyDescent="0.3">
      <c r="A42" s="49"/>
      <c r="B42" s="50"/>
      <c r="C42" s="50"/>
      <c r="D42" s="50"/>
      <c r="E42" s="50"/>
      <c r="F42" s="50"/>
      <c r="G42" s="51"/>
    </row>
    <row r="43" spans="1:7" s="10" customFormat="1" ht="16.8" x14ac:dyDescent="0.3">
      <c r="A43" s="49"/>
      <c r="B43" s="50"/>
      <c r="C43" s="50"/>
      <c r="D43" s="50"/>
      <c r="E43" s="50"/>
      <c r="F43" s="50"/>
      <c r="G43" s="51"/>
    </row>
    <row r="44" spans="1:7" s="10" customFormat="1" ht="16.8" x14ac:dyDescent="0.3">
      <c r="A44" s="49"/>
      <c r="B44" s="50"/>
      <c r="C44" s="50"/>
      <c r="D44" s="50"/>
      <c r="E44" s="50"/>
      <c r="F44" s="50"/>
      <c r="G44" s="51"/>
    </row>
    <row r="45" spans="1:7" s="10" customFormat="1" ht="16.8" x14ac:dyDescent="0.3">
      <c r="A45" s="49"/>
      <c r="B45" s="50"/>
      <c r="C45" s="50"/>
      <c r="D45" s="50"/>
      <c r="E45" s="50"/>
      <c r="F45" s="50"/>
      <c r="G45" s="51"/>
    </row>
    <row r="46" spans="1:7" s="10" customFormat="1" ht="16.8" x14ac:dyDescent="0.3">
      <c r="A46" s="49"/>
      <c r="B46" s="50"/>
      <c r="C46" s="50"/>
      <c r="D46" s="50"/>
      <c r="E46" s="50"/>
      <c r="F46" s="50"/>
      <c r="G46" s="51"/>
    </row>
    <row r="47" spans="1:7" s="10" customFormat="1" ht="16.8" x14ac:dyDescent="0.3">
      <c r="A47" s="49"/>
      <c r="B47" s="50"/>
      <c r="C47" s="50"/>
      <c r="D47" s="50"/>
      <c r="E47" s="50"/>
      <c r="F47" s="50"/>
      <c r="G47" s="51"/>
    </row>
    <row r="48" spans="1:7" s="10" customFormat="1" ht="16.8" x14ac:dyDescent="0.3">
      <c r="A48" s="49"/>
      <c r="B48" s="50"/>
      <c r="C48" s="50"/>
      <c r="D48" s="50"/>
      <c r="E48" s="50"/>
      <c r="F48" s="50"/>
      <c r="G48" s="51"/>
    </row>
    <row r="49" spans="1:7" s="10" customFormat="1" ht="16.8" x14ac:dyDescent="0.3">
      <c r="A49" s="49"/>
      <c r="B49" s="50"/>
      <c r="C49" s="50"/>
      <c r="D49" s="50"/>
      <c r="E49" s="50"/>
      <c r="F49" s="50"/>
      <c r="G49" s="51"/>
    </row>
    <row r="50" spans="1:7" s="10" customFormat="1" ht="16.8" x14ac:dyDescent="0.3">
      <c r="A50" s="49"/>
      <c r="B50" s="50"/>
      <c r="C50" s="50"/>
      <c r="D50" s="50"/>
      <c r="E50" s="50"/>
      <c r="F50" s="50"/>
      <c r="G50" s="51"/>
    </row>
    <row r="51" spans="1:7" s="10" customFormat="1" ht="16.8" x14ac:dyDescent="0.3">
      <c r="A51" s="49"/>
      <c r="B51" s="50"/>
      <c r="C51" s="50"/>
      <c r="D51" s="50"/>
      <c r="E51" s="50"/>
      <c r="F51" s="50"/>
      <c r="G51" s="51"/>
    </row>
    <row r="52" spans="1:7" s="10" customFormat="1" ht="16.8" x14ac:dyDescent="0.3">
      <c r="A52" s="49"/>
      <c r="B52" s="50"/>
      <c r="C52" s="50"/>
      <c r="D52" s="50"/>
      <c r="E52" s="50"/>
      <c r="F52" s="50"/>
      <c r="G52" s="51"/>
    </row>
    <row r="53" spans="1:7" s="10" customFormat="1" ht="16.8" x14ac:dyDescent="0.3">
      <c r="A53" s="49"/>
      <c r="B53" s="50"/>
      <c r="C53" s="50"/>
      <c r="D53" s="50"/>
      <c r="E53" s="50"/>
      <c r="F53" s="50"/>
      <c r="G53" s="51"/>
    </row>
    <row r="54" spans="1:7" s="10" customFormat="1" ht="16.8" x14ac:dyDescent="0.3">
      <c r="A54" s="49"/>
      <c r="B54" s="50"/>
      <c r="C54" s="50"/>
      <c r="D54" s="50"/>
      <c r="E54" s="50"/>
      <c r="F54" s="50"/>
      <c r="G54" s="51"/>
    </row>
    <row r="55" spans="1:7" s="10" customFormat="1" ht="16.8" x14ac:dyDescent="0.3">
      <c r="A55" s="49"/>
      <c r="B55" s="50"/>
      <c r="C55" s="50"/>
      <c r="D55" s="50"/>
      <c r="E55" s="50"/>
      <c r="F55" s="50"/>
      <c r="G55" s="51"/>
    </row>
    <row r="56" spans="1:7" s="10" customFormat="1" ht="16.8" x14ac:dyDescent="0.3">
      <c r="A56" s="49"/>
      <c r="B56" s="50"/>
      <c r="C56" s="50"/>
      <c r="D56" s="50"/>
      <c r="E56" s="50"/>
      <c r="F56" s="50"/>
      <c r="G56" s="51"/>
    </row>
    <row r="57" spans="1:7" s="10" customFormat="1" ht="16.8" x14ac:dyDescent="0.3">
      <c r="A57" s="49"/>
      <c r="B57" s="50"/>
      <c r="C57" s="50"/>
      <c r="D57" s="50"/>
      <c r="E57" s="50"/>
      <c r="F57" s="50"/>
      <c r="G57" s="51"/>
    </row>
    <row r="58" spans="1:7" s="10" customFormat="1" ht="16.8" x14ac:dyDescent="0.3">
      <c r="A58" s="49"/>
      <c r="B58" s="50"/>
      <c r="C58" s="50"/>
      <c r="D58" s="50"/>
      <c r="E58" s="50"/>
      <c r="F58" s="50"/>
      <c r="G58" s="51"/>
    </row>
    <row r="59" spans="1:7" s="10" customFormat="1" ht="16.8" x14ac:dyDescent="0.3">
      <c r="A59" s="49"/>
      <c r="B59" s="50"/>
      <c r="C59" s="50"/>
      <c r="D59" s="50"/>
      <c r="E59" s="50"/>
      <c r="F59" s="50"/>
      <c r="G59" s="51"/>
    </row>
    <row r="60" spans="1:7" s="10" customFormat="1" ht="16.8" x14ac:dyDescent="0.3">
      <c r="A60" s="49"/>
      <c r="B60" s="50"/>
      <c r="C60" s="50"/>
      <c r="D60" s="50"/>
      <c r="E60" s="50"/>
      <c r="F60" s="50"/>
      <c r="G60" s="51"/>
    </row>
    <row r="61" spans="1:7" s="10" customFormat="1" ht="16.8" x14ac:dyDescent="0.3">
      <c r="A61" s="49"/>
      <c r="B61" s="50"/>
      <c r="C61" s="50"/>
      <c r="D61" s="50"/>
      <c r="E61" s="50"/>
      <c r="F61" s="50"/>
      <c r="G61" s="51"/>
    </row>
    <row r="62" spans="1:7" s="10" customFormat="1" ht="16.8" x14ac:dyDescent="0.3">
      <c r="A62" s="49"/>
      <c r="B62" s="50"/>
      <c r="C62" s="50"/>
      <c r="D62" s="50"/>
      <c r="E62" s="50"/>
      <c r="F62" s="50"/>
      <c r="G62" s="51"/>
    </row>
    <row r="63" spans="1:7" s="10" customFormat="1" ht="16.8" x14ac:dyDescent="0.3">
      <c r="A63" s="49"/>
      <c r="B63" s="50"/>
      <c r="C63" s="50"/>
      <c r="D63" s="50"/>
      <c r="E63" s="50"/>
      <c r="F63" s="50"/>
      <c r="G63" s="51"/>
    </row>
    <row r="64" spans="1:7" s="10" customFormat="1" ht="16.8" x14ac:dyDescent="0.3">
      <c r="A64" s="49"/>
      <c r="B64" s="50"/>
      <c r="C64" s="50"/>
      <c r="D64" s="50"/>
      <c r="E64" s="50"/>
      <c r="F64" s="50"/>
      <c r="G64" s="51"/>
    </row>
    <row r="65" spans="1:7" s="10" customFormat="1" ht="16.8" x14ac:dyDescent="0.3">
      <c r="A65" s="49"/>
      <c r="B65" s="50"/>
      <c r="C65" s="50"/>
      <c r="D65" s="50"/>
      <c r="E65" s="50"/>
      <c r="F65" s="50"/>
      <c r="G65" s="51"/>
    </row>
    <row r="66" spans="1:7" s="10" customFormat="1" ht="16.8" x14ac:dyDescent="0.3">
      <c r="A66" s="49"/>
      <c r="B66" s="50"/>
      <c r="C66" s="50"/>
      <c r="D66" s="50"/>
      <c r="E66" s="50"/>
      <c r="F66" s="50"/>
      <c r="G66" s="51"/>
    </row>
    <row r="67" spans="1:7" s="10" customFormat="1" ht="16.8" x14ac:dyDescent="0.3">
      <c r="A67" s="49"/>
      <c r="B67" s="50"/>
      <c r="C67" s="50"/>
      <c r="D67" s="50"/>
      <c r="E67" s="50"/>
      <c r="F67" s="50"/>
      <c r="G67" s="51"/>
    </row>
    <row r="68" spans="1:7" s="10" customFormat="1" ht="16.8" x14ac:dyDescent="0.3">
      <c r="A68" s="49"/>
      <c r="B68" s="50"/>
      <c r="C68" s="50"/>
      <c r="D68" s="50"/>
      <c r="E68" s="50"/>
      <c r="F68" s="50"/>
      <c r="G68" s="51"/>
    </row>
    <row r="69" spans="1:7" s="10" customFormat="1" ht="16.8" x14ac:dyDescent="0.3">
      <c r="A69" s="49"/>
      <c r="B69" s="50"/>
      <c r="C69" s="50"/>
      <c r="D69" s="50"/>
      <c r="E69" s="50"/>
      <c r="F69" s="50"/>
      <c r="G69" s="51"/>
    </row>
    <row r="70" spans="1:7" s="10" customFormat="1" ht="16.8" x14ac:dyDescent="0.3">
      <c r="A70" s="49"/>
      <c r="B70" s="50"/>
      <c r="C70" s="50"/>
      <c r="D70" s="50"/>
      <c r="E70" s="50"/>
      <c r="F70" s="50"/>
      <c r="G70" s="51"/>
    </row>
    <row r="71" spans="1:7" s="10" customFormat="1" ht="16.8" x14ac:dyDescent="0.3">
      <c r="A71" s="49"/>
      <c r="B71" s="50"/>
      <c r="C71" s="50"/>
      <c r="D71" s="50"/>
      <c r="E71" s="50"/>
      <c r="F71" s="50"/>
      <c r="G71" s="51"/>
    </row>
    <row r="72" spans="1:7" s="10" customFormat="1" ht="16.8" x14ac:dyDescent="0.3">
      <c r="A72" s="49"/>
      <c r="B72" s="50"/>
      <c r="C72" s="50"/>
      <c r="D72" s="50"/>
      <c r="E72" s="50"/>
      <c r="F72" s="50"/>
      <c r="G72" s="51"/>
    </row>
    <row r="73" spans="1:7" s="10" customFormat="1" ht="16.8" x14ac:dyDescent="0.3">
      <c r="A73" s="49"/>
      <c r="B73" s="50"/>
      <c r="C73" s="50"/>
      <c r="D73" s="50"/>
      <c r="E73" s="50"/>
      <c r="F73" s="50"/>
      <c r="G73" s="51"/>
    </row>
    <row r="74" spans="1:7" s="10" customFormat="1" ht="16.8" x14ac:dyDescent="0.3">
      <c r="A74" s="49"/>
      <c r="B74" s="50"/>
      <c r="C74" s="50"/>
      <c r="D74" s="50"/>
      <c r="E74" s="50"/>
      <c r="F74" s="50"/>
      <c r="G74" s="51"/>
    </row>
    <row r="75" spans="1:7" s="10" customFormat="1" ht="16.8" x14ac:dyDescent="0.3">
      <c r="A75" s="49"/>
      <c r="B75" s="50"/>
      <c r="C75" s="50"/>
      <c r="D75" s="50"/>
      <c r="E75" s="50"/>
      <c r="F75" s="50"/>
      <c r="G75" s="51"/>
    </row>
    <row r="76" spans="1:7" s="10" customFormat="1" ht="16.8" x14ac:dyDescent="0.3">
      <c r="A76" s="49"/>
      <c r="B76" s="50"/>
      <c r="C76" s="50"/>
      <c r="D76" s="50"/>
      <c r="E76" s="50"/>
      <c r="F76" s="50"/>
      <c r="G76" s="51"/>
    </row>
    <row r="77" spans="1:7" s="10" customFormat="1" ht="16.8" x14ac:dyDescent="0.3">
      <c r="A77" s="49"/>
      <c r="B77" s="50"/>
      <c r="C77" s="50"/>
      <c r="D77" s="50"/>
      <c r="E77" s="50"/>
      <c r="F77" s="50"/>
      <c r="G77" s="51"/>
    </row>
    <row r="78" spans="1:7" s="10" customFormat="1" ht="16.8" x14ac:dyDescent="0.3">
      <c r="A78" s="49"/>
      <c r="B78" s="50"/>
      <c r="C78" s="50"/>
      <c r="D78" s="50"/>
      <c r="E78" s="50"/>
      <c r="F78" s="50"/>
      <c r="G78" s="51"/>
    </row>
    <row r="79" spans="1:7" s="10" customFormat="1" ht="16.8" x14ac:dyDescent="0.3">
      <c r="A79" s="49"/>
      <c r="B79" s="50"/>
      <c r="C79" s="50"/>
      <c r="D79" s="50"/>
      <c r="E79" s="50"/>
      <c r="F79" s="50"/>
      <c r="G79" s="51"/>
    </row>
    <row r="80" spans="1:7" s="10" customFormat="1" ht="16.8" x14ac:dyDescent="0.3">
      <c r="A80" s="49"/>
      <c r="B80" s="50"/>
      <c r="C80" s="50"/>
      <c r="D80" s="50"/>
      <c r="E80" s="50"/>
      <c r="F80" s="50"/>
      <c r="G80" s="51"/>
    </row>
    <row r="81" spans="1:7" s="10" customFormat="1" ht="16.8" x14ac:dyDescent="0.3">
      <c r="A81" s="49"/>
      <c r="B81" s="50"/>
      <c r="C81" s="50"/>
      <c r="D81" s="50"/>
      <c r="E81" s="50"/>
      <c r="F81" s="50"/>
      <c r="G81" s="51"/>
    </row>
    <row r="82" spans="1:7" s="10" customFormat="1" ht="16.8" x14ac:dyDescent="0.3">
      <c r="A82" s="49"/>
      <c r="B82" s="50"/>
      <c r="C82" s="50"/>
      <c r="D82" s="50"/>
      <c r="E82" s="50"/>
      <c r="F82" s="50"/>
      <c r="G82" s="51"/>
    </row>
    <row r="83" spans="1:7" s="10" customFormat="1" ht="16.8" x14ac:dyDescent="0.3">
      <c r="A83" s="49"/>
      <c r="B83" s="50"/>
      <c r="C83" s="50"/>
      <c r="D83" s="50"/>
      <c r="E83" s="50"/>
      <c r="F83" s="50"/>
      <c r="G83" s="51"/>
    </row>
    <row r="84" spans="1:7" s="10" customFormat="1" ht="16.8" x14ac:dyDescent="0.3">
      <c r="A84" s="49"/>
      <c r="B84" s="50"/>
      <c r="C84" s="50"/>
      <c r="D84" s="50"/>
      <c r="E84" s="50"/>
      <c r="F84" s="50"/>
      <c r="G84" s="51"/>
    </row>
    <row r="85" spans="1:7" s="10" customFormat="1" ht="16.8" x14ac:dyDescent="0.3">
      <c r="A85" s="49"/>
      <c r="B85" s="50"/>
      <c r="C85" s="50"/>
      <c r="D85" s="50"/>
      <c r="E85" s="50"/>
      <c r="F85" s="50"/>
      <c r="G85" s="51"/>
    </row>
    <row r="86" spans="1:7" s="10" customFormat="1" ht="16.8" x14ac:dyDescent="0.3">
      <c r="A86" s="49"/>
      <c r="B86" s="50"/>
      <c r="C86" s="50"/>
      <c r="D86" s="50"/>
      <c r="E86" s="50"/>
      <c r="F86" s="50"/>
      <c r="G86" s="51"/>
    </row>
    <row r="87" spans="1:7" s="10" customFormat="1" ht="16.8" x14ac:dyDescent="0.3">
      <c r="A87" s="49"/>
      <c r="B87" s="50"/>
      <c r="C87" s="50"/>
      <c r="D87" s="50"/>
      <c r="E87" s="50"/>
      <c r="F87" s="50"/>
      <c r="G87" s="51"/>
    </row>
    <row r="88" spans="1:7" s="10" customFormat="1" ht="16.8" x14ac:dyDescent="0.3">
      <c r="A88" s="49"/>
      <c r="B88" s="50"/>
      <c r="C88" s="50"/>
      <c r="D88" s="50"/>
      <c r="E88" s="50"/>
      <c r="F88" s="50"/>
      <c r="G88" s="51"/>
    </row>
    <row r="89" spans="1:7" s="10" customFormat="1" ht="16.8" x14ac:dyDescent="0.3">
      <c r="A89" s="49"/>
      <c r="B89" s="50"/>
      <c r="C89" s="50"/>
      <c r="D89" s="50"/>
      <c r="E89" s="50"/>
      <c r="F89" s="50"/>
      <c r="G89" s="51"/>
    </row>
    <row r="90" spans="1:7" s="10" customFormat="1" ht="16.8" x14ac:dyDescent="0.3">
      <c r="A90" s="49"/>
      <c r="B90" s="50"/>
      <c r="C90" s="50"/>
      <c r="D90" s="50"/>
      <c r="E90" s="50"/>
      <c r="F90" s="50"/>
      <c r="G90" s="51"/>
    </row>
    <row r="91" spans="1:7" s="10" customFormat="1" ht="16.8" x14ac:dyDescent="0.3">
      <c r="A91" s="49"/>
      <c r="B91" s="50"/>
      <c r="C91" s="50"/>
      <c r="D91" s="50"/>
      <c r="E91" s="50"/>
      <c r="F91" s="50"/>
      <c r="G91" s="51"/>
    </row>
    <row r="92" spans="1:7" s="10" customFormat="1" ht="16.8" x14ac:dyDescent="0.3">
      <c r="A92" s="49"/>
      <c r="B92" s="50"/>
      <c r="C92" s="50"/>
      <c r="D92" s="50"/>
      <c r="E92" s="50"/>
      <c r="F92" s="50"/>
      <c r="G92" s="51"/>
    </row>
    <row r="93" spans="1:7" s="10" customFormat="1" ht="16.8" x14ac:dyDescent="0.3">
      <c r="A93" s="49"/>
      <c r="B93" s="50"/>
      <c r="C93" s="50"/>
      <c r="D93" s="50"/>
      <c r="E93" s="50"/>
      <c r="F93" s="50"/>
      <c r="G93" s="51"/>
    </row>
    <row r="94" spans="1:7" s="10" customFormat="1" ht="16.8" x14ac:dyDescent="0.3">
      <c r="A94" s="49"/>
      <c r="B94" s="50"/>
      <c r="C94" s="50"/>
      <c r="D94" s="50"/>
      <c r="E94" s="50"/>
      <c r="F94" s="50"/>
      <c r="G94" s="51"/>
    </row>
    <row r="95" spans="1:7" s="10" customFormat="1" ht="16.8" x14ac:dyDescent="0.3">
      <c r="A95" s="49"/>
      <c r="B95" s="50"/>
      <c r="C95" s="50"/>
      <c r="D95" s="50"/>
      <c r="E95" s="50"/>
      <c r="F95" s="50"/>
      <c r="G95" s="51"/>
    </row>
    <row r="96" spans="1:7" s="10" customFormat="1" ht="16.8" x14ac:dyDescent="0.3">
      <c r="A96" s="49"/>
      <c r="B96" s="50"/>
      <c r="C96" s="50"/>
      <c r="D96" s="50"/>
      <c r="E96" s="50"/>
      <c r="F96" s="50"/>
      <c r="G96" s="51"/>
    </row>
    <row r="97" spans="1:7" ht="17.399999999999999" thickBot="1" x14ac:dyDescent="0.35">
      <c r="A97" s="52"/>
      <c r="B97" s="53"/>
      <c r="C97" s="53"/>
      <c r="D97" s="53"/>
      <c r="E97" s="53"/>
      <c r="F97" s="53"/>
      <c r="G97" s="54"/>
    </row>
    <row r="98" spans="1:7" ht="16.2" thickTop="1" x14ac:dyDescent="0.3"/>
  </sheetData>
  <phoneticPr fontId="0" type="noConversion"/>
  <conditionalFormatting sqref="E11">
    <cfRule type="cellIs" dxfId="10" priority="4" stopIfTrue="1" operator="greaterThan">
      <formula>60</formula>
    </cfRule>
    <cfRule type="cellIs" dxfId="9" priority="5" stopIfTrue="1" operator="between">
      <formula>30</formula>
      <formula>60</formula>
    </cfRule>
  </conditionalFormatting>
  <hyperlinks>
    <hyperlink ref="G1" r:id="rId1" xr:uid="{BB082F87-5E3D-4784-A28A-3CE3FDF686E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x14ac:dyDescent="0.3"/>
  <cols>
    <col min="1" max="1" width="29.8984375" style="55" bestFit="1" customWidth="1"/>
    <col min="2" max="2" width="5.8984375" style="55" bestFit="1" customWidth="1"/>
    <col min="3" max="3" width="7.09765625" style="56" hidden="1" customWidth="1"/>
    <col min="4" max="4" width="5.796875" style="56" hidden="1" customWidth="1"/>
    <col min="5" max="5" width="9.19921875" style="56" bestFit="1" customWidth="1"/>
    <col min="6" max="6" width="6.69921875" style="56" bestFit="1" customWidth="1"/>
    <col min="7" max="7" width="5.8984375" style="56" bestFit="1" customWidth="1"/>
    <col min="8" max="8" width="4.69921875" style="56" bestFit="1" customWidth="1"/>
    <col min="9" max="9" width="6.8984375" style="56" bestFit="1" customWidth="1"/>
    <col min="10" max="10" width="33.796875" style="55" bestFit="1" customWidth="1"/>
    <col min="11" max="16384" width="13" style="14"/>
  </cols>
  <sheetData>
    <row r="1" spans="1:10" ht="23.4" thickBot="1" x14ac:dyDescent="0.35">
      <c r="A1" s="57" t="s">
        <v>7</v>
      </c>
      <c r="B1" s="58"/>
      <c r="C1" s="58"/>
      <c r="D1" s="58"/>
      <c r="E1" s="58"/>
      <c r="F1" s="58"/>
      <c r="G1" s="58"/>
      <c r="H1" s="58"/>
      <c r="I1" s="58"/>
      <c r="J1" s="58"/>
    </row>
    <row r="2" spans="1:10" s="10" customFormat="1" ht="34.200000000000003" thickBot="1" x14ac:dyDescent="0.35">
      <c r="A2" s="5" t="s">
        <v>103</v>
      </c>
      <c r="B2" s="6" t="s">
        <v>23</v>
      </c>
      <c r="C2" s="6" t="s">
        <v>30</v>
      </c>
      <c r="D2" s="6" t="s">
        <v>22</v>
      </c>
      <c r="E2" s="7" t="s">
        <v>55</v>
      </c>
      <c r="F2" s="7" t="s">
        <v>31</v>
      </c>
      <c r="G2" s="7" t="s">
        <v>57</v>
      </c>
      <c r="H2" s="8" t="s">
        <v>102</v>
      </c>
      <c r="I2" s="6" t="s">
        <v>78</v>
      </c>
      <c r="J2" s="9" t="s">
        <v>76</v>
      </c>
    </row>
    <row r="3" spans="1:10" s="10" customFormat="1" ht="16.8" x14ac:dyDescent="0.3">
      <c r="A3" s="59" t="s">
        <v>60</v>
      </c>
      <c r="B3" s="60">
        <v>0</v>
      </c>
      <c r="C3" s="61" t="s">
        <v>25</v>
      </c>
      <c r="D3" s="61" t="str">
        <f>IF(C3="Str",'Personal File'!$C$10,IF(C3="Dex",'Personal File'!$C$11,IF(C3="Con",'Personal File'!$C$12,IF(C3="Int",'Personal File'!$C$13,IF(C3="Wis",'Personal File'!$C$14,IF(C3="Cha",'Personal File'!$C$15))))))</f>
        <v>+0</v>
      </c>
      <c r="E3" s="62" t="str">
        <f t="shared" ref="E3:E5" si="0">CONCATENATE(C3," (",D3,")")</f>
        <v>Con (+0)</v>
      </c>
      <c r="F3" s="63">
        <v>1</v>
      </c>
      <c r="G3" s="64">
        <f t="shared" ref="G3:G44" si="1">B3+D3+F3</f>
        <v>1</v>
      </c>
      <c r="H3" s="65">
        <f t="shared" ref="H3:H5" ca="1" si="2">RANDBETWEEN(1,20)</f>
        <v>6</v>
      </c>
      <c r="I3" s="64">
        <f ca="1">SUM(G3:H3)</f>
        <v>7</v>
      </c>
      <c r="J3" s="66" t="s">
        <v>201</v>
      </c>
    </row>
    <row r="4" spans="1:10" s="10" customFormat="1" ht="16.8" x14ac:dyDescent="0.3">
      <c r="A4" s="67" t="s">
        <v>61</v>
      </c>
      <c r="B4" s="60">
        <v>2</v>
      </c>
      <c r="C4" s="61" t="s">
        <v>28</v>
      </c>
      <c r="D4" s="61" t="str">
        <f>IF(C4="Str",'Personal File'!$C$10,IF(C4="Dex",'Personal File'!$C$11,IF(C4="Con",'Personal File'!$C$12,IF(C4="Int",'Personal File'!$C$13,IF(C4="Wis",'Personal File'!$C$14,IF(C4="Cha",'Personal File'!$C$15))))))</f>
        <v>+3</v>
      </c>
      <c r="E4" s="68" t="str">
        <f t="shared" si="0"/>
        <v>Dex (+3)</v>
      </c>
      <c r="F4" s="63">
        <v>0</v>
      </c>
      <c r="G4" s="64">
        <f t="shared" si="1"/>
        <v>5</v>
      </c>
      <c r="H4" s="65">
        <f t="shared" ca="1" si="2"/>
        <v>9</v>
      </c>
      <c r="I4" s="64">
        <f ca="1">SUM(G4:H4)</f>
        <v>14</v>
      </c>
      <c r="J4" s="82"/>
    </row>
    <row r="5" spans="1:10" s="10" customFormat="1" ht="16.8" x14ac:dyDescent="0.3">
      <c r="A5" s="69" t="s">
        <v>62</v>
      </c>
      <c r="B5" s="70">
        <v>2</v>
      </c>
      <c r="C5" s="71" t="s">
        <v>27</v>
      </c>
      <c r="D5" s="71" t="str">
        <f>IF(C5="Str",'Personal File'!$C$10,IF(C5="Dex",'Personal File'!$C$11,IF(C5="Con",'Personal File'!$C$12,IF(C5="Int",'Personal File'!$C$13,IF(C5="Wis",'Personal File'!$C$14,IF(C5="Cha",'Personal File'!$C$15))))))</f>
        <v>+1</v>
      </c>
      <c r="E5" s="72" t="str">
        <f t="shared" si="0"/>
        <v>Wis (+1)</v>
      </c>
      <c r="F5" s="293">
        <v>1</v>
      </c>
      <c r="G5" s="73">
        <f t="shared" si="1"/>
        <v>4</v>
      </c>
      <c r="H5" s="74">
        <f t="shared" ca="1" si="2"/>
        <v>19</v>
      </c>
      <c r="I5" s="73">
        <f ca="1">SUM(G5:H5)</f>
        <v>23</v>
      </c>
      <c r="J5" s="75" t="s">
        <v>201</v>
      </c>
    </row>
    <row r="6" spans="1:10" s="83" customFormat="1" ht="16.8" x14ac:dyDescent="0.3">
      <c r="A6" s="76" t="s">
        <v>32</v>
      </c>
      <c r="B6" s="61">
        <v>0</v>
      </c>
      <c r="C6" s="77" t="s">
        <v>26</v>
      </c>
      <c r="D6" s="78" t="str">
        <f>IF(C6="Str",'Personal File'!$C$10,IF(C6="Dex",'Personal File'!$C$11,IF(C6="Con",'Personal File'!$C$12,IF(C6="Int",'Personal File'!$C$13,IF(C6="Wis",'Personal File'!$C$14,IF(C6="Cha",'Personal File'!$C$15))))))</f>
        <v>+0</v>
      </c>
      <c r="E6" s="79" t="str">
        <f t="shared" ref="E6:E44" si="3">CONCATENATE(C6," (",D6,")")</f>
        <v>Int (+0)</v>
      </c>
      <c r="F6" s="80" t="s">
        <v>56</v>
      </c>
      <c r="G6" s="81">
        <f t="shared" si="1"/>
        <v>0</v>
      </c>
      <c r="H6" s="65">
        <f ca="1">RANDBETWEEN(1,20)</f>
        <v>16</v>
      </c>
      <c r="I6" s="81">
        <f t="shared" ref="I6:I44" ca="1" si="4">SUM(G6:H6)</f>
        <v>16</v>
      </c>
      <c r="J6" s="82"/>
    </row>
    <row r="7" spans="1:10" s="87" customFormat="1" ht="16.8" x14ac:dyDescent="0.3">
      <c r="A7" s="320" t="s">
        <v>33</v>
      </c>
      <c r="B7" s="358">
        <v>2</v>
      </c>
      <c r="C7" s="321" t="s">
        <v>28</v>
      </c>
      <c r="D7" s="322" t="str">
        <f>IF(C7="Str",'Personal File'!$C$10,IF(C7="Dex",'Personal File'!$C$11,IF(C7="Con",'Personal File'!$C$12,IF(C7="Int",'Personal File'!$C$13,IF(C7="Wis",'Personal File'!$C$14,IF(C7="Cha",'Personal File'!$C$15))))))</f>
        <v>+3</v>
      </c>
      <c r="E7" s="323" t="str">
        <f t="shared" si="3"/>
        <v>Dex (+3)</v>
      </c>
      <c r="F7" s="325">
        <f>SUM(Martial!$D$13:$D$14)*-1</f>
        <v>0</v>
      </c>
      <c r="G7" s="245">
        <f t="shared" si="1"/>
        <v>5</v>
      </c>
      <c r="H7" s="65">
        <f t="shared" ref="H7:H43" ca="1" si="5">RANDBETWEEN(1,20)</f>
        <v>5</v>
      </c>
      <c r="I7" s="245">
        <f t="shared" ca="1" si="4"/>
        <v>10</v>
      </c>
      <c r="J7" s="246"/>
    </row>
    <row r="8" spans="1:10" s="92" customFormat="1" ht="16.8" x14ac:dyDescent="0.3">
      <c r="A8" s="230" t="s">
        <v>34</v>
      </c>
      <c r="B8" s="357">
        <v>2</v>
      </c>
      <c r="C8" s="231" t="s">
        <v>24</v>
      </c>
      <c r="D8" s="232" t="str">
        <f>IF(C8="Str",'Personal File'!$C$10,IF(C8="Dex",'Personal File'!$C$11,IF(C8="Con",'Personal File'!$C$12,IF(C8="Int",'Personal File'!$C$13,IF(C8="Wis",'Personal File'!$C$14,IF(C8="Cha",'Personal File'!$C$15))))))</f>
        <v>+2</v>
      </c>
      <c r="E8" s="233" t="str">
        <f t="shared" si="3"/>
        <v>Cha (+2)</v>
      </c>
      <c r="F8" s="245" t="s">
        <v>56</v>
      </c>
      <c r="G8" s="228">
        <f t="shared" si="1"/>
        <v>4</v>
      </c>
      <c r="H8" s="65">
        <f t="shared" ca="1" si="5"/>
        <v>1</v>
      </c>
      <c r="I8" s="228">
        <f t="shared" ca="1" si="4"/>
        <v>5</v>
      </c>
      <c r="J8" s="229"/>
    </row>
    <row r="9" spans="1:10" s="97" customFormat="1" ht="16.8" x14ac:dyDescent="0.3">
      <c r="A9" s="93" t="s">
        <v>35</v>
      </c>
      <c r="B9" s="61">
        <v>0</v>
      </c>
      <c r="C9" s="94" t="s">
        <v>29</v>
      </c>
      <c r="D9" s="95" t="str">
        <f>IF(C9="Str",'Personal File'!$C$10,IF(C9="Dex",'Personal File'!$C$11,IF(C9="Con",'Personal File'!$C$12,IF(C9="Int",'Personal File'!$C$13,IF(C9="Wis",'Personal File'!$C$14,IF(C9="Cha",'Personal File'!$C$15))))))</f>
        <v>+1</v>
      </c>
      <c r="E9" s="96" t="str">
        <f t="shared" si="3"/>
        <v>Str (+1)</v>
      </c>
      <c r="F9" s="80">
        <f>SUM(Martial!$D$13:$D$14)*-1</f>
        <v>0</v>
      </c>
      <c r="G9" s="81">
        <f t="shared" si="1"/>
        <v>1</v>
      </c>
      <c r="H9" s="65">
        <f t="shared" ca="1" si="5"/>
        <v>2</v>
      </c>
      <c r="I9" s="81">
        <f t="shared" ca="1" si="4"/>
        <v>3</v>
      </c>
      <c r="J9" s="82"/>
    </row>
    <row r="10" spans="1:10" s="97" customFormat="1" ht="16.8" x14ac:dyDescent="0.3">
      <c r="A10" s="452" t="s">
        <v>8</v>
      </c>
      <c r="B10" s="446">
        <v>0</v>
      </c>
      <c r="C10" s="453" t="s">
        <v>25</v>
      </c>
      <c r="D10" s="454" t="str">
        <f>IF(C10="Str",'Personal File'!$C$10,IF(C10="Dex",'Personal File'!$C$11,IF(C10="Con",'Personal File'!$C$12,IF(C10="Int",'Personal File'!$C$13,IF(C10="Wis",'Personal File'!$C$14,IF(C10="Cha",'Personal File'!$C$15))))))</f>
        <v>+0</v>
      </c>
      <c r="E10" s="455" t="str">
        <f t="shared" si="3"/>
        <v>Con (+0)</v>
      </c>
      <c r="F10" s="450" t="s">
        <v>56</v>
      </c>
      <c r="G10" s="450">
        <f t="shared" si="1"/>
        <v>0</v>
      </c>
      <c r="H10" s="65">
        <f t="shared" ca="1" si="5"/>
        <v>17</v>
      </c>
      <c r="I10" s="450">
        <f t="shared" ca="1" si="4"/>
        <v>17</v>
      </c>
      <c r="J10" s="456"/>
    </row>
    <row r="11" spans="1:10" s="83" customFormat="1" ht="16.8" x14ac:dyDescent="0.3">
      <c r="A11" s="76" t="s">
        <v>83</v>
      </c>
      <c r="B11" s="61">
        <v>0</v>
      </c>
      <c r="C11" s="77" t="s">
        <v>26</v>
      </c>
      <c r="D11" s="78" t="str">
        <f>IF(C11="Str",'Personal File'!$C$10,IF(C11="Dex",'Personal File'!$C$11,IF(C11="Con",'Personal File'!$C$12,IF(C11="Int",'Personal File'!$C$13,IF(C11="Wis",'Personal File'!$C$14,IF(C11="Cha",'Personal File'!$C$15))))))</f>
        <v>+0</v>
      </c>
      <c r="E11" s="79" t="str">
        <f t="shared" si="3"/>
        <v>Int (+0)</v>
      </c>
      <c r="F11" s="81" t="s">
        <v>56</v>
      </c>
      <c r="G11" s="81">
        <f t="shared" si="1"/>
        <v>0</v>
      </c>
      <c r="H11" s="65">
        <f t="shared" ca="1" si="5"/>
        <v>8</v>
      </c>
      <c r="I11" s="81">
        <f t="shared" ca="1" si="4"/>
        <v>8</v>
      </c>
      <c r="J11" s="82"/>
    </row>
    <row r="12" spans="1:10" s="107" customFormat="1" ht="16.8" x14ac:dyDescent="0.3">
      <c r="A12" s="76" t="s">
        <v>36</v>
      </c>
      <c r="B12" s="61">
        <v>0</v>
      </c>
      <c r="C12" s="77" t="s">
        <v>26</v>
      </c>
      <c r="D12" s="78" t="str">
        <f>IF(C12="Str",'Personal File'!$C$10,IF(C12="Dex",'Personal File'!$C$11,IF(C12="Con",'Personal File'!$C$12,IF(C12="Int",'Personal File'!$C$13,IF(C12="Wis",'Personal File'!$C$14,IF(C12="Cha",'Personal File'!$C$15))))))</f>
        <v>+0</v>
      </c>
      <c r="E12" s="79" t="str">
        <f t="shared" si="3"/>
        <v>Int (+0)</v>
      </c>
      <c r="F12" s="81" t="s">
        <v>56</v>
      </c>
      <c r="G12" s="81">
        <f t="shared" si="1"/>
        <v>0</v>
      </c>
      <c r="H12" s="65">
        <f t="shared" ca="1" si="5"/>
        <v>4</v>
      </c>
      <c r="I12" s="81">
        <f t="shared" ref="I12" ca="1" si="6">SUM(G12:H12)</f>
        <v>4</v>
      </c>
      <c r="J12" s="82"/>
    </row>
    <row r="13" spans="1:10" s="87" customFormat="1" ht="16.8" x14ac:dyDescent="0.3">
      <c r="A13" s="230" t="s">
        <v>37</v>
      </c>
      <c r="B13" s="357">
        <v>1</v>
      </c>
      <c r="C13" s="231" t="s">
        <v>24</v>
      </c>
      <c r="D13" s="232" t="str">
        <f>IF(C13="Str",'Personal File'!$C$10,IF(C13="Dex",'Personal File'!$C$11,IF(C13="Con",'Personal File'!$C$12,IF(C13="Int",'Personal File'!$C$13,IF(C13="Wis",'Personal File'!$C$14,IF(C13="Cha",'Personal File'!$C$15))))))</f>
        <v>+2</v>
      </c>
      <c r="E13" s="233" t="str">
        <f t="shared" si="3"/>
        <v>Cha (+2)</v>
      </c>
      <c r="F13" s="325">
        <f>1+2</f>
        <v>3</v>
      </c>
      <c r="G13" s="228">
        <f t="shared" si="1"/>
        <v>6</v>
      </c>
      <c r="H13" s="65">
        <f t="shared" ca="1" si="5"/>
        <v>4</v>
      </c>
      <c r="I13" s="228">
        <f t="shared" ca="1" si="4"/>
        <v>10</v>
      </c>
      <c r="J13" s="229"/>
    </row>
    <row r="14" spans="1:10" s="87" customFormat="1" ht="16.8" x14ac:dyDescent="0.3">
      <c r="A14" s="101" t="s">
        <v>38</v>
      </c>
      <c r="B14" s="359">
        <v>0</v>
      </c>
      <c r="C14" s="102" t="s">
        <v>26</v>
      </c>
      <c r="D14" s="103" t="str">
        <f>IF(C14="Str",'Personal File'!$C$10,IF(C14="Dex",'Personal File'!$C$11,IF(C14="Con",'Personal File'!$C$12,IF(C14="Int",'Personal File'!$C$13,IF(C14="Wis",'Personal File'!$C$14,IF(C14="Cha",'Personal File'!$C$15))))))</f>
        <v>+0</v>
      </c>
      <c r="E14" s="104" t="str">
        <f t="shared" si="3"/>
        <v>Int (+0)</v>
      </c>
      <c r="F14" s="105" t="s">
        <v>56</v>
      </c>
      <c r="G14" s="105">
        <f t="shared" si="1"/>
        <v>0</v>
      </c>
      <c r="H14" s="65">
        <f t="shared" ca="1" si="5"/>
        <v>8</v>
      </c>
      <c r="I14" s="105">
        <f t="shared" ref="I14" ca="1" si="7">SUM(G14:H14)</f>
        <v>8</v>
      </c>
      <c r="J14" s="106"/>
    </row>
    <row r="15" spans="1:10" s="87" customFormat="1" ht="16.8" x14ac:dyDescent="0.3">
      <c r="A15" s="88" t="s">
        <v>39</v>
      </c>
      <c r="B15" s="61">
        <v>0</v>
      </c>
      <c r="C15" s="89" t="s">
        <v>24</v>
      </c>
      <c r="D15" s="90" t="str">
        <f>IF(C15="Str",'Personal File'!$C$10,IF(C15="Dex",'Personal File'!$C$11,IF(C15="Con",'Personal File'!$C$12,IF(C15="Int",'Personal File'!$C$13,IF(C15="Wis",'Personal File'!$C$14,IF(C15="Cha",'Personal File'!$C$15))))))</f>
        <v>+2</v>
      </c>
      <c r="E15" s="91" t="str">
        <f t="shared" si="3"/>
        <v>Cha (+2)</v>
      </c>
      <c r="F15" s="80">
        <v>0</v>
      </c>
      <c r="G15" s="81">
        <f t="shared" si="1"/>
        <v>2</v>
      </c>
      <c r="H15" s="65">
        <f t="shared" ca="1" si="5"/>
        <v>10</v>
      </c>
      <c r="I15" s="81">
        <f t="shared" ca="1" si="4"/>
        <v>12</v>
      </c>
      <c r="J15" s="82"/>
    </row>
    <row r="16" spans="1:10" s="87" customFormat="1" ht="16.8" x14ac:dyDescent="0.3">
      <c r="A16" s="84" t="s">
        <v>40</v>
      </c>
      <c r="B16" s="61">
        <v>0</v>
      </c>
      <c r="C16" s="85" t="s">
        <v>28</v>
      </c>
      <c r="D16" s="86" t="str">
        <f>IF(C16="Str",'Personal File'!$C$10,IF(C16="Dex",'Personal File'!$C$11,IF(C16="Con",'Personal File'!$C$12,IF(C16="Int",'Personal File'!$C$13,IF(C16="Wis",'Personal File'!$C$14,IF(C16="Cha",'Personal File'!$C$15))))))</f>
        <v>+3</v>
      </c>
      <c r="E16" s="68" t="str">
        <f t="shared" si="3"/>
        <v>Dex (+3)</v>
      </c>
      <c r="F16" s="80">
        <f>SUM(Martial!$D$13:$D$14)*-1</f>
        <v>0</v>
      </c>
      <c r="G16" s="81">
        <f t="shared" si="1"/>
        <v>3</v>
      </c>
      <c r="H16" s="65">
        <f t="shared" ca="1" si="5"/>
        <v>11</v>
      </c>
      <c r="I16" s="81">
        <f t="shared" ca="1" si="4"/>
        <v>14</v>
      </c>
      <c r="J16" s="82"/>
    </row>
    <row r="17" spans="1:10" s="87" customFormat="1" ht="16.8" x14ac:dyDescent="0.3">
      <c r="A17" s="108" t="s">
        <v>41</v>
      </c>
      <c r="B17" s="360">
        <v>0</v>
      </c>
      <c r="C17" s="109" t="s">
        <v>26</v>
      </c>
      <c r="D17" s="110" t="str">
        <f>IF(C17="Str",'Personal File'!$C$10,IF(C17="Dex",'Personal File'!$C$11,IF(C17="Con",'Personal File'!$C$12,IF(C17="Int",'Personal File'!$C$13,IF(C17="Wis",'Personal File'!$C$14,IF(C17="Cha",'Personal File'!$C$15))))))</f>
        <v>+0</v>
      </c>
      <c r="E17" s="111" t="str">
        <f t="shared" si="3"/>
        <v>Int (+0)</v>
      </c>
      <c r="F17" s="112" t="s">
        <v>56</v>
      </c>
      <c r="G17" s="112">
        <f t="shared" si="1"/>
        <v>0</v>
      </c>
      <c r="H17" s="65">
        <f t="shared" ca="1" si="5"/>
        <v>13</v>
      </c>
      <c r="I17" s="112">
        <f t="shared" ca="1" si="4"/>
        <v>13</v>
      </c>
      <c r="J17" s="113"/>
    </row>
    <row r="18" spans="1:10" s="87" customFormat="1" ht="16.8" x14ac:dyDescent="0.3">
      <c r="A18" s="230" t="s">
        <v>42</v>
      </c>
      <c r="B18" s="357">
        <v>1</v>
      </c>
      <c r="C18" s="231" t="s">
        <v>24</v>
      </c>
      <c r="D18" s="232" t="str">
        <f>IF(C18="Str",'Personal File'!$C$10,IF(C18="Dex",'Personal File'!$C$11,IF(C18="Con",'Personal File'!$C$12,IF(C18="Int",'Personal File'!$C$13,IF(C18="Wis",'Personal File'!$C$14,IF(C18="Cha",'Personal File'!$C$15))))))</f>
        <v>+2</v>
      </c>
      <c r="E18" s="233" t="str">
        <f t="shared" si="3"/>
        <v>Cha (+2)</v>
      </c>
      <c r="F18" s="245" t="s">
        <v>56</v>
      </c>
      <c r="G18" s="228">
        <f t="shared" si="1"/>
        <v>3</v>
      </c>
      <c r="H18" s="65">
        <f t="shared" ca="1" si="5"/>
        <v>6</v>
      </c>
      <c r="I18" s="228">
        <f t="shared" ca="1" si="4"/>
        <v>9</v>
      </c>
      <c r="J18" s="229"/>
    </row>
    <row r="19" spans="1:10" s="87" customFormat="1" ht="16.8" x14ac:dyDescent="0.3">
      <c r="A19" s="88" t="s">
        <v>10</v>
      </c>
      <c r="B19" s="61">
        <v>0</v>
      </c>
      <c r="C19" s="89" t="s">
        <v>24</v>
      </c>
      <c r="D19" s="90" t="str">
        <f>IF(C19="Str",'Personal File'!$C$10,IF(C19="Dex",'Personal File'!$C$11,IF(C19="Con",'Personal File'!$C$12,IF(C19="Int",'Personal File'!$C$13,IF(C19="Wis",'Personal File'!$C$14,IF(C19="Cha",'Personal File'!$C$15))))))</f>
        <v>+2</v>
      </c>
      <c r="E19" s="91" t="str">
        <f t="shared" si="3"/>
        <v>Cha (+2)</v>
      </c>
      <c r="F19" s="81" t="s">
        <v>56</v>
      </c>
      <c r="G19" s="81">
        <f t="shared" si="1"/>
        <v>2</v>
      </c>
      <c r="H19" s="65">
        <f t="shared" ca="1" si="5"/>
        <v>5</v>
      </c>
      <c r="I19" s="81">
        <f t="shared" ca="1" si="4"/>
        <v>7</v>
      </c>
      <c r="J19" s="82"/>
    </row>
    <row r="20" spans="1:10" s="87" customFormat="1" ht="16.8" x14ac:dyDescent="0.3">
      <c r="A20" s="118" t="s">
        <v>43</v>
      </c>
      <c r="B20" s="61">
        <v>0</v>
      </c>
      <c r="C20" s="119" t="s">
        <v>27</v>
      </c>
      <c r="D20" s="120" t="str">
        <f>IF(C20="Str",'Personal File'!$C$10,IF(C20="Dex",'Personal File'!$C$11,IF(C20="Con",'Personal File'!$C$12,IF(C20="Int",'Personal File'!$C$13,IF(C20="Wis",'Personal File'!$C$14,IF(C20="Cha",'Personal File'!$C$15))))))</f>
        <v>+1</v>
      </c>
      <c r="E20" s="121" t="str">
        <f t="shared" si="3"/>
        <v>Wis (+1)</v>
      </c>
      <c r="F20" s="81" t="s">
        <v>56</v>
      </c>
      <c r="G20" s="81">
        <f t="shared" si="1"/>
        <v>1</v>
      </c>
      <c r="H20" s="65">
        <f t="shared" ca="1" si="5"/>
        <v>6</v>
      </c>
      <c r="I20" s="81">
        <f t="shared" ca="1" si="4"/>
        <v>7</v>
      </c>
      <c r="J20" s="82"/>
    </row>
    <row r="21" spans="1:10" s="87" customFormat="1" ht="16.8" x14ac:dyDescent="0.3">
      <c r="A21" s="84" t="s">
        <v>44</v>
      </c>
      <c r="B21" s="61">
        <v>0</v>
      </c>
      <c r="C21" s="85" t="s">
        <v>28</v>
      </c>
      <c r="D21" s="86" t="str">
        <f>IF(C21="Str",'Personal File'!$C$10,IF(C21="Dex",'Personal File'!$C$11,IF(C21="Con",'Personal File'!$C$12,IF(C21="Int",'Personal File'!$C$13,IF(C21="Wis",'Personal File'!$C$14,IF(C21="Cha",'Personal File'!$C$15))))))</f>
        <v>+3</v>
      </c>
      <c r="E21" s="68" t="str">
        <f t="shared" si="3"/>
        <v>Dex (+3)</v>
      </c>
      <c r="F21" s="80">
        <f>SUM(Martial!$D$13:$D$14)*-1</f>
        <v>0</v>
      </c>
      <c r="G21" s="81">
        <f t="shared" si="1"/>
        <v>3</v>
      </c>
      <c r="H21" s="65">
        <f t="shared" ca="1" si="5"/>
        <v>20</v>
      </c>
      <c r="I21" s="81">
        <f t="shared" ca="1" si="4"/>
        <v>23</v>
      </c>
      <c r="J21" s="82"/>
    </row>
    <row r="22" spans="1:10" s="87" customFormat="1" ht="16.8" x14ac:dyDescent="0.3">
      <c r="A22" s="88" t="s">
        <v>45</v>
      </c>
      <c r="B22" s="61">
        <v>0</v>
      </c>
      <c r="C22" s="89" t="s">
        <v>24</v>
      </c>
      <c r="D22" s="90" t="str">
        <f>IF(C22="Str",'Personal File'!$C$10,IF(C22="Dex",'Personal File'!$C$11,IF(C22="Con",'Personal File'!$C$12,IF(C22="Int",'Personal File'!$C$13,IF(C22="Wis",'Personal File'!$C$14,IF(C22="Cha",'Personal File'!$C$15))))))</f>
        <v>+2</v>
      </c>
      <c r="E22" s="91" t="str">
        <f t="shared" si="3"/>
        <v>Cha (+2)</v>
      </c>
      <c r="F22" s="81" t="s">
        <v>199</v>
      </c>
      <c r="G22" s="81">
        <f t="shared" si="1"/>
        <v>0</v>
      </c>
      <c r="H22" s="65">
        <f t="shared" ca="1" si="5"/>
        <v>7</v>
      </c>
      <c r="I22" s="81">
        <f t="shared" ca="1" si="4"/>
        <v>7</v>
      </c>
      <c r="J22" s="82"/>
    </row>
    <row r="23" spans="1:10" s="87" customFormat="1" ht="16.8" x14ac:dyDescent="0.3">
      <c r="A23" s="441" t="s">
        <v>46</v>
      </c>
      <c r="B23" s="358">
        <v>1</v>
      </c>
      <c r="C23" s="442" t="s">
        <v>29</v>
      </c>
      <c r="D23" s="443" t="str">
        <f>IF(C23="Str",'Personal File'!$C$10,IF(C23="Dex",'Personal File'!$C$11,IF(C23="Con",'Personal File'!$C$12,IF(C23="Int",'Personal File'!$C$13,IF(C23="Wis",'Personal File'!$C$14,IF(C23="Cha",'Personal File'!$C$15))))))</f>
        <v>+1</v>
      </c>
      <c r="E23" s="444" t="str">
        <f t="shared" si="3"/>
        <v>Str (+1)</v>
      </c>
      <c r="F23" s="325">
        <f>SUM(Martial!$D$13:$D$14)*-1</f>
        <v>0</v>
      </c>
      <c r="G23" s="245">
        <f t="shared" si="1"/>
        <v>2</v>
      </c>
      <c r="H23" s="65">
        <f t="shared" ca="1" si="5"/>
        <v>16</v>
      </c>
      <c r="I23" s="245">
        <f t="shared" ca="1" si="4"/>
        <v>18</v>
      </c>
      <c r="J23" s="246"/>
    </row>
    <row r="24" spans="1:10" s="87" customFormat="1" ht="16.8" x14ac:dyDescent="0.3">
      <c r="A24" s="114" t="s">
        <v>154</v>
      </c>
      <c r="B24" s="98">
        <v>1</v>
      </c>
      <c r="C24" s="115" t="s">
        <v>26</v>
      </c>
      <c r="D24" s="116" t="str">
        <f>IF(C24="Str",'Personal File'!$C$10,IF(C24="Dex",'Personal File'!$C$11,IF(C24="Con",'Personal File'!$C$12,IF(C24="Int",'Personal File'!$C$13,IF(C24="Wis",'Personal File'!$C$14,IF(C24="Cha",'Personal File'!$C$15))))))</f>
        <v>+0</v>
      </c>
      <c r="E24" s="117" t="str">
        <f>CONCATENATE(C24," (",D24,")")</f>
        <v>Int (+0)</v>
      </c>
      <c r="F24" s="326">
        <v>0</v>
      </c>
      <c r="G24" s="99">
        <f t="shared" si="1"/>
        <v>1</v>
      </c>
      <c r="H24" s="65">
        <f t="shared" ca="1" si="5"/>
        <v>18</v>
      </c>
      <c r="I24" s="99">
        <f t="shared" ca="1" si="4"/>
        <v>19</v>
      </c>
      <c r="J24" s="100"/>
    </row>
    <row r="25" spans="1:10" s="87" customFormat="1" ht="16.8" x14ac:dyDescent="0.3">
      <c r="A25" s="327" t="s">
        <v>164</v>
      </c>
      <c r="B25" s="328">
        <v>0</v>
      </c>
      <c r="C25" s="329" t="s">
        <v>26</v>
      </c>
      <c r="D25" s="330" t="str">
        <f>IF(C25="Str",'Personal File'!$C$10,IF(C25="Dex",'Personal File'!$C$11,IF(C25="Con",'Personal File'!$C$12,IF(C25="Int",'Personal File'!$C$13,IF(C25="Wis",'Personal File'!$C$14,IF(C25="Cha",'Personal File'!$C$15))))))</f>
        <v>+0</v>
      </c>
      <c r="E25" s="331" t="str">
        <f>CONCATENATE(C25," (",D25,")")</f>
        <v>Int (+0)</v>
      </c>
      <c r="F25" s="332">
        <f>'Personal File'!E3</f>
        <v>1</v>
      </c>
      <c r="G25" s="333">
        <f t="shared" si="1"/>
        <v>1</v>
      </c>
      <c r="H25" s="65">
        <f t="shared" ca="1" si="5"/>
        <v>10</v>
      </c>
      <c r="I25" s="333">
        <f t="shared" ca="1" si="4"/>
        <v>11</v>
      </c>
      <c r="J25" s="334"/>
    </row>
    <row r="26" spans="1:10" s="87" customFormat="1" ht="16.8" x14ac:dyDescent="0.3">
      <c r="A26" s="114" t="s">
        <v>169</v>
      </c>
      <c r="B26" s="98">
        <v>1</v>
      </c>
      <c r="C26" s="115" t="s">
        <v>26</v>
      </c>
      <c r="D26" s="116" t="str">
        <f>IF(C26="Str",'Personal File'!$C$10,IF(C26="Dex",'Personal File'!$C$11,IF(C26="Con",'Personal File'!$C$12,IF(C26="Int",'Personal File'!$C$13,IF(C26="Wis",'Personal File'!$C$14,IF(C26="Cha",'Personal File'!$C$15))))))</f>
        <v>+0</v>
      </c>
      <c r="E26" s="117" t="str">
        <f>CONCATENATE(C26," (",D26,")")</f>
        <v>Int (+0)</v>
      </c>
      <c r="F26" s="326">
        <v>0</v>
      </c>
      <c r="G26" s="99">
        <f t="shared" ref="G26" si="8">B26+D26+F26</f>
        <v>1</v>
      </c>
      <c r="H26" s="65">
        <f t="shared" ca="1" si="5"/>
        <v>17</v>
      </c>
      <c r="I26" s="99">
        <f t="shared" ref="I26" ca="1" si="9">SUM(G26:H26)</f>
        <v>18</v>
      </c>
      <c r="J26" s="100"/>
    </row>
    <row r="27" spans="1:10" s="87" customFormat="1" ht="16.8" x14ac:dyDescent="0.3">
      <c r="A27" s="234" t="s">
        <v>47</v>
      </c>
      <c r="B27" s="357">
        <v>1</v>
      </c>
      <c r="C27" s="235" t="s">
        <v>27</v>
      </c>
      <c r="D27" s="236" t="str">
        <f>IF(C27="Str",'Personal File'!$C$10,IF(C27="Dex",'Personal File'!$C$11,IF(C27="Con",'Personal File'!$C$12,IF(C27="Int",'Personal File'!$C$13,IF(C27="Wis",'Personal File'!$C$14,IF(C27="Cha",'Personal File'!$C$15))))))</f>
        <v>+1</v>
      </c>
      <c r="E27" s="237" t="str">
        <f t="shared" si="3"/>
        <v>Wis (+1)</v>
      </c>
      <c r="F27" s="326">
        <v>2</v>
      </c>
      <c r="G27" s="228">
        <f t="shared" si="1"/>
        <v>4</v>
      </c>
      <c r="H27" s="65">
        <f t="shared" ca="1" si="5"/>
        <v>4</v>
      </c>
      <c r="I27" s="228">
        <f t="shared" ca="1" si="4"/>
        <v>8</v>
      </c>
      <c r="J27" s="229"/>
    </row>
    <row r="28" spans="1:10" s="87" customFormat="1" ht="16.8" x14ac:dyDescent="0.3">
      <c r="A28" s="84" t="s">
        <v>11</v>
      </c>
      <c r="B28" s="61">
        <v>0</v>
      </c>
      <c r="C28" s="85" t="s">
        <v>28</v>
      </c>
      <c r="D28" s="86" t="str">
        <f>IF(C28="Str",'Personal File'!$C$10,IF(C28="Dex",'Personal File'!$C$11,IF(C28="Con",'Personal File'!$C$12,IF(C28="Int",'Personal File'!$C$13,IF(C28="Wis",'Personal File'!$C$14,IF(C28="Cha",'Personal File'!$C$15))))))</f>
        <v>+3</v>
      </c>
      <c r="E28" s="68" t="str">
        <f t="shared" si="3"/>
        <v>Dex (+3)</v>
      </c>
      <c r="F28" s="80">
        <f>SUM(Martial!$D$13:$D$14)*-1</f>
        <v>0</v>
      </c>
      <c r="G28" s="81">
        <f t="shared" si="1"/>
        <v>3</v>
      </c>
      <c r="H28" s="65">
        <f t="shared" ca="1" si="5"/>
        <v>2</v>
      </c>
      <c r="I28" s="81">
        <f t="shared" ca="1" si="4"/>
        <v>5</v>
      </c>
      <c r="J28" s="82"/>
    </row>
    <row r="29" spans="1:10" s="87" customFormat="1" ht="16.8" x14ac:dyDescent="0.3">
      <c r="A29" s="122" t="s">
        <v>48</v>
      </c>
      <c r="B29" s="359">
        <v>0</v>
      </c>
      <c r="C29" s="123" t="s">
        <v>28</v>
      </c>
      <c r="D29" s="124" t="str">
        <f>IF(C29="Str",'Personal File'!$C$10,IF(C29="Dex",'Personal File'!$C$11,IF(C29="Con",'Personal File'!$C$12,IF(C29="Int",'Personal File'!$C$13,IF(C29="Wis",'Personal File'!$C$14,IF(C29="Cha",'Personal File'!$C$15))))))</f>
        <v>+3</v>
      </c>
      <c r="E29" s="125" t="str">
        <f t="shared" si="3"/>
        <v>Dex (+3)</v>
      </c>
      <c r="F29" s="105" t="s">
        <v>56</v>
      </c>
      <c r="G29" s="105">
        <f t="shared" si="1"/>
        <v>3</v>
      </c>
      <c r="H29" s="65">
        <f t="shared" ca="1" si="5"/>
        <v>5</v>
      </c>
      <c r="I29" s="105">
        <f t="shared" ca="1" si="4"/>
        <v>8</v>
      </c>
      <c r="J29" s="106"/>
    </row>
    <row r="30" spans="1:10" ht="16.8" x14ac:dyDescent="0.3">
      <c r="A30" s="230" t="s">
        <v>155</v>
      </c>
      <c r="B30" s="357">
        <v>4</v>
      </c>
      <c r="C30" s="231" t="s">
        <v>24</v>
      </c>
      <c r="D30" s="232" t="str">
        <f>IF(C30="Str",'Personal File'!$C$10,IF(C30="Dex",'Personal File'!$C$11,IF(C30="Con",'Personal File'!$C$12,IF(C30="Int",'Personal File'!$C$13,IF(C30="Wis",'Personal File'!$C$14,IF(C30="Cha",'Personal File'!$C$15))))))</f>
        <v>+2</v>
      </c>
      <c r="E30" s="233" t="str">
        <f t="shared" ref="E30" si="10">CONCATENATE(C30," (",D30,")")</f>
        <v>Cha (+2)</v>
      </c>
      <c r="F30" s="228" t="s">
        <v>56</v>
      </c>
      <c r="G30" s="228">
        <f t="shared" ref="G30" si="11">B30+D30+F30</f>
        <v>6</v>
      </c>
      <c r="H30" s="65">
        <f t="shared" ca="1" si="5"/>
        <v>8</v>
      </c>
      <c r="I30" s="228">
        <f t="shared" ref="I30" ca="1" si="12">SUM(G30:H30)</f>
        <v>14</v>
      </c>
      <c r="J30" s="229"/>
    </row>
    <row r="31" spans="1:10" ht="16.8" x14ac:dyDescent="0.3">
      <c r="A31" s="230" t="s">
        <v>194</v>
      </c>
      <c r="B31" s="357">
        <v>4</v>
      </c>
      <c r="C31" s="235" t="s">
        <v>27</v>
      </c>
      <c r="D31" s="236" t="str">
        <f>IF(C31="Str",'Personal File'!$C$10,IF(C31="Dex",'Personal File'!$C$11,IF(C31="Con",'Personal File'!$C$12,IF(C31="Int",'Personal File'!$C$13,IF(C31="Wis",'Personal File'!$C$14,IF(C31="Cha",'Personal File'!$C$15))))))</f>
        <v>+1</v>
      </c>
      <c r="E31" s="237" t="str">
        <f t="shared" ref="E31" si="13">CONCATENATE(C31," (",D31,")")</f>
        <v>Wis (+1)</v>
      </c>
      <c r="F31" s="228" t="s">
        <v>56</v>
      </c>
      <c r="G31" s="228">
        <f t="shared" si="1"/>
        <v>5</v>
      </c>
      <c r="H31" s="65">
        <f t="shared" ca="1" si="5"/>
        <v>16</v>
      </c>
      <c r="I31" s="228">
        <f t="shared" ref="I31" ca="1" si="14">SUM(G31:H31)</f>
        <v>21</v>
      </c>
      <c r="J31" s="229"/>
    </row>
    <row r="32" spans="1:10" ht="16.8" x14ac:dyDescent="0.3">
      <c r="A32" s="84" t="s">
        <v>12</v>
      </c>
      <c r="B32" s="61">
        <v>0</v>
      </c>
      <c r="C32" s="85" t="s">
        <v>28</v>
      </c>
      <c r="D32" s="86" t="str">
        <f>IF(C32="Str",'Personal File'!$C$10,IF(C32="Dex",'Personal File'!$C$11,IF(C32="Con",'Personal File'!$C$12,IF(C32="Int",'Personal File'!$C$13,IF(C32="Wis",'Personal File'!$C$14,IF(C32="Cha",'Personal File'!$C$15))))))</f>
        <v>+3</v>
      </c>
      <c r="E32" s="68" t="str">
        <f t="shared" si="3"/>
        <v>Dex (+3)</v>
      </c>
      <c r="F32" s="112" t="s">
        <v>56</v>
      </c>
      <c r="G32" s="81">
        <f t="shared" si="1"/>
        <v>3</v>
      </c>
      <c r="H32" s="65">
        <f t="shared" ca="1" si="5"/>
        <v>19</v>
      </c>
      <c r="I32" s="81">
        <f t="shared" ca="1" si="4"/>
        <v>22</v>
      </c>
      <c r="J32" s="82"/>
    </row>
    <row r="33" spans="1:10" ht="16.8" x14ac:dyDescent="0.3">
      <c r="A33" s="76" t="s">
        <v>13</v>
      </c>
      <c r="B33" s="61">
        <v>0</v>
      </c>
      <c r="C33" s="77" t="s">
        <v>26</v>
      </c>
      <c r="D33" s="78" t="str">
        <f>IF(C33="Str",'Personal File'!$C$10,IF(C33="Dex",'Personal File'!$C$11,IF(C33="Con",'Personal File'!$C$12,IF(C33="Int",'Personal File'!$C$13,IF(C33="Wis",'Personal File'!$C$14,IF(C33="Cha",'Personal File'!$C$15))))))</f>
        <v>+0</v>
      </c>
      <c r="E33" s="79" t="str">
        <f t="shared" si="3"/>
        <v>Int (+0)</v>
      </c>
      <c r="F33" s="80">
        <f>-2+2</f>
        <v>0</v>
      </c>
      <c r="G33" s="81">
        <f t="shared" si="1"/>
        <v>0</v>
      </c>
      <c r="H33" s="65">
        <f t="shared" ca="1" si="5"/>
        <v>16</v>
      </c>
      <c r="I33" s="81">
        <f t="shared" ca="1" si="4"/>
        <v>16</v>
      </c>
      <c r="J33" s="82"/>
    </row>
    <row r="34" spans="1:10" ht="16.8" x14ac:dyDescent="0.3">
      <c r="A34" s="230" t="s">
        <v>49</v>
      </c>
      <c r="B34" s="357">
        <v>1</v>
      </c>
      <c r="C34" s="235" t="s">
        <v>27</v>
      </c>
      <c r="D34" s="236" t="str">
        <f>IF(C34="Str",'Personal File'!$C$10,IF(C34="Dex",'Personal File'!$C$11,IF(C34="Con",'Personal File'!$C$12,IF(C34="Int",'Personal File'!$C$13,IF(C34="Wis",'Personal File'!$C$14,IF(C34="Cha",'Personal File'!$C$15))))))</f>
        <v>+1</v>
      </c>
      <c r="E34" s="237" t="str">
        <f t="shared" si="3"/>
        <v>Wis (+1)</v>
      </c>
      <c r="F34" s="228" t="s">
        <v>231</v>
      </c>
      <c r="G34" s="228">
        <f t="shared" si="1"/>
        <v>4</v>
      </c>
      <c r="H34" s="65">
        <f t="shared" ca="1" si="5"/>
        <v>12</v>
      </c>
      <c r="I34" s="228">
        <f t="shared" ca="1" si="4"/>
        <v>16</v>
      </c>
      <c r="J34" s="229"/>
    </row>
    <row r="35" spans="1:10" ht="16.8" x14ac:dyDescent="0.3">
      <c r="A35" s="295" t="s">
        <v>81</v>
      </c>
      <c r="B35" s="361">
        <v>0</v>
      </c>
      <c r="C35" s="296" t="s">
        <v>28</v>
      </c>
      <c r="D35" s="297" t="str">
        <f>IF(C35="Str",'Personal File'!$C$10,IF(C35="Dex",'Personal File'!$C$11,IF(C35="Con",'Personal File'!$C$12,IF(C35="Int",'Personal File'!$C$13,IF(C35="Wis",'Personal File'!$C$14,IF(C35="Cha",'Personal File'!$C$15))))))</f>
        <v>+3</v>
      </c>
      <c r="E35" s="298" t="str">
        <f t="shared" si="3"/>
        <v>Dex (+3)</v>
      </c>
      <c r="F35" s="105" t="s">
        <v>56</v>
      </c>
      <c r="G35" s="299">
        <f t="shared" si="1"/>
        <v>3</v>
      </c>
      <c r="H35" s="65">
        <f t="shared" ca="1" si="5"/>
        <v>10</v>
      </c>
      <c r="I35" s="299">
        <f t="shared" ref="I35:I36" ca="1" si="15">SUM(G35:H35)</f>
        <v>13</v>
      </c>
      <c r="J35" s="300"/>
    </row>
    <row r="36" spans="1:10" ht="16.8" x14ac:dyDescent="0.3">
      <c r="A36" s="283" t="s">
        <v>196</v>
      </c>
      <c r="B36" s="358">
        <v>1</v>
      </c>
      <c r="C36" s="284" t="s">
        <v>26</v>
      </c>
      <c r="D36" s="285" t="str">
        <f>IF(C36="Str",'Personal File'!$C$10,IF(C36="Dex",'Personal File'!$C$11,IF(C36="Con",'Personal File'!$C$12,IF(C36="Int",'Personal File'!$C$13,IF(C36="Wis",'Personal File'!$C$14,IF(C36="Cha",'Personal File'!$C$15))))))</f>
        <v>+0</v>
      </c>
      <c r="E36" s="286" t="str">
        <f t="shared" si="3"/>
        <v>Int (+0)</v>
      </c>
      <c r="F36" s="245" t="s">
        <v>56</v>
      </c>
      <c r="G36" s="245">
        <f t="shared" si="1"/>
        <v>1</v>
      </c>
      <c r="H36" s="65">
        <f t="shared" ca="1" si="5"/>
        <v>15</v>
      </c>
      <c r="I36" s="245">
        <f t="shared" ca="1" si="15"/>
        <v>16</v>
      </c>
      <c r="J36" s="287"/>
    </row>
    <row r="37" spans="1:10" ht="16.8" x14ac:dyDescent="0.3">
      <c r="A37" s="283" t="s">
        <v>195</v>
      </c>
      <c r="B37" s="358">
        <v>1</v>
      </c>
      <c r="C37" s="284" t="s">
        <v>26</v>
      </c>
      <c r="D37" s="285" t="str">
        <f>IF(C37="Str",'Personal File'!$C$10,IF(C37="Dex",'Personal File'!$C$11,IF(C37="Con",'Personal File'!$C$12,IF(C37="Int",'Personal File'!$C$13,IF(C37="Wis",'Personal File'!$C$14,IF(C37="Cha",'Personal File'!$C$15))))))</f>
        <v>+0</v>
      </c>
      <c r="E37" s="286" t="str">
        <f t="shared" ref="E37" si="16">CONCATENATE(C37," (",D37,")")</f>
        <v>Int (+0)</v>
      </c>
      <c r="F37" s="245" t="s">
        <v>56</v>
      </c>
      <c r="G37" s="245">
        <f t="shared" ref="G37" si="17">B37+D37+F37</f>
        <v>1</v>
      </c>
      <c r="H37" s="65">
        <f t="shared" ca="1" si="5"/>
        <v>16</v>
      </c>
      <c r="I37" s="245">
        <f t="shared" ref="I37" ca="1" si="18">SUM(G37:H37)</f>
        <v>17</v>
      </c>
      <c r="J37" s="287"/>
    </row>
    <row r="38" spans="1:10" ht="16.8" x14ac:dyDescent="0.3">
      <c r="A38" s="283" t="s">
        <v>50</v>
      </c>
      <c r="B38" s="358">
        <v>1</v>
      </c>
      <c r="C38" s="284" t="s">
        <v>26</v>
      </c>
      <c r="D38" s="285" t="str">
        <f>IF(C38="Str",'Personal File'!$C$10,IF(C38="Dex",'Personal File'!$C$11,IF(C38="Con",'Personal File'!$C$12,IF(C38="Int",'Personal File'!$C$13,IF(C38="Wis",'Personal File'!$C$14,IF(C38="Cha",'Personal File'!$C$15))))))</f>
        <v>+0</v>
      </c>
      <c r="E38" s="286" t="str">
        <f t="shared" si="3"/>
        <v>Int (+0)</v>
      </c>
      <c r="F38" s="245" t="s">
        <v>56</v>
      </c>
      <c r="G38" s="245">
        <f t="shared" si="1"/>
        <v>1</v>
      </c>
      <c r="H38" s="65">
        <f t="shared" ca="1" si="5"/>
        <v>15</v>
      </c>
      <c r="I38" s="245">
        <f t="shared" ca="1" si="4"/>
        <v>16</v>
      </c>
      <c r="J38" s="287"/>
    </row>
    <row r="39" spans="1:10" ht="16.8" x14ac:dyDescent="0.3">
      <c r="A39" s="118" t="s">
        <v>51</v>
      </c>
      <c r="B39" s="61">
        <v>0</v>
      </c>
      <c r="C39" s="119" t="s">
        <v>27</v>
      </c>
      <c r="D39" s="120" t="str">
        <f>IF(C39="Str",'Personal File'!$C$10,IF(C39="Dex",'Personal File'!$C$11,IF(C39="Con",'Personal File'!$C$12,IF(C39="Int",'Personal File'!$C$13,IF(C39="Wis",'Personal File'!$C$14,IF(C39="Cha",'Personal File'!$C$15))))))</f>
        <v>+1</v>
      </c>
      <c r="E39" s="121" t="str">
        <f t="shared" si="3"/>
        <v>Wis (+1)</v>
      </c>
      <c r="F39" s="80">
        <f>1+2</f>
        <v>3</v>
      </c>
      <c r="G39" s="81">
        <f t="shared" si="1"/>
        <v>4</v>
      </c>
      <c r="H39" s="65">
        <f t="shared" ca="1" si="5"/>
        <v>7</v>
      </c>
      <c r="I39" s="81">
        <f t="shared" ca="1" si="4"/>
        <v>11</v>
      </c>
      <c r="J39" s="82"/>
    </row>
    <row r="40" spans="1:10" ht="16.8" x14ac:dyDescent="0.3">
      <c r="A40" s="118" t="s">
        <v>82</v>
      </c>
      <c r="B40" s="61">
        <v>0</v>
      </c>
      <c r="C40" s="119" t="s">
        <v>27</v>
      </c>
      <c r="D40" s="120" t="str">
        <f>IF(C40="Str",'Personal File'!$C$10,IF(C40="Dex",'Personal File'!$C$11,IF(C40="Con",'Personal File'!$C$12,IF(C40="Int",'Personal File'!$C$13,IF(C40="Wis",'Personal File'!$C$14,IF(C40="Cha",'Personal File'!$C$15))))))</f>
        <v>+1</v>
      </c>
      <c r="E40" s="121" t="str">
        <f t="shared" si="3"/>
        <v>Wis (+1)</v>
      </c>
      <c r="F40" s="81" t="s">
        <v>56</v>
      </c>
      <c r="G40" s="81">
        <f t="shared" si="1"/>
        <v>1</v>
      </c>
      <c r="H40" s="65">
        <f t="shared" ca="1" si="5"/>
        <v>20</v>
      </c>
      <c r="I40" s="81">
        <f t="shared" ca="1" si="4"/>
        <v>21</v>
      </c>
      <c r="J40" s="82"/>
    </row>
    <row r="41" spans="1:10" ht="16.8" x14ac:dyDescent="0.3">
      <c r="A41" s="93" t="s">
        <v>14</v>
      </c>
      <c r="B41" s="61">
        <v>0</v>
      </c>
      <c r="C41" s="94" t="s">
        <v>29</v>
      </c>
      <c r="D41" s="95" t="str">
        <f>IF(C41="Str",'Personal File'!$C$10,IF(C41="Dex",'Personal File'!$C$11,IF(C41="Con",'Personal File'!$C$12,IF(C41="Int",'Personal File'!$C$13,IF(C41="Wis",'Personal File'!$C$14,IF(C41="Cha",'Personal File'!$C$15))))))</f>
        <v>+1</v>
      </c>
      <c r="E41" s="96" t="str">
        <f t="shared" si="3"/>
        <v>Str (+1)</v>
      </c>
      <c r="F41" s="81" t="s">
        <v>56</v>
      </c>
      <c r="G41" s="81">
        <f t="shared" si="1"/>
        <v>1</v>
      </c>
      <c r="H41" s="65">
        <f t="shared" ca="1" si="5"/>
        <v>4</v>
      </c>
      <c r="I41" s="81">
        <f t="shared" ca="1" si="4"/>
        <v>5</v>
      </c>
      <c r="J41" s="66"/>
    </row>
    <row r="42" spans="1:10" ht="16.8" x14ac:dyDescent="0.3">
      <c r="A42" s="320" t="s">
        <v>52</v>
      </c>
      <c r="B42" s="358">
        <v>2</v>
      </c>
      <c r="C42" s="321" t="s">
        <v>28</v>
      </c>
      <c r="D42" s="322" t="str">
        <f>IF(C42="Str",'Personal File'!$C$10,IF(C42="Dex",'Personal File'!$C$11,IF(C42="Con",'Personal File'!$C$12,IF(C42="Int",'Personal File'!$C$13,IF(C42="Wis",'Personal File'!$C$14,IF(C42="Cha",'Personal File'!$C$15))))))</f>
        <v>+3</v>
      </c>
      <c r="E42" s="323" t="str">
        <f t="shared" si="3"/>
        <v>Dex (+3)</v>
      </c>
      <c r="F42" s="245" t="s">
        <v>56</v>
      </c>
      <c r="G42" s="228">
        <f t="shared" si="1"/>
        <v>5</v>
      </c>
      <c r="H42" s="65">
        <f t="shared" ca="1" si="5"/>
        <v>20</v>
      </c>
      <c r="I42" s="228">
        <f t="shared" ref="I42:I43" ca="1" si="19">SUM(G42:H42)</f>
        <v>25</v>
      </c>
      <c r="J42" s="246"/>
    </row>
    <row r="43" spans="1:10" ht="16.8" x14ac:dyDescent="0.3">
      <c r="A43" s="445" t="s">
        <v>53</v>
      </c>
      <c r="B43" s="446">
        <v>0</v>
      </c>
      <c r="C43" s="447" t="s">
        <v>24</v>
      </c>
      <c r="D43" s="448" t="str">
        <f>IF(C43="Str",'Personal File'!$C$10,IF(C43="Dex",'Personal File'!$C$11,IF(C43="Con",'Personal File'!$C$12,IF(C43="Int",'Personal File'!$C$13,IF(C43="Wis",'Personal File'!$C$14,IF(C43="Cha",'Personal File'!$C$15))))))</f>
        <v>+2</v>
      </c>
      <c r="E43" s="449" t="str">
        <f t="shared" si="3"/>
        <v>Cha (+2)</v>
      </c>
      <c r="F43" s="299" t="s">
        <v>56</v>
      </c>
      <c r="G43" s="450">
        <f t="shared" si="1"/>
        <v>2</v>
      </c>
      <c r="H43" s="65">
        <f t="shared" ca="1" si="5"/>
        <v>11</v>
      </c>
      <c r="I43" s="450">
        <f t="shared" ca="1" si="19"/>
        <v>13</v>
      </c>
      <c r="J43" s="451"/>
    </row>
    <row r="44" spans="1:10" ht="17.399999999999999" thickBot="1" x14ac:dyDescent="0.35">
      <c r="A44" s="126" t="s">
        <v>54</v>
      </c>
      <c r="B44" s="362">
        <v>0</v>
      </c>
      <c r="C44" s="127" t="s">
        <v>28</v>
      </c>
      <c r="D44" s="128" t="str">
        <f>IF(C44="Str",'Personal File'!$C$10,IF(C44="Dex",'Personal File'!$C$11,IF(C44="Con",'Personal File'!$C$12,IF(C44="Int",'Personal File'!$C$13,IF(C44="Wis",'Personal File'!$C$14,IF(C44="Cha",'Personal File'!$C$15))))))</f>
        <v>+3</v>
      </c>
      <c r="E44" s="129" t="str">
        <f t="shared" si="3"/>
        <v>Dex (+3)</v>
      </c>
      <c r="F44" s="130" t="s">
        <v>56</v>
      </c>
      <c r="G44" s="130">
        <f t="shared" si="1"/>
        <v>3</v>
      </c>
      <c r="H44" s="131">
        <f t="shared" ref="H44" ca="1" si="20">RANDBETWEEN(1,20)</f>
        <v>13</v>
      </c>
      <c r="I44" s="130">
        <f t="shared" ca="1" si="4"/>
        <v>16</v>
      </c>
      <c r="J44" s="132"/>
    </row>
    <row r="45" spans="1:10" ht="16.2" thickTop="1" x14ac:dyDescent="0.3">
      <c r="B45" s="133">
        <f>SUM(B6:B44)</f>
        <v>24</v>
      </c>
      <c r="E45" s="248">
        <f>SUM(E46:E52)</f>
        <v>24</v>
      </c>
      <c r="F45" s="134" t="s">
        <v>57</v>
      </c>
    </row>
    <row r="46" spans="1:10" x14ac:dyDescent="0.3">
      <c r="B46" s="133"/>
      <c r="E46" s="249">
        <f>4*(6+'Personal File'!$C$13)</f>
        <v>24</v>
      </c>
      <c r="F46" s="135" t="s">
        <v>191</v>
      </c>
    </row>
    <row r="47" spans="1:10" x14ac:dyDescent="0.3">
      <c r="E47" s="248"/>
      <c r="F47" s="135"/>
    </row>
    <row r="48" spans="1:10" x14ac:dyDescent="0.3">
      <c r="E48" s="248"/>
      <c r="F48" s="135"/>
    </row>
    <row r="49" spans="5:6" x14ac:dyDescent="0.3">
      <c r="E49" s="248"/>
      <c r="F49" s="135"/>
    </row>
    <row r="50" spans="5:6" x14ac:dyDescent="0.3">
      <c r="E50" s="248"/>
      <c r="F50" s="135"/>
    </row>
    <row r="51" spans="5:6" x14ac:dyDescent="0.3">
      <c r="E51" s="248"/>
      <c r="F51" s="135"/>
    </row>
    <row r="52" spans="5:6" x14ac:dyDescent="0.3">
      <c r="E52" s="249"/>
      <c r="F52" s="13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showGridLines="0" workbookViewId="0">
      <pane ySplit="2" topLeftCell="A3" activePane="bottomLeft" state="frozen"/>
      <selection pane="bottomLeft" activeCell="A3" sqref="A3"/>
    </sheetView>
  </sheetViews>
  <sheetFormatPr defaultColWidth="13" defaultRowHeight="15.6" x14ac:dyDescent="0.3"/>
  <cols>
    <col min="1" max="1" width="18.59765625" style="55" customWidth="1"/>
    <col min="2" max="2" width="6.19921875" style="55" bestFit="1" customWidth="1"/>
    <col min="3" max="3" width="13.59765625" style="56" bestFit="1" customWidth="1"/>
    <col min="4" max="4" width="11.296875" style="56" bestFit="1" customWidth="1"/>
    <col min="5" max="5" width="8.09765625" style="56" bestFit="1" customWidth="1"/>
    <col min="6" max="6" width="13.19921875" style="56" bestFit="1" customWidth="1"/>
    <col min="7" max="7" width="9.796875" style="56" bestFit="1" customWidth="1"/>
    <col min="8" max="8" width="10.19921875" style="55" bestFit="1" customWidth="1"/>
    <col min="9" max="9" width="5.5" style="14" bestFit="1" customWidth="1"/>
    <col min="10" max="10" width="3.296875" style="14" bestFit="1" customWidth="1"/>
    <col min="11" max="14" width="13" style="140"/>
    <col min="15" max="16384" width="13" style="14"/>
  </cols>
  <sheetData>
    <row r="1" spans="1:14" ht="23.4" thickBot="1" x14ac:dyDescent="0.35">
      <c r="A1" s="288" t="s">
        <v>125</v>
      </c>
      <c r="B1" s="58"/>
      <c r="C1" s="58"/>
      <c r="D1" s="58"/>
      <c r="E1" s="58"/>
      <c r="F1" s="58"/>
      <c r="G1" s="58"/>
      <c r="H1" s="58"/>
    </row>
    <row r="2" spans="1:14" s="10" customFormat="1" ht="16.8" x14ac:dyDescent="0.3">
      <c r="A2" s="289" t="s">
        <v>68</v>
      </c>
      <c r="B2" s="290" t="s">
        <v>0</v>
      </c>
      <c r="C2" s="290" t="s">
        <v>71</v>
      </c>
      <c r="D2" s="291" t="s">
        <v>89</v>
      </c>
      <c r="E2" s="290" t="s">
        <v>90</v>
      </c>
      <c r="F2" s="290" t="s">
        <v>59</v>
      </c>
      <c r="G2" s="290" t="s">
        <v>17</v>
      </c>
      <c r="H2" s="290" t="s">
        <v>117</v>
      </c>
      <c r="I2" s="292" t="s">
        <v>118</v>
      </c>
      <c r="J2" s="278" t="s">
        <v>126</v>
      </c>
      <c r="K2" s="140"/>
      <c r="L2" s="140"/>
      <c r="M2" s="140"/>
      <c r="N2" s="140"/>
    </row>
    <row r="3" spans="1:14" s="10" customFormat="1" ht="16.8" x14ac:dyDescent="0.3">
      <c r="A3" s="264" t="s">
        <v>181</v>
      </c>
      <c r="B3" s="138">
        <v>0</v>
      </c>
      <c r="C3" s="376" t="s">
        <v>122</v>
      </c>
      <c r="D3" s="2" t="s">
        <v>91</v>
      </c>
      <c r="E3" s="242" t="s">
        <v>92</v>
      </c>
      <c r="F3" s="137" t="s">
        <v>127</v>
      </c>
      <c r="G3" s="137" t="s">
        <v>65</v>
      </c>
      <c r="H3" s="137" t="s">
        <v>116</v>
      </c>
      <c r="I3" s="1">
        <v>216</v>
      </c>
      <c r="J3" s="278"/>
      <c r="K3" s="140"/>
      <c r="L3" s="140"/>
      <c r="M3" s="140"/>
      <c r="N3" s="140"/>
    </row>
    <row r="4" spans="1:14" ht="16.8" x14ac:dyDescent="0.3">
      <c r="A4" s="264" t="s">
        <v>182</v>
      </c>
      <c r="B4" s="138">
        <v>0</v>
      </c>
      <c r="C4" s="350" t="s">
        <v>184</v>
      </c>
      <c r="D4" s="352" t="s">
        <v>91</v>
      </c>
      <c r="E4" s="354" t="s">
        <v>92</v>
      </c>
      <c r="F4" s="356" t="s">
        <v>66</v>
      </c>
      <c r="G4" s="356" t="s">
        <v>65</v>
      </c>
      <c r="H4" s="137" t="s">
        <v>116</v>
      </c>
      <c r="I4" s="1">
        <v>246</v>
      </c>
      <c r="J4" s="278"/>
    </row>
    <row r="5" spans="1:14" ht="16.8" x14ac:dyDescent="0.3">
      <c r="A5" s="264" t="s">
        <v>183</v>
      </c>
      <c r="B5" s="138">
        <v>0</v>
      </c>
      <c r="C5" s="136" t="s">
        <v>119</v>
      </c>
      <c r="D5" s="2" t="s">
        <v>91</v>
      </c>
      <c r="E5" s="242" t="s">
        <v>92</v>
      </c>
      <c r="F5" s="137" t="s">
        <v>72</v>
      </c>
      <c r="G5" s="137" t="s">
        <v>65</v>
      </c>
      <c r="H5" s="137" t="s">
        <v>116</v>
      </c>
      <c r="I5" s="1">
        <v>253</v>
      </c>
      <c r="J5" s="278"/>
    </row>
    <row r="6" spans="1:14" ht="16.8" x14ac:dyDescent="0.3">
      <c r="A6" s="265" t="s">
        <v>156</v>
      </c>
      <c r="B6" s="139">
        <v>0</v>
      </c>
      <c r="C6" s="351" t="s">
        <v>119</v>
      </c>
      <c r="D6" s="353" t="s">
        <v>94</v>
      </c>
      <c r="E6" s="355" t="s">
        <v>92</v>
      </c>
      <c r="F6" s="243" t="s">
        <v>93</v>
      </c>
      <c r="G6" s="243" t="s">
        <v>67</v>
      </c>
      <c r="H6" s="243" t="s">
        <v>116</v>
      </c>
      <c r="I6" s="244">
        <v>253</v>
      </c>
      <c r="J6" s="278"/>
    </row>
    <row r="7" spans="1:14" ht="16.8" x14ac:dyDescent="0.3">
      <c r="A7" s="377"/>
      <c r="B7" s="378">
        <v>1</v>
      </c>
      <c r="C7" s="379"/>
      <c r="D7" s="380"/>
      <c r="E7" s="381"/>
      <c r="F7" s="382"/>
      <c r="G7" s="382"/>
      <c r="H7" s="382"/>
      <c r="I7" s="383"/>
      <c r="J7" s="278"/>
    </row>
    <row r="8" spans="1:14" ht="17.399999999999999" thickBot="1" x14ac:dyDescent="0.35">
      <c r="A8" s="384"/>
      <c r="B8" s="385">
        <v>1</v>
      </c>
      <c r="C8" s="386"/>
      <c r="D8" s="387"/>
      <c r="E8" s="388"/>
      <c r="F8" s="389"/>
      <c r="G8" s="389"/>
      <c r="H8" s="389"/>
      <c r="I8" s="390"/>
      <c r="J8" s="278"/>
    </row>
    <row r="9" spans="1:14" ht="16.2" thickTop="1" x14ac:dyDescent="0.3">
      <c r="A9"/>
    </row>
  </sheetData>
  <sortState xmlns:xlrd2="http://schemas.microsoft.com/office/spreadsheetml/2017/richdata2" ref="A3:J8">
    <sortCondition ref="B3:B8"/>
    <sortCondition ref="A3:A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workbookViewId="0"/>
  </sheetViews>
  <sheetFormatPr defaultColWidth="11.3984375" defaultRowHeight="16.8" x14ac:dyDescent="0.3"/>
  <cols>
    <col min="1" max="1" width="27.8984375" style="18" bestFit="1" customWidth="1"/>
    <col min="2" max="2" width="2.69921875" style="18" customWidth="1"/>
    <col min="3" max="3" width="27.8984375" style="18" customWidth="1"/>
    <col min="4" max="4" width="2.69921875" style="17" customWidth="1"/>
    <col min="5" max="5" width="14.69921875" style="50" bestFit="1" customWidth="1"/>
    <col min="6" max="13" width="3.19921875" style="50" customWidth="1"/>
    <col min="14" max="16384" width="11.3984375" style="50"/>
  </cols>
  <sheetData>
    <row r="1" spans="1:13" ht="24" thickTop="1" thickBot="1" x14ac:dyDescent="0.35">
      <c r="A1" s="399" t="s">
        <v>98</v>
      </c>
      <c r="B1" s="188"/>
      <c r="C1" s="408" t="s">
        <v>86</v>
      </c>
      <c r="D1" s="50"/>
      <c r="E1" s="140"/>
      <c r="F1" s="409" t="s">
        <v>95</v>
      </c>
      <c r="G1" s="58"/>
      <c r="H1" s="58"/>
      <c r="I1" s="410"/>
      <c r="J1" s="58"/>
      <c r="K1" s="58"/>
      <c r="L1" s="58"/>
      <c r="M1" s="410"/>
    </row>
    <row r="2" spans="1:13" ht="17.399999999999999" thickTop="1" x14ac:dyDescent="0.3">
      <c r="A2" s="401" t="s">
        <v>230</v>
      </c>
      <c r="B2" s="400"/>
      <c r="C2" s="404" t="s">
        <v>166</v>
      </c>
      <c r="D2" s="50"/>
      <c r="E2" s="140"/>
      <c r="F2" s="141" t="s">
        <v>96</v>
      </c>
      <c r="G2" s="411"/>
      <c r="H2" s="411"/>
      <c r="I2" s="411"/>
      <c r="J2" s="411"/>
      <c r="K2" s="411"/>
      <c r="L2" s="411"/>
      <c r="M2" s="412"/>
    </row>
    <row r="3" spans="1:13" ht="17.399999999999999" thickBot="1" x14ac:dyDescent="0.35">
      <c r="A3" s="401" t="str">
        <f>CONCATENATE("Flaw:  Protection Devotion +",2+ROUNDDOWN(SUM('Personal File'!$E$3:$E$4)/4,0))</f>
        <v>Flaw:  Protection Devotion +2</v>
      </c>
      <c r="B3" s="402"/>
      <c r="C3" s="405" t="s">
        <v>167</v>
      </c>
      <c r="D3" s="50"/>
      <c r="E3" s="140"/>
      <c r="F3" s="413">
        <v>0</v>
      </c>
      <c r="G3" s="414">
        <v>1</v>
      </c>
      <c r="H3" s="414">
        <v>2</v>
      </c>
      <c r="I3" s="414">
        <v>3</v>
      </c>
      <c r="J3" s="414">
        <v>4</v>
      </c>
      <c r="K3" s="414">
        <v>5</v>
      </c>
      <c r="L3" s="414">
        <v>6</v>
      </c>
      <c r="M3" s="415">
        <v>7</v>
      </c>
    </row>
    <row r="4" spans="1:13" ht="18" thickTop="1" thickBot="1" x14ac:dyDescent="0.35">
      <c r="A4" s="324" t="s">
        <v>200</v>
      </c>
      <c r="B4" s="396"/>
      <c r="C4" s="405" t="s">
        <v>204</v>
      </c>
      <c r="D4" s="50"/>
      <c r="E4" s="416" t="s">
        <v>120</v>
      </c>
      <c r="F4" s="417">
        <v>2</v>
      </c>
      <c r="G4" s="418">
        <v>0</v>
      </c>
      <c r="H4" s="418">
        <v>0</v>
      </c>
      <c r="I4" s="418">
        <v>0</v>
      </c>
      <c r="J4" s="418">
        <v>0</v>
      </c>
      <c r="K4" s="418">
        <v>0</v>
      </c>
      <c r="L4" s="418">
        <v>0</v>
      </c>
      <c r="M4" s="419">
        <v>0</v>
      </c>
    </row>
    <row r="5" spans="1:13" ht="18" thickTop="1" thickBot="1" x14ac:dyDescent="0.35">
      <c r="C5" s="405" t="s">
        <v>87</v>
      </c>
      <c r="D5" s="50"/>
      <c r="E5" s="420" t="s">
        <v>111</v>
      </c>
      <c r="F5" s="421">
        <v>0</v>
      </c>
      <c r="G5" s="422">
        <v>1</v>
      </c>
      <c r="H5" s="422">
        <v>1</v>
      </c>
      <c r="I5" s="422">
        <v>1</v>
      </c>
      <c r="J5" s="422">
        <v>1</v>
      </c>
      <c r="K5" s="422">
        <v>1</v>
      </c>
      <c r="L5" s="422">
        <v>0</v>
      </c>
      <c r="M5" s="423">
        <v>0</v>
      </c>
    </row>
    <row r="6" spans="1:13" ht="22.2" thickTop="1" thickBot="1" x14ac:dyDescent="0.35">
      <c r="A6" s="399" t="s">
        <v>84</v>
      </c>
      <c r="B6" s="403"/>
      <c r="C6" s="406" t="s">
        <v>105</v>
      </c>
      <c r="D6" s="50"/>
      <c r="E6" s="424" t="s">
        <v>97</v>
      </c>
      <c r="F6" s="425">
        <f>SUM(F4:F5)</f>
        <v>2</v>
      </c>
      <c r="G6" s="426">
        <v>0</v>
      </c>
      <c r="H6" s="426">
        <v>0</v>
      </c>
      <c r="I6" s="426">
        <v>0</v>
      </c>
      <c r="J6" s="426">
        <v>0</v>
      </c>
      <c r="K6" s="426">
        <v>0</v>
      </c>
      <c r="L6" s="426">
        <v>0</v>
      </c>
      <c r="M6" s="427">
        <v>0</v>
      </c>
    </row>
    <row r="7" spans="1:13" ht="17.399999999999999" thickBot="1" x14ac:dyDescent="0.35">
      <c r="A7" s="142" t="str">
        <f>CONCATENATE("Bardic Knowledge 1d20 +",'Personal File'!C13+'Personal File'!E3)</f>
        <v>Bardic Knowledge 1d20 +1</v>
      </c>
      <c r="B7" s="397"/>
      <c r="D7" s="50"/>
      <c r="E7" s="428" t="s">
        <v>85</v>
      </c>
      <c r="F7" s="429">
        <f>10+F3+'Personal File'!$C$15</f>
        <v>12</v>
      </c>
      <c r="G7" s="430" t="s">
        <v>101</v>
      </c>
      <c r="H7" s="430" t="s">
        <v>101</v>
      </c>
      <c r="I7" s="430" t="s">
        <v>101</v>
      </c>
      <c r="J7" s="430" t="s">
        <v>101</v>
      </c>
      <c r="K7" s="430" t="s">
        <v>101</v>
      </c>
      <c r="L7" s="430" t="s">
        <v>101</v>
      </c>
      <c r="M7" s="431" t="s">
        <v>101</v>
      </c>
    </row>
    <row r="8" spans="1:13" ht="22.2" thickTop="1" thickBot="1" x14ac:dyDescent="0.35">
      <c r="A8" s="142" t="str">
        <f>CONCATENATE("Bardic Music ",('Personal File'!$E$3+'Personal File'!$E$4),"x/day")</f>
        <v>Bardic Music 1x/day</v>
      </c>
      <c r="B8" s="397"/>
      <c r="C8" s="432" t="s">
        <v>70</v>
      </c>
      <c r="D8" s="50"/>
      <c r="E8" s="433" t="s">
        <v>69</v>
      </c>
      <c r="F8" s="434">
        <v>0</v>
      </c>
      <c r="G8" s="435" t="s">
        <v>101</v>
      </c>
      <c r="H8" s="435" t="s">
        <v>101</v>
      </c>
      <c r="I8" s="435" t="s">
        <v>101</v>
      </c>
      <c r="J8" s="435" t="s">
        <v>101</v>
      </c>
      <c r="K8" s="435" t="s">
        <v>101</v>
      </c>
      <c r="L8" s="435" t="s">
        <v>101</v>
      </c>
      <c r="M8" s="436" t="s">
        <v>101</v>
      </c>
    </row>
    <row r="9" spans="1:13" x14ac:dyDescent="0.3">
      <c r="A9" s="142" t="s">
        <v>114</v>
      </c>
      <c r="B9" s="397"/>
      <c r="C9" s="404" t="s">
        <v>197</v>
      </c>
      <c r="D9" s="50"/>
    </row>
    <row r="10" spans="1:13" ht="17.399999999999999" thickBot="1" x14ac:dyDescent="0.35">
      <c r="A10" s="142" t="s">
        <v>115</v>
      </c>
      <c r="B10" s="397"/>
      <c r="C10" s="407" t="s">
        <v>198</v>
      </c>
      <c r="D10" s="50"/>
      <c r="E10" s="17" t="s">
        <v>170</v>
      </c>
      <c r="F10" s="18">
        <f>SUM('Personal File'!E3:E4)</f>
        <v>1</v>
      </c>
    </row>
    <row r="11" spans="1:13" ht="18" thickTop="1" thickBot="1" x14ac:dyDescent="0.35">
      <c r="A11" s="142" t="s">
        <v>157</v>
      </c>
      <c r="B11" s="397"/>
      <c r="C11" s="397"/>
      <c r="D11" s="50"/>
    </row>
    <row r="12" spans="1:13" ht="22.2" thickTop="1" thickBot="1" x14ac:dyDescent="0.35">
      <c r="A12" s="440" t="s">
        <v>192</v>
      </c>
      <c r="B12" s="397"/>
      <c r="C12" s="408" t="s">
        <v>186</v>
      </c>
    </row>
    <row r="13" spans="1:13" ht="17.399999999999999" thickBot="1" x14ac:dyDescent="0.35">
      <c r="A13" s="439" t="s">
        <v>193</v>
      </c>
      <c r="B13" s="398"/>
      <c r="C13" s="407" t="s">
        <v>187</v>
      </c>
      <c r="D13" s="50" t="s">
        <v>202</v>
      </c>
    </row>
    <row r="14" spans="1:13" ht="18" thickTop="1" thickBot="1" x14ac:dyDescent="0.35">
      <c r="D14" s="50"/>
    </row>
    <row r="15" spans="1:13" ht="22.2" thickTop="1" thickBot="1" x14ac:dyDescent="0.35">
      <c r="A15" s="18" t="s">
        <v>228</v>
      </c>
      <c r="B15" s="437"/>
      <c r="C15" s="432" t="s">
        <v>188</v>
      </c>
      <c r="D15" s="50"/>
    </row>
    <row r="16" spans="1:13" x14ac:dyDescent="0.3">
      <c r="A16" s="401" t="s">
        <v>229</v>
      </c>
      <c r="C16" s="404" t="s">
        <v>189</v>
      </c>
      <c r="D16" s="50"/>
    </row>
    <row r="17" spans="2:4" ht="17.399999999999999" thickBot="1" x14ac:dyDescent="0.35">
      <c r="C17" s="407" t="s">
        <v>190</v>
      </c>
      <c r="D17" s="50"/>
    </row>
    <row r="18" spans="2:4" ht="17.399999999999999" thickTop="1" x14ac:dyDescent="0.3"/>
    <row r="22" spans="2:4" ht="21" x14ac:dyDescent="0.3">
      <c r="B22" s="438"/>
      <c r="C22" s="438"/>
    </row>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showGridLines="0" zoomScaleNormal="100" workbookViewId="0"/>
  </sheetViews>
  <sheetFormatPr defaultColWidth="13" defaultRowHeight="15.6" x14ac:dyDescent="0.3"/>
  <cols>
    <col min="1" max="1" width="23.3984375" style="144" bestFit="1" customWidth="1"/>
    <col min="2" max="2" width="8.5" style="144" bestFit="1" customWidth="1"/>
    <col min="3" max="3" width="4.296875" style="144" bestFit="1" customWidth="1"/>
    <col min="4" max="4" width="6.296875" style="144" bestFit="1" customWidth="1"/>
    <col min="5" max="6" width="8.5" style="144" bestFit="1" customWidth="1"/>
    <col min="7" max="7" width="4.3984375" style="144" bestFit="1" customWidth="1"/>
    <col min="8" max="8" width="4.69921875" style="144" bestFit="1" customWidth="1"/>
    <col min="9" max="9" width="5.69921875" style="144" bestFit="1" customWidth="1"/>
    <col min="10" max="10" width="6.296875" style="144" bestFit="1" customWidth="1"/>
    <col min="11" max="11" width="35.09765625" style="144" bestFit="1" customWidth="1"/>
    <col min="12" max="12" width="1.796875" style="14" customWidth="1"/>
    <col min="13" max="13" width="5.796875" style="14" bestFit="1" customWidth="1"/>
    <col min="14" max="16384" width="13" style="14"/>
  </cols>
  <sheetData>
    <row r="1" spans="1:13" ht="23.4" thickBot="1" x14ac:dyDescent="0.35">
      <c r="A1" s="143" t="s">
        <v>15</v>
      </c>
      <c r="B1" s="143"/>
      <c r="C1" s="143"/>
      <c r="D1" s="143"/>
      <c r="E1" s="143"/>
      <c r="F1" s="143"/>
      <c r="G1" s="143"/>
      <c r="H1" s="143"/>
      <c r="I1" s="143"/>
      <c r="J1" s="143"/>
      <c r="K1" s="143"/>
      <c r="M1" s="143"/>
    </row>
    <row r="2" spans="1:13" ht="16.8" thickTop="1" thickBot="1" x14ac:dyDescent="0.35">
      <c r="A2" s="145" t="s">
        <v>1</v>
      </c>
      <c r="B2" s="146" t="s">
        <v>2</v>
      </c>
      <c r="C2" s="146" t="s">
        <v>19</v>
      </c>
      <c r="D2" s="146" t="s">
        <v>20</v>
      </c>
      <c r="E2" s="147" t="s">
        <v>58</v>
      </c>
      <c r="F2" s="146" t="s">
        <v>16</v>
      </c>
      <c r="G2" s="146" t="s">
        <v>21</v>
      </c>
      <c r="H2" s="148" t="s">
        <v>88</v>
      </c>
      <c r="I2" s="149" t="s">
        <v>102</v>
      </c>
      <c r="J2" s="148" t="s">
        <v>78</v>
      </c>
      <c r="K2" s="150" t="s">
        <v>76</v>
      </c>
      <c r="M2" s="151" t="s">
        <v>107</v>
      </c>
    </row>
    <row r="3" spans="1:13" x14ac:dyDescent="0.3">
      <c r="A3" s="363" t="s">
        <v>208</v>
      </c>
      <c r="B3" s="3" t="s">
        <v>209</v>
      </c>
      <c r="C3" s="364" t="str">
        <f>'Personal File'!C10</f>
        <v>+1</v>
      </c>
      <c r="D3" s="365" t="s">
        <v>56</v>
      </c>
      <c r="E3" s="365" t="s">
        <v>221</v>
      </c>
      <c r="F3" s="461" t="s">
        <v>222</v>
      </c>
      <c r="G3" s="4">
        <v>2</v>
      </c>
      <c r="H3" s="366" t="str">
        <f>CONCATENATE("+",'Personal File'!$B$8+'Personal File'!$C$11+D3)</f>
        <v>+3</v>
      </c>
      <c r="I3" s="467">
        <f t="shared" ref="I3:I5" ca="1" si="0">RANDBETWEEN(1,20)</f>
        <v>20</v>
      </c>
      <c r="J3" s="472">
        <f t="shared" ref="J3:J4" ca="1" si="1">I3+H3</f>
        <v>23</v>
      </c>
      <c r="K3" s="469"/>
      <c r="M3" s="256">
        <v>20</v>
      </c>
    </row>
    <row r="4" spans="1:13" x14ac:dyDescent="0.3">
      <c r="A4" s="458" t="s">
        <v>210</v>
      </c>
      <c r="B4" s="459" t="s">
        <v>124</v>
      </c>
      <c r="C4" s="460" t="s">
        <v>223</v>
      </c>
      <c r="D4" s="365" t="s">
        <v>56</v>
      </c>
      <c r="E4" s="460" t="s">
        <v>99</v>
      </c>
      <c r="F4" s="461" t="s">
        <v>222</v>
      </c>
      <c r="G4" s="462">
        <v>2</v>
      </c>
      <c r="H4" s="367" t="str">
        <f>CONCATENATE("+",'Personal File'!$B$8+'Personal File'!$C$10+D4)</f>
        <v>+1</v>
      </c>
      <c r="I4" s="338">
        <f t="shared" ca="1" si="0"/>
        <v>18</v>
      </c>
      <c r="J4" s="473">
        <f t="shared" ca="1" si="1"/>
        <v>19</v>
      </c>
      <c r="K4" s="470"/>
      <c r="M4" s="463">
        <f>10+20</f>
        <v>30</v>
      </c>
    </row>
    <row r="5" spans="1:13" x14ac:dyDescent="0.3">
      <c r="A5" s="458" t="s">
        <v>234</v>
      </c>
      <c r="B5" s="459" t="s">
        <v>124</v>
      </c>
      <c r="C5" s="460">
        <v>0</v>
      </c>
      <c r="D5" s="365" t="s">
        <v>56</v>
      </c>
      <c r="E5" s="460" t="s">
        <v>235</v>
      </c>
      <c r="F5" s="461" t="s">
        <v>226</v>
      </c>
      <c r="G5" s="462">
        <v>2</v>
      </c>
      <c r="H5" s="367" t="str">
        <f>CONCATENATE("+",'Personal File'!$B$8+'Personal File'!$C$10+D5)</f>
        <v>+1</v>
      </c>
      <c r="I5" s="338">
        <f t="shared" ca="1" si="0"/>
        <v>17</v>
      </c>
      <c r="J5" s="473">
        <f t="shared" ref="J5" ca="1" si="2">I5+H5</f>
        <v>18</v>
      </c>
      <c r="K5" s="470"/>
      <c r="M5" s="318">
        <v>1</v>
      </c>
    </row>
    <row r="6" spans="1:13" ht="16.2" thickBot="1" x14ac:dyDescent="0.35">
      <c r="A6" s="224" t="s">
        <v>211</v>
      </c>
      <c r="B6" s="225" t="s">
        <v>121</v>
      </c>
      <c r="C6" s="368" t="str">
        <f>'Personal File'!$C$10</f>
        <v>+1</v>
      </c>
      <c r="D6" s="369" t="s">
        <v>56</v>
      </c>
      <c r="E6" s="369" t="s">
        <v>99</v>
      </c>
      <c r="F6" s="370" t="s">
        <v>100</v>
      </c>
      <c r="G6" s="172">
        <v>1</v>
      </c>
      <c r="H6" s="371" t="str">
        <f>CONCATENATE("+",'Personal File'!$B$8+'Personal File'!$C$10+D6)</f>
        <v>+1</v>
      </c>
      <c r="I6" s="468">
        <v>19</v>
      </c>
      <c r="J6" s="474">
        <v>19</v>
      </c>
      <c r="K6" s="471"/>
      <c r="M6" s="252">
        <v>4</v>
      </c>
    </row>
    <row r="7" spans="1:13" ht="16.8" thickTop="1" thickBot="1" x14ac:dyDescent="0.35">
      <c r="M7" s="217"/>
    </row>
    <row r="8" spans="1:13" ht="16.8" thickTop="1" thickBot="1" x14ac:dyDescent="0.35">
      <c r="A8" s="145" t="s">
        <v>4</v>
      </c>
      <c r="B8" s="146" t="s">
        <v>5</v>
      </c>
      <c r="C8" s="146" t="s">
        <v>19</v>
      </c>
      <c r="D8" s="146" t="s">
        <v>20</v>
      </c>
      <c r="E8" s="147" t="s">
        <v>58</v>
      </c>
      <c r="F8" s="146" t="s">
        <v>6</v>
      </c>
      <c r="G8" s="146" t="s">
        <v>21</v>
      </c>
      <c r="H8" s="148" t="s">
        <v>88</v>
      </c>
      <c r="I8" s="149" t="s">
        <v>102</v>
      </c>
      <c r="J8" s="148" t="s">
        <v>78</v>
      </c>
      <c r="K8" s="150" t="s">
        <v>76</v>
      </c>
      <c r="M8" s="253" t="s">
        <v>107</v>
      </c>
    </row>
    <row r="9" spans="1:13" x14ac:dyDescent="0.3">
      <c r="A9" s="269" t="s">
        <v>233</v>
      </c>
      <c r="B9" s="270" t="s">
        <v>113</v>
      </c>
      <c r="C9" s="270" t="str">
        <f>'Personal File'!C10</f>
        <v>+1</v>
      </c>
      <c r="D9" s="271" t="s">
        <v>56</v>
      </c>
      <c r="E9" s="270" t="s">
        <v>99</v>
      </c>
      <c r="F9" s="271" t="s">
        <v>168</v>
      </c>
      <c r="G9" s="272">
        <v>3</v>
      </c>
      <c r="H9" s="335" t="str">
        <f>CONCATENATE("+",'Personal File'!$B$8+'Personal File'!$C$11+D9)</f>
        <v>+3</v>
      </c>
      <c r="I9" s="336">
        <f t="shared" ref="I9:I10" ca="1" si="3">RANDBETWEEN(1,20)</f>
        <v>11</v>
      </c>
      <c r="J9" s="337">
        <f t="shared" ref="J9" ca="1" si="4">I9+H9</f>
        <v>14</v>
      </c>
      <c r="K9" s="348"/>
      <c r="M9" s="254">
        <v>200</v>
      </c>
    </row>
    <row r="10" spans="1:13" ht="16.2" thickBot="1" x14ac:dyDescent="0.35">
      <c r="A10" s="258" t="s">
        <v>110</v>
      </c>
      <c r="B10" s="259" t="s">
        <v>101</v>
      </c>
      <c r="C10" s="260" t="s">
        <v>101</v>
      </c>
      <c r="D10" s="260" t="s">
        <v>56</v>
      </c>
      <c r="E10" s="259" t="s">
        <v>101</v>
      </c>
      <c r="F10" s="260" t="s">
        <v>101</v>
      </c>
      <c r="G10" s="261" t="s">
        <v>101</v>
      </c>
      <c r="H10" s="339" t="str">
        <f>CONCATENATE("+",'Personal File'!$B$8+'Personal File'!$C$11+D10)</f>
        <v>+3</v>
      </c>
      <c r="I10" s="340">
        <f t="shared" ca="1" si="3"/>
        <v>16</v>
      </c>
      <c r="J10" s="339">
        <f t="shared" ref="J10" ca="1" si="5">I10+H10</f>
        <v>19</v>
      </c>
      <c r="K10" s="262"/>
      <c r="M10" s="257" t="s">
        <v>101</v>
      </c>
    </row>
    <row r="11" spans="1:13" ht="16.8" thickTop="1" thickBot="1" x14ac:dyDescent="0.35">
      <c r="D11" s="152"/>
      <c r="E11" s="152"/>
      <c r="G11" s="153"/>
      <c r="H11" s="153"/>
      <c r="I11" s="153"/>
      <c r="J11" s="153"/>
      <c r="M11" s="217"/>
    </row>
    <row r="12" spans="1:13" ht="16.8" thickTop="1" thickBot="1" x14ac:dyDescent="0.35">
      <c r="A12" s="145" t="s">
        <v>63</v>
      </c>
      <c r="B12" s="146" t="s">
        <v>9</v>
      </c>
      <c r="C12" s="146" t="s">
        <v>28</v>
      </c>
      <c r="D12" s="146" t="s">
        <v>78</v>
      </c>
      <c r="E12" s="146" t="s">
        <v>79</v>
      </c>
      <c r="F12" s="146" t="s">
        <v>80</v>
      </c>
      <c r="G12" s="146" t="s">
        <v>21</v>
      </c>
      <c r="H12" s="154" t="s">
        <v>76</v>
      </c>
      <c r="I12" s="155"/>
      <c r="J12" s="155"/>
      <c r="K12" s="156"/>
      <c r="M12" s="253" t="s">
        <v>107</v>
      </c>
    </row>
    <row r="13" spans="1:13" x14ac:dyDescent="0.3">
      <c r="A13" s="280" t="s">
        <v>205</v>
      </c>
      <c r="B13" s="3">
        <v>3</v>
      </c>
      <c r="C13" s="157">
        <v>5</v>
      </c>
      <c r="D13" s="3">
        <v>0</v>
      </c>
      <c r="E13" s="503">
        <v>0.15</v>
      </c>
      <c r="F13" s="276" t="s">
        <v>104</v>
      </c>
      <c r="G13" s="4">
        <v>20</v>
      </c>
      <c r="H13" s="158"/>
      <c r="I13" s="159"/>
      <c r="J13" s="159"/>
      <c r="K13" s="457"/>
      <c r="L13" s="140"/>
      <c r="M13" s="256">
        <v>175</v>
      </c>
    </row>
    <row r="14" spans="1:13" ht="16.2" thickBot="1" x14ac:dyDescent="0.35">
      <c r="A14" s="224" t="s">
        <v>206</v>
      </c>
      <c r="B14" s="225">
        <v>1</v>
      </c>
      <c r="C14" s="226" t="s">
        <v>101</v>
      </c>
      <c r="D14" s="225">
        <v>0</v>
      </c>
      <c r="E14" s="227" t="s">
        <v>101</v>
      </c>
      <c r="F14" s="225" t="s">
        <v>101</v>
      </c>
      <c r="G14" s="172">
        <v>5</v>
      </c>
      <c r="H14" s="500" t="s">
        <v>232</v>
      </c>
      <c r="I14" s="501"/>
      <c r="J14" s="501"/>
      <c r="K14" s="502"/>
      <c r="L14" s="140"/>
      <c r="M14" s="252">
        <v>166</v>
      </c>
    </row>
    <row r="15" spans="1:13" ht="16.8" thickTop="1" thickBot="1" x14ac:dyDescent="0.35">
      <c r="M15" s="217"/>
    </row>
    <row r="16" spans="1:13" ht="16.8" thickTop="1" thickBot="1" x14ac:dyDescent="0.35">
      <c r="D16" s="160" t="s">
        <v>64</v>
      </c>
      <c r="E16" s="161"/>
      <c r="F16" s="154" t="s">
        <v>3</v>
      </c>
      <c r="G16" s="146" t="s">
        <v>21</v>
      </c>
      <c r="H16" s="148" t="s">
        <v>88</v>
      </c>
      <c r="I16" s="154" t="s">
        <v>76</v>
      </c>
      <c r="J16" s="155"/>
      <c r="K16" s="156"/>
      <c r="M16" s="253" t="s">
        <v>107</v>
      </c>
    </row>
    <row r="17" spans="1:13" x14ac:dyDescent="0.3">
      <c r="D17" s="162" t="s">
        <v>207</v>
      </c>
      <c r="E17" s="163"/>
      <c r="F17" s="164">
        <v>20</v>
      </c>
      <c r="G17" s="4">
        <f t="shared" ref="G17:G18" si="6">F17*3/20</f>
        <v>3</v>
      </c>
      <c r="H17" s="165" t="s">
        <v>56</v>
      </c>
      <c r="I17" s="166"/>
      <c r="J17" s="167"/>
      <c r="K17" s="168"/>
      <c r="M17" s="256">
        <f t="shared" ref="M17" si="7">F17/10</f>
        <v>2</v>
      </c>
    </row>
    <row r="18" spans="1:13" x14ac:dyDescent="0.3">
      <c r="D18" s="341"/>
      <c r="E18" s="342"/>
      <c r="F18" s="343"/>
      <c r="G18" s="317">
        <f t="shared" si="6"/>
        <v>0</v>
      </c>
      <c r="H18" s="344" t="s">
        <v>56</v>
      </c>
      <c r="I18" s="345"/>
      <c r="J18" s="346"/>
      <c r="K18" s="347"/>
      <c r="M18" s="318">
        <f>F18/10+(2*F18)</f>
        <v>0</v>
      </c>
    </row>
    <row r="19" spans="1:13" ht="16.2" thickBot="1" x14ac:dyDescent="0.35">
      <c r="D19" s="169"/>
      <c r="E19" s="170"/>
      <c r="F19" s="171"/>
      <c r="G19" s="172">
        <f t="shared" ref="G19" si="8">F19*3/20</f>
        <v>0</v>
      </c>
      <c r="H19" s="173" t="s">
        <v>56</v>
      </c>
      <c r="I19" s="174"/>
      <c r="J19" s="175"/>
      <c r="K19" s="176"/>
      <c r="M19" s="252">
        <f>F19/5</f>
        <v>0</v>
      </c>
    </row>
    <row r="20" spans="1:13" ht="16.8" thickTop="1" thickBot="1" x14ac:dyDescent="0.35">
      <c r="M20" s="217"/>
    </row>
    <row r="21" spans="1:13" ht="16.8" thickTop="1" thickBot="1" x14ac:dyDescent="0.35">
      <c r="D21" s="160" t="s">
        <v>108</v>
      </c>
      <c r="E21" s="155"/>
      <c r="F21" s="155"/>
      <c r="G21" s="155"/>
      <c r="H21" s="178" t="s">
        <v>3</v>
      </c>
      <c r="I21" s="178" t="s">
        <v>0</v>
      </c>
      <c r="J21" s="178" t="s">
        <v>109</v>
      </c>
      <c r="K21" s="156" t="s">
        <v>76</v>
      </c>
      <c r="L21" s="140"/>
      <c r="M21" s="253" t="s">
        <v>107</v>
      </c>
    </row>
    <row r="22" spans="1:13" x14ac:dyDescent="0.3">
      <c r="D22" s="209"/>
      <c r="E22" s="210"/>
      <c r="F22" s="210"/>
      <c r="G22" s="211"/>
      <c r="H22" s="212"/>
      <c r="I22" s="212"/>
      <c r="J22" s="212"/>
      <c r="K22" s="213"/>
      <c r="L22" s="140"/>
      <c r="M22" s="255"/>
    </row>
    <row r="23" spans="1:13" x14ac:dyDescent="0.3">
      <c r="D23" s="209"/>
      <c r="E23" s="210"/>
      <c r="F23" s="210"/>
      <c r="G23" s="211"/>
      <c r="H23" s="212"/>
      <c r="I23" s="212"/>
      <c r="J23" s="212"/>
      <c r="K23" s="213"/>
      <c r="L23" s="140"/>
      <c r="M23" s="255"/>
    </row>
    <row r="24" spans="1:13" ht="16.2" thickBot="1" x14ac:dyDescent="0.35">
      <c r="D24" s="180"/>
      <c r="E24" s="214"/>
      <c r="F24" s="214"/>
      <c r="G24" s="215"/>
      <c r="H24" s="216"/>
      <c r="I24" s="216"/>
      <c r="J24" s="216"/>
      <c r="K24" s="181"/>
      <c r="L24" s="140"/>
      <c r="M24" s="252"/>
    </row>
    <row r="25" spans="1:13" ht="18.600000000000001" thickTop="1" x14ac:dyDescent="0.3">
      <c r="A25" s="177"/>
      <c r="B25" s="179"/>
    </row>
    <row r="26" spans="1:13" ht="18" x14ac:dyDescent="0.3">
      <c r="A26" s="177"/>
      <c r="B26" s="179"/>
    </row>
    <row r="27" spans="1:13" ht="18" x14ac:dyDescent="0.3">
      <c r="A27" s="177"/>
      <c r="B27" s="179"/>
    </row>
    <row r="28" spans="1:13" ht="18" x14ac:dyDescent="0.3">
      <c r="A28" s="177"/>
      <c r="B28" s="179"/>
    </row>
    <row r="29" spans="1:13" ht="18" x14ac:dyDescent="0.3">
      <c r="A29" s="177"/>
      <c r="B29" s="179"/>
    </row>
    <row r="30" spans="1:13" ht="18" x14ac:dyDescent="0.3">
      <c r="A30" s="177"/>
      <c r="B30" s="179"/>
    </row>
    <row r="31" spans="1:13" ht="18" x14ac:dyDescent="0.3">
      <c r="A31" s="177"/>
      <c r="B31" s="179"/>
    </row>
  </sheetData>
  <sortState xmlns:xlrd2="http://schemas.microsoft.com/office/spreadsheetml/2017/richdata2" ref="D21:M23">
    <sortCondition ref="D21:D23"/>
  </sortState>
  <phoneticPr fontId="0" type="noConversion"/>
  <conditionalFormatting sqref="B14">
    <cfRule type="cellIs" dxfId="8" priority="26" operator="equal">
      <formula>2</formula>
    </cfRule>
  </conditionalFormatting>
  <conditionalFormatting sqref="I3">
    <cfRule type="cellIs" dxfId="7" priority="22" operator="greaterThan">
      <formula>18</formula>
    </cfRule>
  </conditionalFormatting>
  <conditionalFormatting sqref="I3:I6">
    <cfRule type="cellIs" dxfId="6" priority="6" operator="equal">
      <formula>1</formula>
    </cfRule>
  </conditionalFormatting>
  <conditionalFormatting sqref="I4:I5">
    <cfRule type="cellIs" dxfId="5" priority="5" operator="greaterThan">
      <formula>19</formula>
    </cfRule>
  </conditionalFormatting>
  <conditionalFormatting sqref="I6">
    <cfRule type="cellIs" dxfId="4" priority="13" operator="greaterThan">
      <formula>18</formula>
    </cfRule>
  </conditionalFormatting>
  <conditionalFormatting sqref="I9:I10">
    <cfRule type="cellIs" dxfId="3" priority="9" operator="greaterThan">
      <formula>19</formula>
    </cfRule>
    <cfRule type="cellIs" dxfId="2"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showGridLines="0" zoomScale="115" zoomScaleNormal="115" workbookViewId="0"/>
  </sheetViews>
  <sheetFormatPr defaultColWidth="13" defaultRowHeight="15.6" x14ac:dyDescent="0.3"/>
  <cols>
    <col min="1" max="1" width="27.3984375" style="144" bestFit="1" customWidth="1"/>
    <col min="2" max="2" width="4.69921875" style="144" bestFit="1" customWidth="1"/>
    <col min="3" max="3" width="4.3984375" style="153" bestFit="1" customWidth="1"/>
    <col min="4" max="5" width="28" style="14" customWidth="1"/>
    <col min="6" max="6" width="2.8984375" style="144" customWidth="1"/>
    <col min="7" max="7" width="8.296875" style="217" bestFit="1" customWidth="1"/>
    <col min="8" max="16384" width="13" style="14"/>
  </cols>
  <sheetData>
    <row r="1" spans="1:8" ht="23.4" thickBot="1" x14ac:dyDescent="0.35">
      <c r="A1" s="143" t="s">
        <v>73</v>
      </c>
      <c r="B1" s="143"/>
      <c r="C1" s="182"/>
      <c r="D1" s="143"/>
      <c r="E1" s="143"/>
    </row>
    <row r="2" spans="1:8" s="144" customFormat="1" ht="16.8" thickTop="1" thickBot="1" x14ac:dyDescent="0.35">
      <c r="A2" s="183" t="s">
        <v>74</v>
      </c>
      <c r="B2" s="183" t="s">
        <v>3</v>
      </c>
      <c r="C2" s="184" t="s">
        <v>21</v>
      </c>
      <c r="D2" s="185" t="s">
        <v>75</v>
      </c>
      <c r="E2" s="186" t="s">
        <v>76</v>
      </c>
      <c r="G2" s="218" t="s">
        <v>107</v>
      </c>
    </row>
    <row r="3" spans="1:8" x14ac:dyDescent="0.3">
      <c r="A3" s="491" t="s">
        <v>214</v>
      </c>
      <c r="B3" s="190">
        <v>2</v>
      </c>
      <c r="C3" s="191">
        <f>0.1*B3</f>
        <v>0.2</v>
      </c>
      <c r="D3" s="192"/>
      <c r="E3" s="193"/>
      <c r="G3" s="222">
        <f>2*B3</f>
        <v>4</v>
      </c>
      <c r="H3" s="140"/>
    </row>
    <row r="4" spans="1:8" x14ac:dyDescent="0.3">
      <c r="A4" s="492" t="s">
        <v>213</v>
      </c>
      <c r="B4" s="195">
        <v>1</v>
      </c>
      <c r="C4" s="191">
        <v>2</v>
      </c>
      <c r="D4" s="192"/>
      <c r="E4" s="193"/>
      <c r="G4" s="307">
        <v>5</v>
      </c>
      <c r="H4" s="140"/>
    </row>
    <row r="5" spans="1:8" x14ac:dyDescent="0.3">
      <c r="A5" s="241" t="s">
        <v>212</v>
      </c>
      <c r="B5" s="190">
        <v>1</v>
      </c>
      <c r="C5" s="238">
        <v>0</v>
      </c>
      <c r="D5" s="239"/>
      <c r="E5" s="240"/>
      <c r="G5" s="307">
        <v>1</v>
      </c>
      <c r="H5" s="140"/>
    </row>
    <row r="6" spans="1:8" x14ac:dyDescent="0.3">
      <c r="A6" s="312" t="s">
        <v>106</v>
      </c>
      <c r="B6" s="464">
        <v>1</v>
      </c>
      <c r="C6" s="465" t="s">
        <v>101</v>
      </c>
      <c r="D6" s="239"/>
      <c r="E6" s="240"/>
      <c r="G6" s="315">
        <v>1</v>
      </c>
      <c r="H6" s="140"/>
    </row>
    <row r="7" spans="1:8" ht="16.2" thickBot="1" x14ac:dyDescent="0.35">
      <c r="A7" s="493" t="s">
        <v>225</v>
      </c>
      <c r="B7" s="494">
        <v>1</v>
      </c>
      <c r="C7" s="485" t="s">
        <v>101</v>
      </c>
      <c r="D7" s="496"/>
      <c r="E7" s="497"/>
      <c r="G7" s="495">
        <v>-12</v>
      </c>
    </row>
    <row r="8" spans="1:8" ht="24" thickTop="1" thickBot="1" x14ac:dyDescent="0.35">
      <c r="A8" s="143" t="s">
        <v>77</v>
      </c>
      <c r="B8" s="143"/>
      <c r="C8" s="200"/>
      <c r="D8" s="143"/>
      <c r="E8" s="201"/>
      <c r="G8" s="220"/>
    </row>
    <row r="9" spans="1:8" ht="16.8" thickTop="1" thickBot="1" x14ac:dyDescent="0.35">
      <c r="A9" s="183" t="s">
        <v>74</v>
      </c>
      <c r="B9" s="183" t="s">
        <v>3</v>
      </c>
      <c r="C9" s="184" t="s">
        <v>21</v>
      </c>
      <c r="D9" s="185" t="s">
        <v>75</v>
      </c>
      <c r="E9" s="186" t="s">
        <v>76</v>
      </c>
      <c r="G9" s="218" t="s">
        <v>107</v>
      </c>
    </row>
    <row r="10" spans="1:8" x14ac:dyDescent="0.3">
      <c r="A10" s="475" t="s">
        <v>217</v>
      </c>
      <c r="B10" s="464">
        <v>1</v>
      </c>
      <c r="C10" s="238">
        <v>1</v>
      </c>
      <c r="D10" s="239"/>
      <c r="E10" s="240"/>
      <c r="F10" s="188"/>
      <c r="G10" s="315">
        <v>1</v>
      </c>
      <c r="H10" s="140"/>
    </row>
    <row r="11" spans="1:8" x14ac:dyDescent="0.3">
      <c r="A11" s="476" t="s">
        <v>219</v>
      </c>
      <c r="B11" s="464">
        <v>1</v>
      </c>
      <c r="C11" s="238">
        <v>0.5</v>
      </c>
      <c r="D11" s="466"/>
      <c r="E11" s="240"/>
      <c r="F11" s="188"/>
      <c r="G11" s="316">
        <v>0.05</v>
      </c>
      <c r="H11" s="140"/>
    </row>
    <row r="12" spans="1:8" x14ac:dyDescent="0.3">
      <c r="A12" s="498" t="s">
        <v>220</v>
      </c>
      <c r="B12" s="313">
        <v>2</v>
      </c>
      <c r="C12" s="274">
        <v>0</v>
      </c>
      <c r="D12" s="314"/>
      <c r="E12" s="275"/>
      <c r="F12"/>
      <c r="G12" s="315">
        <v>8</v>
      </c>
      <c r="H12" s="140"/>
    </row>
    <row r="13" spans="1:8" x14ac:dyDescent="0.3">
      <c r="A13" s="499" t="s">
        <v>165</v>
      </c>
      <c r="B13" s="305">
        <v>0</v>
      </c>
      <c r="C13" s="279">
        <f>B13/100</f>
        <v>0</v>
      </c>
      <c r="D13" s="306"/>
      <c r="E13" s="275"/>
      <c r="F13"/>
      <c r="G13" s="316">
        <f>0.02*B13</f>
        <v>0</v>
      </c>
      <c r="H13" s="140"/>
    </row>
    <row r="14" spans="1:8" x14ac:dyDescent="0.3">
      <c r="A14" s="477" t="s">
        <v>218</v>
      </c>
      <c r="B14" s="313">
        <v>2</v>
      </c>
      <c r="C14" s="274">
        <v>0</v>
      </c>
      <c r="D14" s="314" t="s">
        <v>224</v>
      </c>
      <c r="E14" s="275"/>
      <c r="F14"/>
      <c r="G14" s="316">
        <v>0.01</v>
      </c>
      <c r="H14" s="140"/>
    </row>
    <row r="15" spans="1:8" x14ac:dyDescent="0.3">
      <c r="A15" s="477" t="s">
        <v>112</v>
      </c>
      <c r="B15" s="313">
        <v>2</v>
      </c>
      <c r="C15" s="274">
        <v>0</v>
      </c>
      <c r="D15" s="314" t="s">
        <v>224</v>
      </c>
      <c r="E15" s="275"/>
      <c r="F15"/>
      <c r="G15" s="307">
        <f>B15</f>
        <v>2</v>
      </c>
      <c r="H15" s="140"/>
    </row>
    <row r="16" spans="1:8" x14ac:dyDescent="0.3">
      <c r="A16" s="477" t="s">
        <v>163</v>
      </c>
      <c r="B16" s="313">
        <v>10</v>
      </c>
      <c r="C16" s="274">
        <v>0</v>
      </c>
      <c r="D16" s="314" t="s">
        <v>224</v>
      </c>
      <c r="E16" s="275"/>
      <c r="F16"/>
      <c r="G16" s="316">
        <v>0.8</v>
      </c>
      <c r="H16" s="140"/>
    </row>
    <row r="17" spans="1:8" x14ac:dyDescent="0.3">
      <c r="A17" s="477" t="s">
        <v>162</v>
      </c>
      <c r="B17" s="313">
        <v>1</v>
      </c>
      <c r="C17" s="274">
        <v>0</v>
      </c>
      <c r="D17" s="314" t="s">
        <v>224</v>
      </c>
      <c r="E17" s="282"/>
      <c r="F17"/>
      <c r="G17" s="307">
        <f>B17</f>
        <v>1</v>
      </c>
      <c r="H17" s="140"/>
    </row>
    <row r="18" spans="1:8" ht="16.2" thickBot="1" x14ac:dyDescent="0.35">
      <c r="A18" s="478" t="s">
        <v>215</v>
      </c>
      <c r="B18" s="196">
        <v>1</v>
      </c>
      <c r="C18" s="197">
        <v>4</v>
      </c>
      <c r="D18" s="205" t="s">
        <v>227</v>
      </c>
      <c r="E18" s="199"/>
      <c r="G18" s="219" t="s">
        <v>216</v>
      </c>
    </row>
    <row r="19" spans="1:8" ht="22.8" thickTop="1" thickBot="1" x14ac:dyDescent="0.35">
      <c r="A19" s="301"/>
      <c r="B19" s="302" t="s">
        <v>161</v>
      </c>
      <c r="C19" s="302"/>
      <c r="D19" s="302"/>
      <c r="E19" s="303"/>
      <c r="F19" s="188"/>
      <c r="G19" s="188" t="s">
        <v>203</v>
      </c>
    </row>
    <row r="20" spans="1:8" ht="16.8" thickTop="1" thickBot="1" x14ac:dyDescent="0.35">
      <c r="A20" s="183" t="s">
        <v>74</v>
      </c>
      <c r="B20" s="183" t="s">
        <v>3</v>
      </c>
      <c r="C20" s="184" t="s">
        <v>21</v>
      </c>
      <c r="D20" s="185" t="s">
        <v>75</v>
      </c>
      <c r="E20" s="186" t="s">
        <v>76</v>
      </c>
      <c r="F20" s="188"/>
      <c r="G20" s="304" t="s">
        <v>107</v>
      </c>
    </row>
    <row r="21" spans="1:8" x14ac:dyDescent="0.3">
      <c r="A21" s="479"/>
      <c r="B21" s="480"/>
      <c r="C21" s="465"/>
      <c r="D21" s="481"/>
      <c r="E21" s="482"/>
      <c r="F21"/>
      <c r="G21" s="488"/>
    </row>
    <row r="22" spans="1:8" x14ac:dyDescent="0.3">
      <c r="A22" s="479"/>
      <c r="B22" s="480"/>
      <c r="C22" s="465"/>
      <c r="D22" s="481"/>
      <c r="E22" s="482"/>
      <c r="F22"/>
      <c r="G22" s="489"/>
    </row>
    <row r="23" spans="1:8" x14ac:dyDescent="0.3">
      <c r="A23" s="479"/>
      <c r="B23" s="480"/>
      <c r="C23" s="465"/>
      <c r="D23" s="481"/>
      <c r="E23" s="482"/>
      <c r="F23"/>
      <c r="G23" s="489"/>
    </row>
    <row r="24" spans="1:8" ht="16.2" thickBot="1" x14ac:dyDescent="0.35">
      <c r="A24" s="483"/>
      <c r="B24" s="484"/>
      <c r="C24" s="485"/>
      <c r="D24" s="486"/>
      <c r="E24" s="487"/>
      <c r="F24" s="188"/>
      <c r="G24" s="490"/>
    </row>
    <row r="25" spans="1:8" ht="24" thickTop="1" thickBot="1" x14ac:dyDescent="0.45">
      <c r="A25" s="55" t="s">
        <v>160</v>
      </c>
      <c r="B25" s="308">
        <f>C25/500</f>
        <v>0</v>
      </c>
      <c r="C25" s="309">
        <f>SUM(C21:C24)</f>
        <v>0</v>
      </c>
      <c r="D25" s="310" t="s">
        <v>159</v>
      </c>
      <c r="E25" s="143"/>
      <c r="G25" s="311"/>
    </row>
    <row r="26" spans="1:8" s="144" customFormat="1" ht="16.8" thickTop="1" thickBot="1" x14ac:dyDescent="0.35">
      <c r="A26" s="183" t="s">
        <v>74</v>
      </c>
      <c r="B26" s="183" t="s">
        <v>3</v>
      </c>
      <c r="C26" s="184" t="s">
        <v>21</v>
      </c>
      <c r="D26" s="183" t="s">
        <v>128</v>
      </c>
      <c r="E26" s="186" t="s">
        <v>76</v>
      </c>
      <c r="G26" s="218" t="s">
        <v>107</v>
      </c>
    </row>
    <row r="27" spans="1:8" x14ac:dyDescent="0.3">
      <c r="A27" s="202"/>
      <c r="B27" s="203"/>
      <c r="C27" s="187"/>
      <c r="D27" s="281"/>
      <c r="E27" s="282"/>
      <c r="G27" s="222"/>
    </row>
    <row r="28" spans="1:8" x14ac:dyDescent="0.3">
      <c r="A28" s="189"/>
      <c r="B28" s="190"/>
      <c r="C28" s="191"/>
      <c r="D28" s="208"/>
      <c r="E28" s="193"/>
      <c r="G28" s="221"/>
    </row>
    <row r="29" spans="1:8" x14ac:dyDescent="0.3">
      <c r="A29" s="194"/>
      <c r="B29" s="195"/>
      <c r="C29" s="191"/>
      <c r="D29" s="192"/>
      <c r="E29" s="193"/>
      <c r="G29" s="221"/>
    </row>
    <row r="30" spans="1:8" ht="16.2" thickBot="1" x14ac:dyDescent="0.35">
      <c r="A30" s="206"/>
      <c r="B30" s="207"/>
      <c r="C30" s="204"/>
      <c r="D30" s="198"/>
      <c r="E30" s="199"/>
      <c r="G30" s="223"/>
    </row>
    <row r="31" spans="1:8" ht="16.2" thickTop="1" x14ac:dyDescent="0.3"/>
    <row r="32" spans="1:8" x14ac:dyDescent="0.3">
      <c r="E32" s="55" t="s">
        <v>123</v>
      </c>
      <c r="F32" s="140"/>
      <c r="G32" s="247">
        <f>SUM(Martial!M3:M24,Equipment!G3:G30)</f>
        <v>609.8599999999999</v>
      </c>
    </row>
    <row r="33" spans="5:7" x14ac:dyDescent="0.3">
      <c r="E33" s="55" t="s">
        <v>171</v>
      </c>
      <c r="F33" s="188"/>
      <c r="G33" s="247">
        <v>650</v>
      </c>
    </row>
  </sheetData>
  <sortState xmlns:xlrd2="http://schemas.microsoft.com/office/spreadsheetml/2017/richdata2" ref="A5:G12">
    <sortCondition ref="A5:A12"/>
  </sortState>
  <phoneticPr fontId="0" type="noConversion"/>
  <conditionalFormatting sqref="B25">
    <cfRule type="cellIs" dxfId="1" priority="1" operator="greaterThan">
      <formula>0.99</formula>
    </cfRule>
  </conditionalFormatting>
  <conditionalFormatting sqref="G32">
    <cfRule type="cellIs" dxfId="0" priority="2" operator="lessThan">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Werehunters PC file</dc:title>
  <dc:creator>© Alexis A. Álvarez 2007</dc:creator>
  <cp:lastModifiedBy>Alexis Álvarez</cp:lastModifiedBy>
  <cp:lastPrinted>2020-07-26T21:33:55Z</cp:lastPrinted>
  <dcterms:created xsi:type="dcterms:W3CDTF">2000-10-24T15:39:59Z</dcterms:created>
  <dcterms:modified xsi:type="dcterms:W3CDTF">2024-06-18T12:02:13Z</dcterms:modified>
  <cp:category>D&amp;D 3.5</cp:category>
</cp:coreProperties>
</file>