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A\Juegos\FMN\PCs\"/>
    </mc:Choice>
  </mc:AlternateContent>
  <xr:revisionPtr revIDLastSave="0" documentId="13_ncr:1_{5E8527DD-097A-4FBB-A329-B07BF9450757}" xr6:coauthVersionLast="47" xr6:coauthVersionMax="47" xr10:uidLastSave="{00000000-0000-0000-0000-000000000000}"/>
  <bookViews>
    <workbookView xWindow="-108" yWindow="-108" windowWidth="23256" windowHeight="13176" tabRatio="407" xr2:uid="{00000000-000D-0000-FFFF-FFFF00000000}"/>
  </bookViews>
  <sheets>
    <sheet name="Personal File" sheetId="4" r:id="rId1"/>
    <sheet name="Skills" sheetId="15" r:id="rId2"/>
    <sheet name="Spells" sheetId="18" r:id="rId3"/>
    <sheet name="Feats" sheetId="20" r:id="rId4"/>
    <sheet name="Martial" sheetId="6" r:id="rId5"/>
    <sheet name="Equipment" sheetId="19" r:id="rId6"/>
  </sheets>
  <externalReferences>
    <externalReference r:id="rId7"/>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File'!$A$1:$H$97</definedName>
    <definedName name="_xlnm.Print_Area" localSheetId="1">Skills!$A$1:$K$29</definedName>
    <definedName name="_xlnm.Print_Area" localSheetId="2">Spells!$A$1:$I$3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0" l="1"/>
  <c r="A3" i="20"/>
  <c r="M22" i="6"/>
  <c r="C3" i="6" l="1"/>
  <c r="C4" i="6"/>
  <c r="C5" i="6"/>
  <c r="C6" i="6"/>
  <c r="H3" i="6"/>
  <c r="F11" i="20" l="1"/>
  <c r="E5" i="4" l="1"/>
  <c r="F10" i="20" l="1"/>
  <c r="E47" i="15"/>
  <c r="B8" i="4"/>
  <c r="B4" i="15"/>
  <c r="B5" i="15"/>
  <c r="B3" i="15"/>
  <c r="B45" i="15" l="1"/>
  <c r="F25" i="15"/>
  <c r="F33" i="15"/>
  <c r="F13" i="15"/>
  <c r="I5" i="6"/>
  <c r="H5" i="6"/>
  <c r="C14" i="19"/>
  <c r="J5" i="6" l="1"/>
  <c r="G16" i="19"/>
  <c r="G18" i="19"/>
  <c r="G14" i="19"/>
  <c r="C3" i="19"/>
  <c r="G3" i="19"/>
  <c r="I4" i="6"/>
  <c r="H4" i="6"/>
  <c r="F39" i="15"/>
  <c r="C9" i="6"/>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J4" i="6" l="1"/>
  <c r="F6" i="20"/>
  <c r="M18" i="6" l="1"/>
  <c r="G17" i="6"/>
  <c r="G18" i="6"/>
  <c r="G19" i="6" l="1"/>
  <c r="M19" i="6"/>
  <c r="M17" i="6"/>
  <c r="C26" i="19" l="1"/>
  <c r="B26" i="19" s="1"/>
  <c r="I10" i="6" l="1"/>
  <c r="H8" i="15" l="1"/>
  <c r="H3" i="15" l="1"/>
  <c r="H4" i="15"/>
  <c r="H5" i="15"/>
  <c r="I9" i="6" l="1"/>
  <c r="I3" i="6" l="1"/>
  <c r="C14" i="4" l="1"/>
  <c r="D5" i="15" s="1"/>
  <c r="C15" i="4"/>
  <c r="D30" i="15" l="1"/>
  <c r="E5" i="15"/>
  <c r="G5" i="15"/>
  <c r="I5" i="15" s="1"/>
  <c r="E30" i="15" l="1"/>
  <c r="G30" i="15"/>
  <c r="I30" i="15" s="1"/>
  <c r="G33" i="19"/>
  <c r="F7" i="20" l="1"/>
  <c r="F7" i="15" l="1"/>
  <c r="F9" i="15"/>
  <c r="F16" i="15"/>
  <c r="F21" i="15"/>
  <c r="F23" i="15"/>
  <c r="F28" i="15"/>
  <c r="E11" i="4" l="1"/>
  <c r="C13" i="4" l="1"/>
  <c r="C12" i="4"/>
  <c r="C11" i="4"/>
  <c r="E13" i="4" s="1"/>
  <c r="C10" i="4"/>
  <c r="D26" i="15" l="1"/>
  <c r="D25" i="15"/>
  <c r="D3" i="15"/>
  <c r="E3" i="15" s="1"/>
  <c r="E12" i="4"/>
  <c r="H9" i="6"/>
  <c r="A7" i="20"/>
  <c r="D37" i="15"/>
  <c r="H6" i="6"/>
  <c r="B9" i="4"/>
  <c r="H10" i="6"/>
  <c r="J10" i="6" s="1"/>
  <c r="D4" i="15"/>
  <c r="E15" i="4"/>
  <c r="E14" i="4" s="1"/>
  <c r="E46" i="15"/>
  <c r="H44" i="15"/>
  <c r="H6" i="15"/>
  <c r="G3" i="15" l="1"/>
  <c r="I3" i="15" s="1"/>
  <c r="G25" i="15"/>
  <c r="I25" i="15" s="1"/>
  <c r="E25" i="15"/>
  <c r="G26" i="15"/>
  <c r="I26" i="15" s="1"/>
  <c r="E26" i="15"/>
  <c r="E45" i="15"/>
  <c r="G37" i="15"/>
  <c r="I37" i="15" s="1"/>
  <c r="E37" i="15"/>
  <c r="E4" i="15"/>
  <c r="G4" i="15"/>
  <c r="I4" i="15" s="1"/>
  <c r="J9" i="6"/>
  <c r="J3" i="6"/>
  <c r="D24" i="15" l="1"/>
  <c r="E24" i="15" l="1"/>
  <c r="G24" i="15"/>
  <c r="I24" i="15" l="1"/>
  <c r="D31" i="15"/>
  <c r="E31" i="15" l="1"/>
  <c r="G31" i="15"/>
  <c r="D38" i="15"/>
  <c r="D19" i="15"/>
  <c r="D40" i="15"/>
  <c r="D36" i="15"/>
  <c r="D42" i="15"/>
  <c r="D39" i="15"/>
  <c r="D41" i="15"/>
  <c r="D33" i="15"/>
  <c r="D43" i="15"/>
  <c r="D29" i="15"/>
  <c r="D35" i="15"/>
  <c r="D14" i="15"/>
  <c r="D12" i="15"/>
  <c r="D44" i="15"/>
  <c r="D34" i="15"/>
  <c r="D32" i="15"/>
  <c r="D28" i="15"/>
  <c r="D27" i="15"/>
  <c r="D23" i="15"/>
  <c r="D22" i="15"/>
  <c r="D21" i="15"/>
  <c r="D20" i="15"/>
  <c r="D18" i="15"/>
  <c r="D17" i="15"/>
  <c r="D16" i="15"/>
  <c r="D15" i="15"/>
  <c r="D13" i="15"/>
  <c r="D11" i="15"/>
  <c r="D10" i="15"/>
  <c r="D9" i="15"/>
  <c r="D8" i="15"/>
  <c r="D7" i="15"/>
  <c r="D6" i="15"/>
  <c r="E7" i="15" l="1"/>
  <c r="G7" i="15"/>
  <c r="E11" i="15"/>
  <c r="G11" i="15"/>
  <c r="I11" i="15" s="1"/>
  <c r="E17" i="15"/>
  <c r="G17" i="15"/>
  <c r="E22" i="15"/>
  <c r="G22" i="15"/>
  <c r="E27" i="15"/>
  <c r="G27" i="15"/>
  <c r="I31" i="15"/>
  <c r="E34" i="15"/>
  <c r="G34" i="15"/>
  <c r="I34" i="15" s="1"/>
  <c r="E12" i="15"/>
  <c r="G12" i="15"/>
  <c r="E35" i="15"/>
  <c r="G35" i="15"/>
  <c r="E43" i="15"/>
  <c r="G43" i="15"/>
  <c r="E41" i="15"/>
  <c r="G41" i="15"/>
  <c r="I41" i="15" s="1"/>
  <c r="E42" i="15"/>
  <c r="G42" i="15"/>
  <c r="E36" i="15"/>
  <c r="G36"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8" i="15"/>
  <c r="G28" i="15"/>
  <c r="I28" i="15" s="1"/>
  <c r="E32" i="15"/>
  <c r="G32" i="15"/>
  <c r="E44" i="15"/>
  <c r="G44" i="15"/>
  <c r="E14" i="15"/>
  <c r="G14" i="15"/>
  <c r="E29" i="15"/>
  <c r="G29" i="15"/>
  <c r="I29" i="15" s="1"/>
  <c r="E33" i="15"/>
  <c r="G33" i="15"/>
  <c r="E39" i="15"/>
  <c r="G39" i="15"/>
  <c r="E40" i="15"/>
  <c r="G40" i="15"/>
  <c r="E38" i="15"/>
  <c r="G38" i="15"/>
  <c r="I38" i="15" l="1"/>
  <c r="I39" i="15"/>
  <c r="I44" i="15"/>
  <c r="I21" i="15"/>
  <c r="I16" i="15"/>
  <c r="I10" i="15"/>
  <c r="I15" i="15"/>
  <c r="I19" i="15"/>
  <c r="I43" i="15"/>
  <c r="I22" i="15"/>
  <c r="I40" i="15"/>
  <c r="I33" i="15"/>
  <c r="I32" i="15"/>
  <c r="I23" i="15"/>
  <c r="I18" i="15"/>
  <c r="I8" i="15"/>
  <c r="I20" i="15"/>
  <c r="I9" i="15"/>
  <c r="I42" i="15"/>
  <c r="I27" i="15"/>
  <c r="I17" i="15"/>
  <c r="I7" i="15"/>
  <c r="I14" i="15"/>
  <c r="I36" i="15"/>
  <c r="I35"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4878A423-4C86-4EC5-825A-30C3B86AB4D9}">
      <text>
        <r>
          <rPr>
            <i/>
            <sz val="12"/>
            <color indexed="81"/>
            <rFont val="Times New Roman"/>
            <family val="1"/>
          </rPr>
          <t>Turmish; born in Gildenglade</t>
        </r>
      </text>
    </comment>
    <comment ref="E9" authorId="0" shapeId="0" xr:uid="{D9E6032A-A505-4A39-A752-533817F5C924}">
      <text>
        <r>
          <rPr>
            <sz val="12"/>
            <color indexed="81"/>
            <rFont val="Times New Roman"/>
            <family val="1"/>
          </rPr>
          <t>Next level at 3,000 XPs</t>
        </r>
      </text>
    </comment>
    <comment ref="E10" authorId="0" shapeId="0" xr:uid="{02A1D133-9C43-48F9-B185-A3E12BBA8CF3}">
      <text>
        <r>
          <rPr>
            <sz val="12"/>
            <color indexed="81"/>
            <rFont val="Times New Roman"/>
            <family val="1"/>
          </rPr>
          <t>See PHB 162</t>
        </r>
      </text>
    </comment>
    <comment ref="E12" authorId="0" shapeId="0" xr:uid="{00000000-0006-0000-0000-000005000000}">
      <text>
        <r>
          <rPr>
            <sz val="12"/>
            <color indexed="81"/>
            <rFont val="Times New Roman"/>
            <family val="1"/>
          </rPr>
          <t>[(1 * 8 Divine Bard) * 75%] 
+ (1 * 0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595C6AB6-9408-4FAF-AA55-C185C8655D58}">
      <text>
        <r>
          <rPr>
            <sz val="12"/>
            <color indexed="81"/>
            <rFont val="Times New Roman"/>
            <family val="1"/>
          </rPr>
          <t>Strong Soul +1</t>
        </r>
      </text>
    </comment>
    <comment ref="J3" authorId="0" shapeId="0" xr:uid="{8631D256-0ABC-4027-8197-22B610096E1F}">
      <text>
        <r>
          <rPr>
            <sz val="12"/>
            <color indexed="81"/>
            <rFont val="Times New Roman"/>
            <family val="1"/>
          </rPr>
          <t>Strong Soul +1</t>
        </r>
      </text>
    </comment>
    <comment ref="F5" authorId="0" shapeId="0" xr:uid="{E15A02CF-A28F-429E-99BF-D8653F1D64A8}">
      <text>
        <r>
          <rPr>
            <sz val="12"/>
            <color indexed="81"/>
            <rFont val="Times New Roman"/>
            <family val="1"/>
          </rPr>
          <t>Strong Soul +1</t>
        </r>
      </text>
    </comment>
    <comment ref="J5" authorId="0" shapeId="0" xr:uid="{66CC3BDE-E44B-435A-A9AC-7BD29662E7E6}">
      <text>
        <r>
          <rPr>
            <sz val="12"/>
            <color indexed="81"/>
            <rFont val="Times New Roman"/>
            <family val="1"/>
          </rPr>
          <t>Strong Soul +1</t>
        </r>
      </text>
    </comment>
    <comment ref="F7" authorId="0" shapeId="0" xr:uid="{00000000-0006-0000-0100-000004000000}">
      <text>
        <r>
          <rPr>
            <sz val="12"/>
            <color indexed="81"/>
            <rFont val="Times New Roman"/>
            <family val="1"/>
          </rPr>
          <t>No armor penalties</t>
        </r>
      </text>
    </comment>
    <comment ref="F9" authorId="0" shapeId="0" xr:uid="{00000000-0006-0000-0100-000006000000}">
      <text>
        <r>
          <rPr>
            <sz val="12"/>
            <color indexed="81"/>
            <rFont val="Times New Roman"/>
            <family val="1"/>
          </rPr>
          <t>No armor penalties</t>
        </r>
      </text>
    </comment>
    <comment ref="F13" authorId="0" shapeId="0" xr:uid="{9894EB5D-8321-4E60-A46D-7DE767741674}">
      <text>
        <r>
          <rPr>
            <i/>
            <sz val="12"/>
            <color indexed="81"/>
            <rFont val="Times New Roman"/>
            <family val="1"/>
          </rPr>
          <t>Negotiator +2
Polite +1</t>
        </r>
      </text>
    </comment>
    <comment ref="F15" authorId="0" shapeId="0" xr:uid="{00000000-0006-0000-0100-000008000000}">
      <text>
        <r>
          <rPr>
            <sz val="12"/>
            <color indexed="81"/>
            <rFont val="Times New Roman"/>
            <family val="1"/>
          </rPr>
          <t>Bluff synergy +2</t>
        </r>
      </text>
    </comment>
    <comment ref="F16" authorId="0" shapeId="0" xr:uid="{00000000-0006-0000-0100-000009000000}">
      <text>
        <r>
          <rPr>
            <sz val="12"/>
            <color indexed="81"/>
            <rFont val="Times New Roman"/>
            <family val="1"/>
          </rPr>
          <t>No armor penalties</t>
        </r>
      </text>
    </comment>
    <comment ref="F21" authorId="0" shapeId="0" xr:uid="{00000000-0006-0000-0100-00000C000000}">
      <text>
        <r>
          <rPr>
            <sz val="12"/>
            <color indexed="81"/>
            <rFont val="Times New Roman"/>
            <family val="1"/>
          </rPr>
          <t>No armor penalties</t>
        </r>
      </text>
    </comment>
    <comment ref="F22" authorId="0" shapeId="0" xr:uid="{9E6FFE20-13EF-43E8-B7DA-1E4EEE9364F8}">
      <text>
        <r>
          <rPr>
            <i/>
            <sz val="12"/>
            <color indexed="81"/>
            <rFont val="Times New Roman"/>
            <family val="1"/>
          </rPr>
          <t>Polite -2</t>
        </r>
      </text>
    </comment>
    <comment ref="F23" authorId="0" shapeId="0" xr:uid="{00000000-0006-0000-0100-00000E000000}">
      <text>
        <r>
          <rPr>
            <sz val="12"/>
            <color indexed="81"/>
            <rFont val="Times New Roman"/>
            <family val="1"/>
          </rPr>
          <t>No armor penalties</t>
        </r>
      </text>
    </comment>
    <comment ref="F27" authorId="0" shapeId="0" xr:uid="{7D9BE0DC-732C-4DA8-B183-A882CBFF78FF}">
      <text>
        <r>
          <rPr>
            <sz val="12"/>
            <color indexed="81"/>
            <rFont val="Times New Roman"/>
            <family val="1"/>
          </rPr>
          <t>Elf +2</t>
        </r>
      </text>
    </comment>
    <comment ref="F28" authorId="0" shapeId="0" xr:uid="{00000000-0006-0000-0100-00000F000000}">
      <text>
        <r>
          <rPr>
            <sz val="12"/>
            <color indexed="81"/>
            <rFont val="Times New Roman"/>
            <family val="1"/>
          </rPr>
          <t>No armor penalties</t>
        </r>
      </text>
    </comment>
    <comment ref="F33" authorId="0" shapeId="0" xr:uid="{2FD3E2AB-D029-4CEC-87AC-722DE6B77F64}">
      <text>
        <r>
          <rPr>
            <i/>
            <sz val="12"/>
            <color indexed="81"/>
            <rFont val="Times New Roman"/>
            <family val="1"/>
          </rPr>
          <t>Farsighted -2
Elf +2</t>
        </r>
      </text>
    </comment>
    <comment ref="F34" authorId="0" shapeId="0" xr:uid="{106CF888-2565-4634-8BCA-4CB681D1CC0A}">
      <text>
        <r>
          <rPr>
            <i/>
            <sz val="12"/>
            <color indexed="81"/>
            <rFont val="Times New Roman"/>
            <family val="1"/>
          </rPr>
          <t>Negotiator +2</t>
        </r>
      </text>
    </comment>
    <comment ref="F39" authorId="0" shapeId="0" xr:uid="{9EC14D74-31D2-46BE-ABAE-3E8DAB0293AB}">
      <text>
        <r>
          <rPr>
            <i/>
            <sz val="12"/>
            <color indexed="81"/>
            <rFont val="Times New Roman"/>
            <family val="1"/>
          </rPr>
          <t>Farsighted +1
Elf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89D46C20-915B-4F12-B81B-ADF0B5C63649}">
      <text>
        <r>
          <rPr>
            <sz val="12"/>
            <color indexed="81"/>
            <rFont val="Times New Roman"/>
            <family val="1"/>
          </rPr>
          <t>Copper wire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6727CFE4-6F54-41B2-8CAF-C040B05788C8}">
      <text>
        <r>
          <rPr>
            <sz val="12"/>
            <color indexed="81"/>
            <rFont val="Times New Roman"/>
            <family val="1"/>
          </rPr>
          <t xml:space="preserve">You are good at gauging and swaying attitudes.
</t>
        </r>
        <r>
          <rPr>
            <b/>
            <sz val="12"/>
            <color indexed="81"/>
            <rFont val="Times New Roman"/>
            <family val="1"/>
          </rPr>
          <t xml:space="preserve">Benefit: </t>
        </r>
        <r>
          <rPr>
            <sz val="12"/>
            <color indexed="81"/>
            <rFont val="Times New Roman"/>
            <family val="1"/>
          </rPr>
          <t>You get a +2 bonus on all Diplomacy checks and Sense Motive checks.
PHB 98</t>
        </r>
      </text>
    </comment>
    <comment ref="A3" authorId="0" shapeId="0" xr:uid="{41724B67-CF4A-4BFE-907F-21C76D33A48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 ref="A4" authorId="0" shapeId="0" xr:uid="{C924F023-A395-46E6-A7DF-B52E5BF225F8}">
      <text>
        <r>
          <rPr>
            <sz val="12"/>
            <color indexed="81"/>
            <rFont val="Times New Roman"/>
            <family val="1"/>
          </rPr>
          <t xml:space="preserve">The souls of your people are hard to separate from their bodies.
</t>
        </r>
        <r>
          <rPr>
            <b/>
            <sz val="12"/>
            <color indexed="81"/>
            <rFont val="Times New Roman"/>
            <family val="1"/>
          </rPr>
          <t xml:space="preserve">Regions:  </t>
        </r>
        <r>
          <rPr>
            <sz val="12"/>
            <color indexed="81"/>
            <rFont val="Times New Roman"/>
            <family val="1"/>
          </rPr>
          <t xml:space="preserve">Dalelands, Moonshaes, deep gnome, ghostwise halfling, lightfoot halfling, moon elf, rock gnome, strongheart halfling, sun elf, wild elf, wood elf.
</t>
        </r>
        <r>
          <rPr>
            <b/>
            <sz val="12"/>
            <color indexed="81"/>
            <rFont val="Times New Roman"/>
            <family val="1"/>
          </rPr>
          <t xml:space="preserve">Benefit:  </t>
        </r>
        <r>
          <rPr>
            <sz val="12"/>
            <color indexed="81"/>
            <rFont val="Times New Roman"/>
            <family val="1"/>
          </rPr>
          <t>You get a +1 bonus on all Fortitude and Will saves and an additional +1 bonus on saving throws against energy draining and death effects.
FRCS 39</t>
        </r>
      </text>
    </comment>
    <comment ref="A7" authorId="0" shapeId="0" xr:uid="{0C59CF70-8DB1-44BC-8A07-8006693D33C9}">
      <text>
        <r>
          <rPr>
            <sz val="12"/>
            <color indexed="81"/>
            <rFont val="Times New Roman"/>
            <family val="1"/>
          </rPr>
          <t xml:space="preserve">A bard picks up a lot of stray knowledge while wandering the land and learning stories from other bards.  He may make a special bardic knowledge check with a bonus equal to his bard level + his Intelligence modifier to see whether he knows some relevant information about local notable people, legendary items, or noteworthy places.  (If the bard has 5 or more ranks in Knowledge (history), he gains a +2 bonus on this check.)
</t>
        </r>
        <r>
          <rPr>
            <b/>
            <sz val="12"/>
            <color indexed="81"/>
            <rFont val="Times New Roman"/>
            <family val="1"/>
          </rPr>
          <t>See table on page 28 for guidance.</t>
        </r>
        <r>
          <rPr>
            <sz val="12"/>
            <color indexed="81"/>
            <rFont val="Times New Roman"/>
            <family val="1"/>
          </rPr>
          <t xml:space="preserve">
A successful bardic knowledge check will not reveal the powers of a magic item but may give a hint as to its general function.  A bard may not take 10 or take 20 on this check; this sort of knowledge is essentially random.  The DM can determine the Difficulty Class of the check by referring to the table above.
PHB 28 - 29</t>
        </r>
      </text>
    </comment>
    <comment ref="A8" authorId="0" shapeId="0" xr:uid="{0F0ED7B4-F007-4D69-9649-DE1491C71945}">
      <text>
        <r>
          <rPr>
            <sz val="12"/>
            <color indexed="81"/>
            <rFont val="Times New Roman"/>
            <family val="1"/>
          </rPr>
          <t>Once per day per bard level, a bard can use his song or poetics to produce magical effects on those around him (usually including himself, if desired).  While these abilities fall under the category of bardic music and the descriptions discuss singing or playing instruments, they can all be activated by reciting poetry, chanting, singing lyrical songs, singing melodies (fa-la-la, and so forth), whistling, playing an instrument, or playing an instrument in combination with some spoken performance.  Each ability requires both a minimum bard level and a minimum number of ranks in the Perform skill to qualify; if a bard does not have the required number of ranks in at least one Perform skill, he does not gain the bardic music ability until he acquires the needed ranks.
Starting a bardic music effect is a standard action.  Some bardic music abilities require concentration, which means the bard must take a standard action each round to maintain the ability.  Even while using bardic music that doesn’t require concentration, a bard cannot cast spells, activate magic items by spell completion (such as scrolls), or activate magic items by magic word (such as wands).  Just as for casting a spell with a verbal component (see Components, page 174), a deaf bard has a 20% chance to fail when attempting to use bardic music.  If he fails, the attempt still counts against his daily limit.
PHB 29</t>
        </r>
      </text>
    </comment>
    <comment ref="A9" authorId="0" shapeId="0" xr:uid="{C4963273-B3F6-4782-86EE-F9FB06D18B55}">
      <text>
        <r>
          <rPr>
            <sz val="12"/>
            <color indexed="81"/>
            <rFont val="Times New Roman"/>
            <family val="1"/>
          </rPr>
          <t>A bard with 3 or more ranks in a Perform skill can use his music or poetics to counter magical effects that depend on sound (but not spells that simply have verbal components).  Each round of the countersong, he makes a Perform check.  Any creature within 30 feet of the bard (including the bard himself ) that is affected by a sonic or language-dependent magical attack (such as a sound burst or command spell) may use the bard’s Perform check result in place of its saving throw if, after the saving throw is rolled, the Perform check result proves to be higher.  If a creature within range of the countersong is already under the effect of a noninstantaneous sonic or language-dependent magical attack, it gains another saving throw against the effect each round it hears the countersong, but it must use the bard’s Perform check result for the save.  Countersong has no effect against effects that don’t allow saves.  The bard may keep up the countersong for 10 rounds.
PHB 29</t>
        </r>
      </text>
    </comment>
    <comment ref="A10" authorId="0" shapeId="0" xr:uid="{C24D8DC2-4398-4C46-9423-42F4EFA68C5F}">
      <text>
        <r>
          <rPr>
            <sz val="12"/>
            <color indexed="81"/>
            <rFont val="Times New Roman"/>
            <family val="1"/>
          </rPr>
          <t>A bard with 3 or more ranks in a Perform skill can use his music or poetics to cause one or more creatures to become fascinated with him.  Each creature to be fascinated must be within 90 feet, able to see and hear the bard, and able to pay attention to him.  The bard must also be able to see the creature.  The distraction of a nearby combat or other dangers prevents the ability from working.  For every three levels a bard attains beyond 1st, he can target one additional creature with a single use of this ability (two at 4th level, three at 7th level, and so on).
To use the ability, a bard makes a Perform check.  His check result is the DC for each affected creature’s Will save against the effect.  If a creature’s saving throw succeeds, the bard cannot attempt to fascinate that creature again for 24 hours.  If its saving throw fails, the creature sits quietly and listens to the song, taking no other actions, for as long as the bard continues to play and concentrate (up to a maximum of 1 round per bard level).  While fascinated, a target takes a –4 penalty on skill checks made as reactions, such as Listen and Spot checks.  Any potential threat requires the bard to make another Perform check and allows the creature a new saving throw against a DC equal to the new Perform check result.  Any obvious threat, such as someone drawing a weapon, casting a spell, or aiming a ranged weapon at the target, automatically breaks the effect.  Fascinate is an enchantment (compulsion), mind-affecting ability.
PHB 29</t>
        </r>
      </text>
    </comment>
    <comment ref="A11" authorId="0" shapeId="0" xr:uid="{D719A683-AF63-4D4F-8253-F5A1D92E9F99}">
      <text>
        <r>
          <rPr>
            <sz val="12"/>
            <color indexed="81"/>
            <rFont val="Times New Roman"/>
            <family val="1"/>
          </rPr>
          <t>A bard with 3 or more ranks in a Perform skill can use song or poetics to inspire courage in his allies (including himself), bolstering them against fear and improving their combat abilities.  To be affected, an ally must be able to hear the bard sing.  The effect lasts for as long as the ally hears the bard sing and for 5 rounds thereafter.  An affected ally receives a +1 morale bonus on saving throws against charm and fear effects and a +1 morale bonus on attack and weapon damage rolls.  At 8th level, and every six bard levels thereafter, this bonus increases by 1 (+2 at 8th, +3 at 14th, and +4 at 20th).  Inspire courage is a mind-affecting ability.
PHB 29</t>
        </r>
      </text>
    </comment>
    <comment ref="A12" authorId="0" shapeId="0" xr:uid="{91A5AEA0-61FC-496C-9B20-4C9E7776FD8C}">
      <text>
        <r>
          <rPr>
            <sz val="12"/>
            <color indexed="81"/>
            <rFont val="Times New Roman"/>
            <family val="1"/>
          </rPr>
          <t>A bard of 3rd level or higher with 6 or more ranks in a Perform skill can use his music or poetics to help an ally succeed at a task.  The ally must be within 30 feet and able to see and hear the bard.  The bard must also be able to see the ally.
Depending on the task that the ally has at hand, the bard may use his bardic music to lift the ally’s spirits, to help him or her focus mentally, or in some other way.  The ally gets a +2 competence bonus on skill checks with a particular skill as long as he or she continues to hear the bard’s music.  The DM may rule that certain uses of this ability are infeasible—chanting to make a rogue move more quietly, for example, is self-defeating.  The effect lasts as long as the bard concentrates, up to a maximum of 2 minutes.  A bard can’t inspire competence in himself.  Inspire competence is a mind-affecting ability.
PHB 29</t>
        </r>
      </text>
    </comment>
    <comment ref="A13" authorId="0" shapeId="0" xr:uid="{898A62F2-AE19-478B-9E76-A693F1002B8A}">
      <text>
        <r>
          <rPr>
            <sz val="12"/>
            <color indexed="81"/>
            <rFont val="Times New Roman"/>
            <family val="1"/>
          </rPr>
          <t>A bard of 6th level or higher with 9 or more ranks in a Perform skill can make a suggestion (as the spell) to a creature that he has already fascinated (see above).  Using this ability does not break the bard’s concentration on the fascinate effect, nor does it allow a second saving throw against the fascinate effect.  Making a suggestion doesn’t count against a bard’s daily limit on bardic music performances.
A Will saving throw (DC 10 + 1/2 bard’s level + bard’s Cha modifier) negates the effect.  This ability affects only a single creature (but see mass suggestion, below).  Suggestion is an enchantment (compulsion), mind-affecting, language dependent ability.
PHB 29</t>
        </r>
      </text>
    </comment>
    <comment ref="A16" authorId="0" shapeId="0" xr:uid="{57A024F0-6438-402D-BF22-CD106ED47FBE}">
      <text>
        <r>
          <rPr>
            <sz val="12"/>
            <color indexed="81"/>
            <rFont val="Times New Roman"/>
            <family val="1"/>
          </rPr>
          <t xml:space="preserve">You can weave your music and magic together into a single perfect voice.  
</t>
        </r>
        <r>
          <rPr>
            <b/>
            <sz val="12"/>
            <color indexed="81"/>
            <rFont val="Times New Roman"/>
            <family val="1"/>
          </rPr>
          <t xml:space="preserve">Prerequisites:  </t>
        </r>
        <r>
          <rPr>
            <sz val="12"/>
            <color indexed="81"/>
            <rFont val="Times New Roman"/>
            <family val="1"/>
          </rPr>
          <t xml:space="preserve">Perform 4 ranks, Spellcraft 4 ranks, bardic music class feature.
</t>
        </r>
        <r>
          <rPr>
            <b/>
            <sz val="12"/>
            <color indexed="81"/>
            <rFont val="Times New Roman"/>
            <family val="1"/>
          </rPr>
          <t xml:space="preserve">Benefit: </t>
        </r>
        <r>
          <rPr>
            <sz val="12"/>
            <color indexed="81"/>
            <rFont val="Times New Roman"/>
            <family val="1"/>
          </rPr>
          <t xml:space="preserve">Whenever a Concentration check would be required to cast a spell or use a spell-like ability (such as when you cast defensively or are distracted or injured while casting), you can make a Perform check instead.
In addition, you can cast spells and activate magic items by command word or spell completion while using a bardic music ability.  Bardic music abilities that require concentration still take a standard action to perform.
</t>
        </r>
        <r>
          <rPr>
            <b/>
            <sz val="12"/>
            <color indexed="81"/>
            <rFont val="Times New Roman"/>
            <family val="1"/>
          </rPr>
          <t xml:space="preserve">Normal:  </t>
        </r>
        <r>
          <rPr>
            <sz val="12"/>
            <color indexed="81"/>
            <rFont val="Times New Roman"/>
            <family val="1"/>
          </rPr>
          <t>A bard can’t cast spells or activate magic items by command word or spell completion while using bardic music. 
Complete Mage 44</t>
        </r>
      </text>
    </comment>
    <comment ref="C18" authorId="0" shapeId="0" xr:uid="{5331A19D-2F4E-4BEC-8C40-0F0E31386B55}">
      <text>
        <r>
          <rPr>
            <sz val="12"/>
            <color indexed="81"/>
            <rFont val="Times New Roman"/>
            <family val="1"/>
          </rPr>
          <t>The power of a paladin’s aura of good (see the detect good spell) is equal to her paladin level, just like the aura of a cleric of a good deity.
PHB 44</t>
        </r>
      </text>
    </comment>
    <comment ref="C19" authorId="0" shapeId="0" xr:uid="{27E3DC9F-5AF9-4B8F-89DF-A6832A349854}">
      <text>
        <r>
          <rPr>
            <sz val="12"/>
            <color indexed="81"/>
            <rFont val="Times New Roman"/>
            <family val="1"/>
          </rPr>
          <t>At will, a paladin can use detect evil, as the spell.
PHB 44</t>
        </r>
      </text>
    </comment>
    <comment ref="C20" authorId="0" shapeId="0" xr:uid="{DE24EB7E-0127-43B6-B0E0-A54BC020D29C}">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2" authorId="0" shapeId="0" xr:uid="{00000000-0006-0000-0400-000002000000}">
      <text>
        <r>
          <rPr>
            <sz val="12"/>
            <color indexed="81"/>
            <rFont val="Times New Roman"/>
            <family val="1"/>
          </rPr>
          <t>Balance, Climb, Escape Artist, Hide, Jump, Move Silently, Sleight of Hand, Tumble.</t>
        </r>
      </text>
    </comment>
    <comment ref="E13" authorId="0" shapeId="0" xr:uid="{66D5FAC4-4B8E-4F51-8CE9-CB7ADC193AE4}">
      <text>
        <r>
          <rPr>
            <b/>
            <sz val="12"/>
            <color indexed="81"/>
            <rFont val="Times New Roman"/>
            <family val="1"/>
          </rPr>
          <t xml:space="preserve">Divine Bard:  </t>
        </r>
        <r>
          <rPr>
            <sz val="12"/>
            <color indexed="81"/>
            <rFont val="Times New Roman"/>
            <family val="1"/>
          </rPr>
          <t>Casts divine spells.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0" authorId="0" shapeId="0" xr:uid="{8CFDDB54-CF0C-4A83-9A4D-6268149AC633}">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<sst xmlns="http://schemas.openxmlformats.org/spreadsheetml/2006/main" count="402" uniqueCount="243">
  <si>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</si>
  <si>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</si>
  <si>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</si>
  <si>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</si>
  <si>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</si>
  <si>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</si>
  <si>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</si>
  <si>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</si>
  <si>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</si>
  <si>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</si>
  <si>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</si>
  <si>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</si>
  <si>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</si>
  <si>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</si>
  <si>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</si>
  <si>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</si>
  <si>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</si>
  <si>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</si>
  <si>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</si>
  <si>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</si>
  <si>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</si>
  <si>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</si>
  <si>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</si>
  <si>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</si>
  <si>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</si>
  <si>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</si>
  <si>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</si>
  <si>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</si>
  <si>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</si>
  <si>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</si>
  <si>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</si>
  <si>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</si>
  <si>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</si>
  <si>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</si>
  <si>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</si>
  <si>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</si>
  <si>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</si>
  <si>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</si>
  <si>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</si>
  <si>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</si>
  <si>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</si>
  <si>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</si>
  <si>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</si>
  <si>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</si>
  <si>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</si>
  <si>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</si>
  <si>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</si>
  <si>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</si>
  <si>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</si>
  <si>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</si>
  <si>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</si>
  <si>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</si>
  <si>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</si>
  <si>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</si>
  <si>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</si>
  <si>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</si>
  <si>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</si>
  <si>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</si>
  <si>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</si>
  <si>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</si>
  <si>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</si>
  <si>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</si>
  <si>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</si>
  <si>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</si>
  <si>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</si>
  <si>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Instant</t>
  </si>
  <si>
    <t>Personal</t>
  </si>
  <si>
    <t>10 min/lvl</t>
  </si>
  <si>
    <t>Spell</t>
  </si>
  <si>
    <t>Cast?</t>
  </si>
  <si>
    <t>Languages</t>
  </si>
  <si>
    <t>School</t>
  </si>
  <si>
    <t>10’</t>
  </si>
  <si>
    <t>Equipment Worn</t>
  </si>
  <si>
    <t>Item</t>
  </si>
  <si>
    <t>Effects/</t>
  </si>
  <si>
    <t>Notes</t>
  </si>
  <si>
    <t>Equipment Carried</t>
  </si>
  <si>
    <t>Check</t>
  </si>
  <si>
    <t>Arcane</t>
  </si>
  <si>
    <t>Speed</t>
  </si>
  <si>
    <t>Sleight of Hand</t>
  </si>
  <si>
    <t>Survival</t>
  </si>
  <si>
    <t>Craft:  (type)</t>
  </si>
  <si>
    <t>DC</t>
  </si>
  <si>
    <t>Weapon Proficiencies</t>
  </si>
  <si>
    <t>Shields (not tower)</t>
  </si>
  <si>
    <t>Atk</t>
  </si>
  <si>
    <t>Components</t>
  </si>
  <si>
    <t>Casting</t>
  </si>
  <si>
    <t>V S</t>
  </si>
  <si>
    <t>1 SA</t>
  </si>
  <si>
    <t>100’ + 10’/lvl</t>
  </si>
  <si>
    <t>V S F</t>
  </si>
  <si>
    <t>Spells per Day</t>
  </si>
  <si>
    <t>Spell Level</t>
  </si>
  <si>
    <t>Total Divine</t>
  </si>
  <si>
    <t>Feats</t>
  </si>
  <si>
    <t>19-20, x2</t>
  </si>
  <si>
    <t>Prcg/Slsh</t>
  </si>
  <si>
    <t>-</t>
  </si>
  <si>
    <t>Roll</t>
  </si>
  <si>
    <t>Skill/Save</t>
  </si>
  <si>
    <t>30’</t>
  </si>
  <si>
    <t>Traveler’s Outfit</t>
  </si>
  <si>
    <t>Value</t>
  </si>
  <si>
    <t>Scrolls and Potions</t>
  </si>
  <si>
    <t>CLev</t>
  </si>
  <si>
    <t>Ranged Touch Attack</t>
  </si>
  <si>
    <t>Charisma Bonus</t>
  </si>
  <si>
    <t>1d8</t>
  </si>
  <si>
    <t>Countersong</t>
  </si>
  <si>
    <t>Fascinate</t>
  </si>
  <si>
    <t>PHB</t>
  </si>
  <si>
    <t>Reference</t>
  </si>
  <si>
    <t>Page</t>
  </si>
  <si>
    <t>Transmutation</t>
  </si>
  <si>
    <t>Bard Spells</t>
  </si>
  <si>
    <t>1d4</t>
  </si>
  <si>
    <t>Conjuration</t>
  </si>
  <si>
    <t>Total Equity:</t>
  </si>
  <si>
    <t>1d6</t>
  </si>
  <si>
    <t>Spells Known</t>
  </si>
  <si>
    <t>ü</t>
  </si>
  <si>
    <t>Touch</t>
  </si>
  <si>
    <t>Exact Location</t>
  </si>
  <si>
    <t>Race</t>
  </si>
  <si>
    <t>Class</t>
  </si>
  <si>
    <t>Sex</t>
  </si>
  <si>
    <t>Age</t>
  </si>
  <si>
    <t>Alignment</t>
  </si>
  <si>
    <t>Strength</t>
  </si>
  <si>
    <t>Dexterity</t>
  </si>
  <si>
    <t>Constitution</t>
  </si>
  <si>
    <t>Intelligence</t>
  </si>
  <si>
    <t>Wisdom</t>
  </si>
  <si>
    <t>Charisma</t>
  </si>
  <si>
    <t>AC</t>
  </si>
  <si>
    <t>Deity</t>
  </si>
  <si>
    <t>Region</t>
  </si>
  <si>
    <t>Height</t>
  </si>
  <si>
    <t>Weight</t>
  </si>
  <si>
    <t>Initiative</t>
  </si>
  <si>
    <t>Attack Bonus</t>
  </si>
  <si>
    <t>Lb. Capacity</t>
  </si>
  <si>
    <t>Lb. Carried</t>
  </si>
  <si>
    <t>Hit Points</t>
  </si>
  <si>
    <t>Touch AC</t>
  </si>
  <si>
    <t>FF AC</t>
  </si>
  <si>
    <t>Male</t>
  </si>
  <si>
    <t>Knowledge:  Arcana</t>
  </si>
  <si>
    <t>Perform:  Vocal</t>
  </si>
  <si>
    <t>Message</t>
  </si>
  <si>
    <t>Inspire Courage +1</t>
  </si>
  <si>
    <t>XP</t>
  </si>
  <si>
    <t>Stash:  ?</t>
  </si>
  <si>
    <t>% Full:</t>
  </si>
  <si>
    <t>Heward’s Handy Haversack</t>
  </si>
  <si>
    <t>Signal Whistle</t>
  </si>
  <si>
    <t>Candle</t>
  </si>
  <si>
    <t>Knowledge:  Bardic</t>
  </si>
  <si>
    <t>Gold Coins</t>
  </si>
  <si>
    <t>80’</t>
  </si>
  <si>
    <t>Knowledge:  Religion</t>
  </si>
  <si>
    <t>Soft Equity Ceiling:</t>
  </si>
  <si>
    <t>Landorin</t>
  </si>
  <si>
    <t>of Gildenglade</t>
  </si>
  <si>
    <t>Played by Ernest Hakey</t>
  </si>
  <si>
    <t>Divine Bard</t>
  </si>
  <si>
    <t>5’ 2”</t>
  </si>
  <si>
    <t>Moon Elf</t>
  </si>
  <si>
    <t>Selûne</t>
  </si>
  <si>
    <t>Vilhon Reach</t>
  </si>
  <si>
    <t>130 lbs.</t>
  </si>
  <si>
    <t>Cure Minor Wounds</t>
  </si>
  <si>
    <t>Know Direction</t>
  </si>
  <si>
    <t>Mending</t>
  </si>
  <si>
    <t>Divination</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</si>
  <si>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</si>
  <si>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Flaws</t>
  </si>
  <si>
    <t>Murky-Eyed</t>
  </si>
  <si>
    <t>Traits</t>
  </si>
  <si>
    <t>Farsighted</t>
  </si>
  <si>
    <t>Polite</t>
  </si>
  <si>
    <t>Divine Bard 1</t>
  </si>
  <si>
    <t>@3rd:  Inspire Competence</t>
  </si>
  <si>
    <t>@6th:  Suggestion</t>
  </si>
  <si>
    <t>Profession:  Sailor</t>
  </si>
  <si>
    <t>Speak Language:  Damaran</t>
  </si>
  <si>
    <t>Speak Language:  Aglarondan</t>
  </si>
  <si>
    <t>Common, Elven, Chondathan,</t>
  </si>
  <si>
    <t>Aglarondan, Damaran</t>
  </si>
  <si>
    <t>-2</t>
  </si>
  <si>
    <t>+1 vs. Energy Drain &amp; Death effects</t>
  </si>
  <si>
    <t>UA p. 91: roll miss % vs concealment x2</t>
  </si>
  <si>
    <t>2k ₲</t>
  </si>
  <si>
    <t>MW Studded Leather</t>
  </si>
  <si>
    <t>MW Buckler</t>
  </si>
  <si>
    <t>Arrows</t>
  </si>
  <si>
    <t xml:space="preserve">1d6 </t>
  </si>
  <si>
    <t>Cold Iron Dagger</t>
  </si>
  <si>
    <t>Spell Component Pouch</t>
  </si>
  <si>
    <t>Belt Pouches</t>
  </si>
  <si>
    <t>Entertainer’s Outfit</t>
  </si>
  <si>
    <t>free</t>
  </si>
  <si>
    <t>Satchel</t>
  </si>
  <si>
    <t>Ink &amp; Pens</t>
  </si>
  <si>
    <t>Sack</t>
  </si>
  <si>
    <t>Tindertwigs</t>
  </si>
  <si>
    <t>18-20, x2</t>
  </si>
  <si>
    <t>Piercing</t>
  </si>
  <si>
    <t>Debt</t>
  </si>
  <si>
    <t>Bludgeon</t>
  </si>
  <si>
    <t>For later…?</t>
  </si>
  <si>
    <t>Melodic Casting</t>
  </si>
  <si>
    <t>1st:  Negotiator</t>
  </si>
  <si>
    <t>2</t>
  </si>
  <si>
    <t>Painted with 2 Eyes/7 Stars</t>
  </si>
  <si>
    <t>Sap</t>
  </si>
  <si>
    <t>x2</t>
  </si>
  <si>
    <t>Paladin of Freedom</t>
  </si>
  <si>
    <t>Bard Features</t>
  </si>
  <si>
    <t>Paladin Features</t>
  </si>
  <si>
    <t>Detect Evil at will</t>
  </si>
  <si>
    <t>Smite Evil 1/day</t>
  </si>
  <si>
    <t>Chaotic Good</t>
  </si>
  <si>
    <t>Paladin CL:</t>
  </si>
  <si>
    <t>Bard CL:</t>
  </si>
  <si>
    <t>Aura of Good</t>
  </si>
  <si>
    <t>All Armor</t>
  </si>
  <si>
    <t>Simple and Martial Weapons</t>
  </si>
  <si>
    <t>MW Rapier</t>
  </si>
  <si>
    <t>MW Silvered Shortsword</t>
  </si>
  <si>
    <t>MW Comp. Longbow, Str 12</t>
  </si>
  <si>
    <t>1</t>
  </si>
  <si>
    <t>Nonlethal</t>
  </si>
  <si>
    <t>Silver Holy Symbol of Selûne</t>
  </si>
  <si>
    <t>Vial of Antitoxin</t>
  </si>
  <si>
    <r>
      <t xml:space="preserve">Wand of </t>
    </r>
    <r>
      <rPr>
        <i/>
        <sz val="12"/>
        <rFont val="Times New Roman"/>
        <family val="1"/>
      </rPr>
      <t>Cure Light Wounds</t>
    </r>
  </si>
  <si>
    <t>25 charges</t>
  </si>
  <si>
    <t>+2 on topics re. Hlammach</t>
  </si>
  <si>
    <t>Parchments</t>
  </si>
  <si>
    <t>Rg:  Strong Soul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</si>
</sst>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6"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4"/>
      <name val="Times New Roman"/>
      <family val="1"/>
    </font>
    <font>
      <sz val="14"/>
      <name val="Times New Roman"/>
      <family val="1"/>
    </font>
    <font>
      <sz val="13"/>
      <color rgb="FF0000FF"/>
      <name val="Times New Roman"/>
      <family val="1"/>
    </font>
    <font>
      <sz val="13"/>
      <color rgb="FFFF0000"/>
      <name val="Times New Roman"/>
      <family val="1"/>
    </font>
    <font>
      <i/>
      <sz val="12"/>
      <color indexed="81"/>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i/>
      <sz val="18"/>
      <color rgb="FFFF00FF"/>
      <name val="Times New Roman"/>
      <family val="1"/>
    </font>
    <font>
      <sz val="12"/>
      <name val="Wingdings"/>
      <charset val="2"/>
    </font>
    <font>
      <i/>
      <sz val="18"/>
      <color rgb="FF9966FF"/>
      <name val="Times New Roman"/>
      <family val="1"/>
    </font>
    <font>
      <i/>
      <sz val="17"/>
      <name val="Times New Roman"/>
      <family val="1"/>
    </font>
    <font>
      <b/>
      <sz val="12"/>
      <color rgb="FFFF0000"/>
      <name val="Times New Roman"/>
      <family val="1"/>
    </font>
    <font>
      <i/>
      <sz val="22"/>
      <color rgb="FFCC99FF"/>
      <name val="Times New Roman"/>
      <family val="1"/>
    </font>
    <font>
      <sz val="12"/>
      <color theme="0"/>
      <name val="Times New Roman"/>
      <family val="1"/>
    </font>
    <font>
      <sz val="12"/>
      <color rgb="FF00B0F0"/>
      <name val="Times New Roman"/>
      <family val="1"/>
    </font>
    <font>
      <i/>
      <sz val="12"/>
      <name val="Times New Roman"/>
      <family val="1"/>
    </font>
  </fonts>
  <fills count="2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00FF00"/>
        <bgColor indexed="64"/>
      </patternFill>
    </fill>
    <fill>
      <patternFill patternType="solid">
        <fgColor rgb="FFCCFFCC"/>
        <bgColor indexed="64"/>
      </patternFill>
    </fill>
    <fill>
      <patternFill patternType="solid">
        <fgColor rgb="FFCC99FF"/>
        <bgColor indexed="64"/>
      </patternFill>
    </fill>
    <fill>
      <patternFill patternType="solid">
        <fgColor rgb="FFFF00FF"/>
        <bgColor indexed="64"/>
      </patternFill>
    </fill>
    <fill>
      <patternFill patternType="solid">
        <fgColor rgb="FF9966FF"/>
        <bgColor indexed="64"/>
      </patternFill>
    </fill>
    <fill>
      <patternFill patternType="solid">
        <fgColor rgb="FFCC99FF"/>
        <bgColor indexed="55"/>
      </patternFill>
    </fill>
    <fill>
      <patternFill patternType="solid">
        <fgColor theme="0" tint="-0.249977111117893"/>
        <bgColor indexed="55"/>
      </patternFill>
    </fill>
    <fill>
      <patternFill patternType="solid">
        <fgColor rgb="FFFFC000"/>
        <bgColor indexed="64"/>
      </patternFill>
    </fill>
    <fill>
      <patternFill patternType="solid">
        <fgColor theme="1" tint="0.34998626667073579"/>
        <bgColor indexed="64"/>
      </patternFill>
    </fill>
    <fill>
      <patternFill patternType="solid">
        <fgColor rgb="FF00B0F0"/>
        <bgColor indexed="64"/>
      </patternFill>
    </fill>
    <fill>
      <patternFill patternType="solid">
        <fgColor rgb="FF99CCFF"/>
        <bgColor indexed="64"/>
      </patternFill>
    </fill>
  </fills>
  <borders count="12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right style="medium">
        <color auto="1"/>
      </right>
      <top style="thin">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double">
        <color indexed="64"/>
      </right>
      <top/>
      <bottom/>
      <diagonal/>
    </border>
    <border>
      <left style="thin">
        <color indexed="64"/>
      </left>
      <right style="double">
        <color indexed="64"/>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s>
  <cellStyleXfs count="14">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9" fillId="0" borderId="0"/>
    <xf numFmtId="0" fontId="2" fillId="0" borderId="0"/>
    <xf numFmtId="9" fontId="2" fillId="0" borderId="0" applyFont="0" applyFill="0" applyBorder="0" applyAlignment="0" applyProtection="0"/>
    <xf numFmtId="0" fontId="2" fillId="0" borderId="0"/>
    <xf numFmtId="0" fontId="36" fillId="0" borderId="0"/>
    <xf numFmtId="0" fontId="2" fillId="0" borderId="0"/>
    <xf numFmtId="0" fontId="1" fillId="0" borderId="0"/>
    <xf numFmtId="0" fontId="2" fillId="0" borderId="0"/>
  </cellStyleXfs>
  <cellXfs count="504">
    <xf numFmtId="0" fontId="0" fillId="0" borderId="0" xfId="0"/>
    <xf numFmtId="0" fontId="7" fillId="0" borderId="29" xfId="0" applyFont="1" applyBorder="1" applyAlignment="1">
      <alignment horizontal="center" vertical="center" wrapText="1"/>
    </xf>
    <xf numFmtId="9" fontId="7" fillId="0" borderId="28" xfId="2" applyFont="1" applyFill="1" applyBorder="1" applyAlignment="1">
      <alignment horizontal="center" vertical="center" shrinkToFit="1"/>
    </xf>
    <xf numFmtId="0" fontId="2" fillId="0" borderId="74" xfId="0" applyFont="1" applyBorder="1" applyAlignment="1">
      <alignment horizontal="center" vertical="center"/>
    </xf>
    <xf numFmtId="164" fontId="2" fillId="0" borderId="74" xfId="0" applyNumberFormat="1" applyFont="1" applyBorder="1" applyAlignment="1">
      <alignment horizontal="center"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Font="1" applyFill="1" applyBorder="1" applyAlignment="1">
      <alignment horizontal="center" vertical="center" wrapText="1"/>
    </xf>
    <xf numFmtId="0" fontId="45" fillId="13" borderId="38" xfId="0" applyFont="1" applyFill="1" applyBorder="1" applyAlignment="1">
      <alignment horizontal="center" vertical="center" wrapText="1"/>
    </xf>
    <xf numFmtId="0" fontId="12" fillId="3" borderId="68" xfId="0" applyFont="1" applyFill="1" applyBorder="1" applyAlignment="1">
      <alignment horizontal="center" vertical="center"/>
    </xf>
    <xf numFmtId="0" fontId="4" fillId="0" borderId="0" xfId="0" applyFont="1" applyAlignment="1">
      <alignmen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35" fillId="2" borderId="66"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91" xfId="0" applyFont="1" applyFill="1" applyBorder="1" applyAlignment="1">
      <alignment horizontal="right" vertical="center"/>
    </xf>
    <xf numFmtId="49" fontId="7" fillId="0" borderId="78"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0" fillId="2" borderId="4" xfId="0" applyFont="1" applyFill="1" applyBorder="1" applyAlignment="1">
      <alignment horizontal="right" vertical="center"/>
    </xf>
    <xf numFmtId="0" fontId="11" fillId="4" borderId="52"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0" fontId="11" fillId="4" borderId="53"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5" xfId="0" applyFont="1" applyBorder="1" applyAlignment="1">
      <alignment horizontal="centerContinuous" vertical="center"/>
    </xf>
    <xf numFmtId="0" fontId="16" fillId="0" borderId="0" xfId="0" applyFont="1" applyAlignment="1">
      <alignment horizontal="centerContinuous" vertical="center"/>
    </xf>
    <xf numFmtId="0" fontId="42" fillId="0" borderId="1"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horizontal="center" vertical="center"/>
    </xf>
    <xf numFmtId="0" fontId="43" fillId="0" borderId="27" xfId="0" applyFont="1" applyBorder="1" applyAlignment="1">
      <alignment horizontal="center" vertical="center" wrapText="1"/>
    </xf>
    <xf numFmtId="0" fontId="7"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41" fillId="13" borderId="28" xfId="0" applyFont="1" applyFill="1" applyBorder="1" applyAlignment="1">
      <alignment horizontal="center" vertical="center"/>
    </xf>
    <xf numFmtId="0" fontId="7" fillId="0" borderId="29" xfId="0" quotePrefix="1" applyFont="1" applyBorder="1" applyAlignment="1">
      <alignment horizontal="center" vertical="center"/>
    </xf>
    <xf numFmtId="0" fontId="44" fillId="0" borderId="1" xfId="0" applyFont="1" applyBorder="1" applyAlignment="1">
      <alignment vertical="center"/>
    </xf>
    <xf numFmtId="0" fontId="13" fillId="0" borderId="28" xfId="0" applyFont="1" applyBorder="1" applyAlignment="1">
      <alignment horizontal="center" vertical="center"/>
    </xf>
    <xf numFmtId="0" fontId="43" fillId="0" borderId="34" xfId="0" applyFont="1" applyBorder="1" applyAlignment="1">
      <alignment vertical="center"/>
    </xf>
    <xf numFmtId="0" fontId="6" fillId="0" borderId="48" xfId="0" applyFont="1" applyBorder="1" applyAlignment="1">
      <alignment horizontal="center" vertical="center"/>
    </xf>
    <xf numFmtId="0" fontId="7" fillId="0" borderId="48" xfId="0" applyFont="1" applyBorder="1" applyAlignment="1">
      <alignment horizontal="center" vertical="center"/>
    </xf>
    <xf numFmtId="0" fontId="45" fillId="0" borderId="48" xfId="0" applyFont="1" applyBorder="1" applyAlignment="1">
      <alignment horizontal="center" vertical="center" wrapText="1"/>
    </xf>
    <xf numFmtId="1" fontId="7" fillId="0" borderId="48" xfId="0" applyNumberFormat="1" applyFont="1" applyBorder="1" applyAlignment="1">
      <alignment horizontal="center" vertical="center" wrapText="1"/>
    </xf>
    <xf numFmtId="0" fontId="41" fillId="13" borderId="48" xfId="0" applyFont="1" applyFill="1" applyBorder="1" applyAlignment="1">
      <alignment horizontal="center" vertical="center"/>
    </xf>
    <xf numFmtId="0" fontId="7" fillId="0" borderId="35" xfId="0" quotePrefix="1" applyFont="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30" fillId="0" borderId="0" xfId="0" applyFont="1" applyAlignment="1">
      <alignment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29" fillId="0" borderId="0" xfId="0" applyFont="1" applyAlignment="1">
      <alignment vertical="center"/>
    </xf>
    <xf numFmtId="0" fontId="7" fillId="7" borderId="27"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Font="1" applyFill="1" applyBorder="1" applyAlignment="1">
      <alignment horizontal="center" vertical="center"/>
    </xf>
    <xf numFmtId="0" fontId="11" fillId="5" borderId="1" xfId="0" applyFont="1" applyFill="1" applyBorder="1" applyAlignment="1">
      <alignment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31" fillId="0" borderId="0" xfId="0" applyFont="1" applyAlignment="1">
      <alignment vertical="center"/>
    </xf>
    <xf numFmtId="0" fontId="11" fillId="6" borderId="1" xfId="0" applyFont="1" applyFill="1" applyBorder="1" applyAlignment="1">
      <alignment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8" fillId="0" borderId="27" xfId="0" applyNumberFormat="1" applyFont="1" applyBorder="1" applyAlignment="1">
      <alignment horizontal="center" vertical="center"/>
    </xf>
    <xf numFmtId="0" fontId="28" fillId="0" borderId="28" xfId="0" applyFont="1" applyBorder="1" applyAlignment="1">
      <alignment horizontal="center" vertical="center"/>
    </xf>
    <xf numFmtId="0" fontId="22" fillId="0" borderId="28" xfId="0" applyFont="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Font="1" applyFill="1" applyBorder="1" applyAlignment="1">
      <alignment horizontal="center" vertical="center"/>
    </xf>
    <xf numFmtId="0" fontId="13" fillId="5" borderId="28" xfId="0" applyFont="1" applyFill="1" applyBorder="1" applyAlignment="1">
      <alignment horizontal="center" vertical="center"/>
    </xf>
    <xf numFmtId="0" fontId="13" fillId="0" borderId="8" xfId="0" applyFont="1" applyBorder="1" applyAlignment="1">
      <alignment vertical="center"/>
    </xf>
    <xf numFmtId="49" fontId="24" fillId="0" borderId="47" xfId="0" applyNumberFormat="1" applyFont="1" applyBorder="1" applyAlignment="1">
      <alignment horizontal="center" vertical="center"/>
    </xf>
    <xf numFmtId="0" fontId="24" fillId="0" borderId="49" xfId="0" applyFont="1" applyBorder="1" applyAlignment="1">
      <alignment horizontal="center" vertical="center"/>
    </xf>
    <xf numFmtId="0" fontId="13" fillId="0" borderId="49" xfId="0" applyFont="1" applyBorder="1" applyAlignment="1">
      <alignment horizontal="center" vertical="center"/>
    </xf>
    <xf numFmtId="49" fontId="7" fillId="0" borderId="49" xfId="0" applyNumberFormat="1" applyFont="1" applyBorder="1" applyAlignment="1">
      <alignment horizontal="center" vertical="center"/>
    </xf>
    <xf numFmtId="0" fontId="41" fillId="13" borderId="47" xfId="0" applyFont="1" applyFill="1" applyBorder="1" applyAlignment="1">
      <alignment horizontal="center" vertical="center"/>
    </xf>
    <xf numFmtId="0" fontId="7" fillId="0" borderId="3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9" fontId="7" fillId="0" borderId="27" xfId="2" applyFont="1" applyFill="1" applyBorder="1" applyAlignment="1">
      <alignment horizontal="center" vertical="center" shrinkToFit="1"/>
    </xf>
    <xf numFmtId="0" fontId="7" fillId="0" borderId="28" xfId="2" applyNumberFormat="1" applyFont="1" applyFill="1" applyBorder="1" applyAlignment="1">
      <alignment horizontal="center" vertical="center" shrinkToFit="1"/>
    </xf>
    <xf numFmtId="0" fontId="7" fillId="11" borderId="27" xfId="0" applyFont="1" applyFill="1" applyBorder="1" applyAlignment="1">
      <alignment horizontal="center" vertical="center" wrapText="1"/>
    </xf>
    <xf numFmtId="0" fontId="7" fillId="11" borderId="48" xfId="0" applyFont="1" applyFill="1" applyBorder="1" applyAlignment="1">
      <alignment horizontal="center" vertical="center" wrapText="1"/>
    </xf>
    <xf numFmtId="0" fontId="2" fillId="0" borderId="0" xfId="0" applyFont="1" applyAlignment="1">
      <alignment vertical="center"/>
    </xf>
    <xf numFmtId="0" fontId="4" fillId="0" borderId="5" xfId="0" applyFont="1" applyBorder="1" applyAlignment="1">
      <alignment horizontal="centerContinuous" vertical="center"/>
    </xf>
    <xf numFmtId="0" fontId="17" fillId="0" borderId="37" xfId="0" applyFont="1" applyBorder="1" applyAlignment="1">
      <alignment horizontal="center" vertical="center" shrinkToFit="1"/>
    </xf>
    <xf numFmtId="0" fontId="3" fillId="0" borderId="0" xfId="0" applyFont="1" applyAlignment="1">
      <alignment horizontal="centerContinuous" vertical="center"/>
    </xf>
    <xf numFmtId="0" fontId="5" fillId="0" borderId="0" xfId="0" applyFont="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46"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21" fillId="12" borderId="33" xfId="0" applyFont="1" applyFill="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12" borderId="21" xfId="0" applyFont="1" applyFill="1" applyBorder="1" applyAlignment="1">
      <alignment horizontal="centerContinuous" vertical="center"/>
    </xf>
    <xf numFmtId="0" fontId="21" fillId="12" borderId="72" xfId="0" applyFont="1" applyFill="1" applyBorder="1" applyAlignment="1">
      <alignment horizontal="centerContinuous" vertical="center"/>
    </xf>
    <xf numFmtId="0" fontId="21" fillId="12" borderId="51" xfId="0" applyFont="1" applyFill="1" applyBorder="1" applyAlignment="1">
      <alignment horizontal="centerContinuous" vertical="center"/>
    </xf>
    <xf numFmtId="0" fontId="2" fillId="0" borderId="74" xfId="0" quotePrefix="1" applyFont="1" applyBorder="1" applyAlignment="1">
      <alignment horizontal="center" vertical="center"/>
    </xf>
    <xf numFmtId="164" fontId="2" fillId="0" borderId="75" xfId="0" applyNumberFormat="1" applyFont="1" applyBorder="1" applyAlignment="1">
      <alignment horizontal="centerContinuous" vertical="center"/>
    </xf>
    <xf numFmtId="164" fontId="2" fillId="0" borderId="76" xfId="0" applyNumberFormat="1" applyFont="1" applyBorder="1" applyAlignment="1">
      <alignment horizontal="centerContinuous"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2" fillId="0" borderId="87" xfId="0" applyFont="1" applyBorder="1" applyAlignment="1">
      <alignment horizontal="centerContinuous" vertical="center"/>
    </xf>
    <xf numFmtId="0" fontId="5" fillId="0" borderId="88" xfId="0" applyFont="1" applyBorder="1" applyAlignment="1">
      <alignment horizontal="centerContinuous" vertical="center"/>
    </xf>
    <xf numFmtId="0" fontId="5" fillId="0" borderId="75" xfId="0" applyFont="1" applyBorder="1" applyAlignment="1">
      <alignment horizontal="centerContinuous" vertical="center"/>
    </xf>
    <xf numFmtId="49" fontId="2" fillId="0" borderId="75" xfId="0" applyNumberFormat="1" applyFont="1" applyBorder="1" applyAlignment="1">
      <alignment horizontal="center" vertical="center"/>
    </xf>
    <xf numFmtId="49" fontId="2" fillId="0" borderId="75" xfId="0" applyNumberFormat="1" applyFont="1" applyBorder="1" applyAlignment="1">
      <alignment horizontal="centerContinuous" vertical="center"/>
    </xf>
    <xf numFmtId="49" fontId="2" fillId="0" borderId="76" xfId="0" applyNumberFormat="1" applyFont="1" applyBorder="1" applyAlignment="1">
      <alignment horizontal="centerContinuous" vertical="center"/>
    </xf>
    <xf numFmtId="0" fontId="5" fillId="0" borderId="77" xfId="0" applyFont="1" applyBorder="1" applyAlignment="1">
      <alignment horizontal="centerContinuous" vertical="center"/>
    </xf>
    <xf numFmtId="0" fontId="2" fillId="0" borderId="89" xfId="0" applyFont="1" applyBorder="1" applyAlignment="1">
      <alignment horizontal="centerContinuous" vertical="center"/>
    </xf>
    <xf numFmtId="0" fontId="5" fillId="0" borderId="90" xfId="0" applyFont="1" applyBorder="1" applyAlignment="1">
      <alignment horizontal="centerContinuous" vertical="center"/>
    </xf>
    <xf numFmtId="0" fontId="5" fillId="0" borderId="81" xfId="0" applyFont="1" applyBorder="1" applyAlignment="1">
      <alignment horizontal="centerContinuous" vertical="center"/>
    </xf>
    <xf numFmtId="164" fontId="2" fillId="0" borderId="80" xfId="0" applyNumberFormat="1" applyFont="1" applyBorder="1" applyAlignment="1">
      <alignment horizontal="center" vertical="center"/>
    </xf>
    <xf numFmtId="49" fontId="2" fillId="0" borderId="81" xfId="0" applyNumberFormat="1" applyFont="1" applyBorder="1" applyAlignment="1">
      <alignment horizontal="center" vertical="center"/>
    </xf>
    <xf numFmtId="49" fontId="2" fillId="0" borderId="81" xfId="0" applyNumberFormat="1" applyFont="1" applyBorder="1" applyAlignment="1">
      <alignment horizontal="centerContinuous" vertical="center"/>
    </xf>
    <xf numFmtId="49" fontId="2" fillId="0" borderId="82" xfId="0" applyNumberFormat="1" applyFont="1" applyBorder="1" applyAlignment="1">
      <alignment horizontal="centerContinuous" vertical="center"/>
    </xf>
    <xf numFmtId="0" fontId="5" fillId="0" borderId="83" xfId="0" applyFont="1" applyBorder="1" applyAlignment="1">
      <alignment horizontal="centerContinuous" vertical="center"/>
    </xf>
    <xf numFmtId="0" fontId="48" fillId="0" borderId="0" xfId="0" applyFont="1" applyAlignment="1">
      <alignment horizontal="right" vertical="center"/>
    </xf>
    <xf numFmtId="0" fontId="21" fillId="12" borderId="93" xfId="0" applyFont="1" applyFill="1" applyBorder="1" applyAlignment="1">
      <alignment horizontal="center" vertical="center"/>
    </xf>
    <xf numFmtId="0" fontId="49" fillId="0" borderId="0" xfId="0" applyFont="1" applyAlignment="1">
      <alignment horizontal="center" vertical="center"/>
    </xf>
    <xf numFmtId="0" fontId="2" fillId="0" borderId="89" xfId="0" applyFont="1" applyBorder="1" applyAlignment="1">
      <alignment horizontal="centerContinuous" vertical="center" shrinkToFit="1"/>
    </xf>
    <xf numFmtId="0" fontId="2" fillId="0" borderId="45" xfId="0" applyFont="1" applyBorder="1" applyAlignment="1">
      <alignment horizontal="centerContinuous" vertical="center"/>
    </xf>
    <xf numFmtId="164" fontId="3" fillId="0" borderId="0" xfId="0" applyNumberFormat="1" applyFont="1" applyAlignment="1">
      <alignment horizont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164" fontId="5" fillId="0" borderId="46" xfId="0" applyNumberFormat="1" applyFont="1" applyBorder="1" applyAlignment="1">
      <alignment horizontal="center" vertical="center" shrinkToFit="1"/>
    </xf>
    <xf numFmtId="0" fontId="2" fillId="0" borderId="0" xfId="0" applyFont="1" applyAlignment="1">
      <alignment horizontal="center" vertical="center"/>
    </xf>
    <xf numFmtId="0" fontId="2" fillId="0" borderId="85"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5" fillId="0" borderId="85"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84" xfId="0" applyFont="1" applyBorder="1" applyAlignment="1">
      <alignment horizontal="center" vertical="center" shrinkToFit="1"/>
    </xf>
    <xf numFmtId="0" fontId="2" fillId="0" borderId="46"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2" fillId="0" borderId="44" xfId="0" applyFont="1" applyBorder="1" applyAlignment="1">
      <alignment horizontal="left" vertical="center"/>
    </xf>
    <xf numFmtId="0" fontId="5" fillId="0" borderId="86" xfId="0" applyFont="1" applyBorder="1" applyAlignment="1">
      <alignment horizontal="center" vertical="center" shrinkToFit="1"/>
    </xf>
    <xf numFmtId="0" fontId="5" fillId="0" borderId="44" xfId="0" applyFont="1" applyBorder="1" applyAlignment="1">
      <alignment horizontal="center" vertical="center" shrinkToFit="1"/>
    </xf>
    <xf numFmtId="0" fontId="2" fillId="0" borderId="42" xfId="0" applyFont="1" applyBorder="1" applyAlignment="1">
      <alignment horizontal="left" vertical="center"/>
    </xf>
    <xf numFmtId="0" fontId="2" fillId="0" borderId="94" xfId="0" applyFont="1" applyBorder="1" applyAlignment="1">
      <alignment horizontal="centerContinuous" vertical="center" shrinkToFit="1"/>
    </xf>
    <xf numFmtId="0" fontId="21" fillId="0" borderId="95" xfId="0" applyFont="1" applyBorder="1" applyAlignment="1">
      <alignment horizontal="centerContinuous" vertical="center"/>
    </xf>
    <xf numFmtId="0" fontId="21" fillId="0" borderId="96" xfId="0" applyFont="1" applyBorder="1" applyAlignment="1">
      <alignment horizontal="centerContinuous" vertical="center"/>
    </xf>
    <xf numFmtId="0" fontId="2" fillId="0" borderId="97" xfId="0" applyFont="1" applyBorder="1" applyAlignment="1">
      <alignment horizontal="center" vertical="center"/>
    </xf>
    <xf numFmtId="0" fontId="2" fillId="0" borderId="98" xfId="0" applyFont="1" applyBorder="1" applyAlignment="1">
      <alignment horizontal="centerContinuous" vertical="center"/>
    </xf>
    <xf numFmtId="0" fontId="21" fillId="0" borderId="82" xfId="0" applyFont="1" applyBorder="1" applyAlignment="1">
      <alignment horizontal="centerContinuous" vertical="center"/>
    </xf>
    <xf numFmtId="0" fontId="21" fillId="0" borderId="63" xfId="0" applyFont="1" applyBorder="1" applyAlignment="1">
      <alignment horizontal="centerContinuous" vertical="center"/>
    </xf>
    <xf numFmtId="0" fontId="2" fillId="0" borderId="44" xfId="0" applyFont="1" applyBorder="1" applyAlignment="1">
      <alignment horizontal="center" vertical="center"/>
    </xf>
    <xf numFmtId="1" fontId="5" fillId="0" borderId="0" xfId="0" applyNumberFormat="1" applyFont="1" applyAlignment="1">
      <alignment vertical="center"/>
    </xf>
    <xf numFmtId="1" fontId="21" fillId="3" borderId="33" xfId="0" applyNumberFormat="1" applyFont="1" applyFill="1" applyBorder="1" applyAlignment="1">
      <alignment horizontal="center" vertical="center"/>
    </xf>
    <xf numFmtId="1" fontId="2" fillId="14" borderId="50" xfId="0" applyNumberFormat="1" applyFont="1" applyFill="1" applyBorder="1" applyAlignment="1">
      <alignment horizontal="center" vertical="center" shrinkToFit="1"/>
    </xf>
    <xf numFmtId="1" fontId="3" fillId="0" borderId="0" xfId="0" applyNumberFormat="1" applyFont="1" applyAlignment="1">
      <alignment horizontal="centerContinuous" vertical="center" shrinkToFit="1"/>
    </xf>
    <xf numFmtId="1" fontId="2" fillId="0" borderId="57"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0" xfId="0" quotePrefix="1" applyFont="1" applyBorder="1" applyAlignment="1">
      <alignment horizontal="center" vertical="center"/>
    </xf>
    <xf numFmtId="9" fontId="2" fillId="0" borderId="80" xfId="0" applyNumberFormat="1" applyFont="1" applyBorder="1" applyAlignment="1">
      <alignment horizontal="center" vertical="center"/>
    </xf>
    <xf numFmtId="49" fontId="7" fillId="15" borderId="28" xfId="0" applyNumberFormat="1" applyFont="1" applyFill="1" applyBorder="1" applyAlignment="1">
      <alignment horizontal="center" vertical="center"/>
    </xf>
    <xf numFmtId="0" fontId="7" fillId="15" borderId="29" xfId="0" applyFont="1" applyFill="1" applyBorder="1" applyAlignment="1">
      <alignment horizontal="center" vertical="center"/>
    </xf>
    <xf numFmtId="0" fontId="14" fillId="15" borderId="1" xfId="0" applyFont="1" applyFill="1" applyBorder="1" applyAlignment="1">
      <alignment vertical="center"/>
    </xf>
    <xf numFmtId="49" fontId="23" fillId="15" borderId="27" xfId="0" applyNumberFormat="1" applyFont="1" applyFill="1" applyBorder="1" applyAlignment="1">
      <alignment horizontal="center" vertical="center"/>
    </xf>
    <xf numFmtId="0" fontId="23" fillId="15" borderId="28" xfId="0" applyFont="1" applyFill="1" applyBorder="1" applyAlignment="1">
      <alignment horizontal="center" vertical="center"/>
    </xf>
    <xf numFmtId="0" fontId="14" fillId="15" borderId="28" xfId="0" applyFont="1" applyFill="1" applyBorder="1" applyAlignment="1">
      <alignment horizontal="center" vertical="center"/>
    </xf>
    <xf numFmtId="0" fontId="22" fillId="15" borderId="1" xfId="0" applyFont="1" applyFill="1" applyBorder="1" applyAlignment="1">
      <alignment vertical="center"/>
    </xf>
    <xf numFmtId="49" fontId="28" fillId="15" borderId="27" xfId="0" applyNumberFormat="1" applyFont="1" applyFill="1" applyBorder="1" applyAlignment="1">
      <alignment horizontal="center" vertical="center"/>
    </xf>
    <xf numFmtId="0" fontId="28" fillId="15" borderId="28" xfId="0" applyFont="1" applyFill="1" applyBorder="1" applyAlignment="1">
      <alignment horizontal="center" vertical="center"/>
    </xf>
    <xf numFmtId="0" fontId="22" fillId="15" borderId="28" xfId="0" applyFont="1" applyFill="1" applyBorder="1" applyAlignment="1">
      <alignment horizontal="center" vertical="center"/>
    </xf>
    <xf numFmtId="164" fontId="5" fillId="0" borderId="97" xfId="0" applyNumberFormat="1" applyFont="1" applyBorder="1" applyAlignment="1">
      <alignment horizontal="center" vertical="center" shrinkToFit="1"/>
    </xf>
    <xf numFmtId="0" fontId="5" fillId="0" borderId="97" xfId="0" applyFont="1" applyBorder="1" applyAlignment="1">
      <alignment horizontal="left" vertical="center"/>
    </xf>
    <xf numFmtId="0" fontId="5" fillId="0" borderId="98" xfId="0" applyFont="1" applyBorder="1" applyAlignment="1">
      <alignment horizontal="left" vertical="center" shrinkToFit="1"/>
    </xf>
    <xf numFmtId="0" fontId="2" fillId="0" borderId="4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5" xfId="0" applyFont="1" applyBorder="1" applyAlignment="1">
      <alignment horizontal="center" vertical="center" wrapText="1"/>
    </xf>
    <xf numFmtId="49" fontId="7" fillId="17" borderId="28" xfId="0" applyNumberFormat="1" applyFont="1" applyFill="1" applyBorder="1" applyAlignment="1">
      <alignment horizontal="center" vertical="center"/>
    </xf>
    <xf numFmtId="0" fontId="7" fillId="17" borderId="29" xfId="0" applyFont="1" applyFill="1" applyBorder="1" applyAlignment="1">
      <alignment horizontal="center" vertical="center"/>
    </xf>
    <xf numFmtId="165"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center"/>
    </xf>
    <xf numFmtId="0" fontId="6" fillId="4" borderId="11" xfId="0" applyFont="1" applyFill="1" applyBorder="1" applyAlignment="1">
      <alignment horizontal="right" vertical="center"/>
    </xf>
    <xf numFmtId="0" fontId="26" fillId="0" borderId="26" xfId="0" applyFont="1" applyBorder="1" applyAlignment="1">
      <alignment horizontal="center" vertical="center"/>
    </xf>
    <xf numFmtId="1" fontId="2" fillId="0" borderId="50" xfId="0" applyNumberFormat="1" applyFont="1" applyBorder="1" applyAlignment="1">
      <alignment horizontal="center" vertical="center"/>
    </xf>
    <xf numFmtId="1" fontId="21" fillId="12" borderId="33" xfId="0" applyNumberFormat="1" applyFont="1" applyFill="1" applyBorder="1" applyAlignment="1">
      <alignment horizontal="center" vertical="center"/>
    </xf>
    <xf numFmtId="1" fontId="2" fillId="0" borderId="92" xfId="0" applyNumberFormat="1" applyFont="1" applyBorder="1" applyAlignment="1">
      <alignment horizontal="center" vertical="center"/>
    </xf>
    <xf numFmtId="1" fontId="2" fillId="0" borderId="99" xfId="0" applyNumberFormat="1" applyFont="1" applyBorder="1" applyAlignment="1">
      <alignment horizontal="center" vertical="center"/>
    </xf>
    <xf numFmtId="1" fontId="2" fillId="0" borderId="55" xfId="0" applyNumberFormat="1" applyFont="1" applyBorder="1" applyAlignment="1">
      <alignment horizontal="center" vertical="center"/>
    </xf>
    <xf numFmtId="1" fontId="2" fillId="9" borderId="50" xfId="0" applyNumberFormat="1" applyFont="1" applyFill="1" applyBorder="1" applyAlignment="1">
      <alignment horizontal="center" vertical="center"/>
    </xf>
    <xf numFmtId="0" fontId="2" fillId="18" borderId="15" xfId="0" applyFont="1" applyFill="1" applyBorder="1" applyAlignment="1">
      <alignment horizontal="center" vertical="center"/>
    </xf>
    <xf numFmtId="0" fontId="2" fillId="18" borderId="47" xfId="0" applyFont="1" applyFill="1" applyBorder="1" applyAlignment="1">
      <alignment horizontal="center" vertical="center"/>
    </xf>
    <xf numFmtId="49" fontId="2" fillId="18" borderId="47" xfId="0" applyNumberFormat="1" applyFont="1" applyFill="1" applyBorder="1" applyAlignment="1">
      <alignment horizontal="center" vertical="center"/>
    </xf>
    <xf numFmtId="164" fontId="2" fillId="18" borderId="47" xfId="0" applyNumberFormat="1" applyFont="1" applyFill="1" applyBorder="1" applyAlignment="1">
      <alignment horizontal="center" vertical="center"/>
    </xf>
    <xf numFmtId="0" fontId="5" fillId="18" borderId="36" xfId="0" applyFont="1" applyFill="1" applyBorder="1" applyAlignment="1">
      <alignment horizontal="center" vertical="center"/>
    </xf>
    <xf numFmtId="0" fontId="7" fillId="0" borderId="14" xfId="0" applyFont="1" applyBorder="1" applyAlignment="1">
      <alignment horizontal="center" vertical="center"/>
    </xf>
    <xf numFmtId="0" fontId="7" fillId="11" borderId="1" xfId="0" applyFont="1" applyFill="1" applyBorder="1" applyAlignment="1">
      <alignment horizontal="center" vertical="center" shrinkToFit="1"/>
    </xf>
    <xf numFmtId="0" fontId="7" fillId="11" borderId="34" xfId="0" applyFont="1" applyFill="1" applyBorder="1" applyAlignment="1">
      <alignment horizontal="center" vertical="center" shrinkToFit="1"/>
    </xf>
    <xf numFmtId="49" fontId="16" fillId="0" borderId="0" xfId="0" applyNumberFormat="1" applyFont="1" applyAlignment="1">
      <alignment vertical="center"/>
    </xf>
    <xf numFmtId="1" fontId="7" fillId="0" borderId="26" xfId="0" applyNumberFormat="1" applyFont="1" applyBorder="1" applyAlignment="1">
      <alignment horizontal="centerContinuous" vertical="center"/>
    </xf>
    <xf numFmtId="1" fontId="7" fillId="0" borderId="100" xfId="0" applyNumberFormat="1" applyFont="1" applyBorder="1" applyAlignment="1">
      <alignment horizontal="centerContinuous"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49" fontId="2" fillId="0" borderId="109" xfId="0" applyNumberFormat="1" applyFont="1" applyBorder="1" applyAlignment="1">
      <alignment horizontal="center" vertical="center"/>
    </xf>
    <xf numFmtId="164" fontId="2" fillId="0" borderId="109" xfId="0" applyNumberFormat="1" applyFont="1" applyBorder="1" applyAlignment="1">
      <alignment horizontal="center" vertical="center"/>
    </xf>
    <xf numFmtId="0" fontId="6" fillId="4" borderId="32" xfId="0" applyFont="1" applyFill="1" applyBorder="1" applyAlignment="1">
      <alignment horizontal="right" vertical="center"/>
    </xf>
    <xf numFmtId="164" fontId="2" fillId="0" borderId="97" xfId="0" applyNumberFormat="1" applyFont="1" applyBorder="1" applyAlignment="1">
      <alignment horizontal="center" vertical="center" shrinkToFit="1"/>
    </xf>
    <xf numFmtId="0" fontId="2" fillId="0" borderId="98" xfId="0" applyFont="1" applyBorder="1" applyAlignment="1">
      <alignment horizontal="left" vertical="center" shrinkToFit="1"/>
    </xf>
    <xf numFmtId="49" fontId="2" fillId="0" borderId="74" xfId="0" quotePrefix="1" applyNumberFormat="1" applyFont="1" applyBorder="1" applyAlignment="1">
      <alignment horizontal="center" vertical="center"/>
    </xf>
    <xf numFmtId="49" fontId="17" fillId="0" borderId="35" xfId="0" applyNumberFormat="1" applyFont="1" applyBorder="1" applyAlignment="1">
      <alignment horizontal="center" shrinkToFit="1"/>
    </xf>
    <xf numFmtId="0" fontId="58" fillId="0" borderId="0" xfId="0" applyFont="1" applyAlignment="1">
      <alignment vertical="center"/>
    </xf>
    <xf numFmtId="164" fontId="2" fillId="0" borderId="42" xfId="0" applyNumberFormat="1"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left" vertical="center" shrinkToFit="1"/>
    </xf>
    <xf numFmtId="0" fontId="11" fillId="17" borderId="1" xfId="0" applyFont="1" applyFill="1" applyBorder="1" applyAlignment="1">
      <alignment vertical="center"/>
    </xf>
    <xf numFmtId="49" fontId="17" fillId="17" borderId="27" xfId="0" applyNumberFormat="1" applyFont="1" applyFill="1" applyBorder="1" applyAlignment="1">
      <alignment horizontal="center" vertical="center"/>
    </xf>
    <xf numFmtId="0" fontId="17" fillId="17" borderId="28" xfId="0" applyFont="1" applyFill="1" applyBorder="1" applyAlignment="1">
      <alignment horizontal="center" vertical="center"/>
    </xf>
    <xf numFmtId="0" fontId="11" fillId="17" borderId="28" xfId="0" applyFont="1" applyFill="1" applyBorder="1" applyAlignment="1">
      <alignment horizontal="center" vertical="center"/>
    </xf>
    <xf numFmtId="0" fontId="7" fillId="17" borderId="29" xfId="0" quotePrefix="1" applyFont="1" applyFill="1" applyBorder="1" applyAlignment="1">
      <alignment horizontal="center" vertical="center"/>
    </xf>
    <xf numFmtId="0" fontId="59" fillId="0" borderId="25" xfId="0" applyFont="1" applyBorder="1" applyAlignment="1">
      <alignment horizontal="centerContinuous" vertical="center"/>
    </xf>
    <xf numFmtId="0" fontId="12" fillId="20" borderId="22" xfId="0" applyFont="1" applyFill="1" applyBorder="1" applyAlignment="1">
      <alignment horizontal="centerContinuous" vertical="center"/>
    </xf>
    <xf numFmtId="0" fontId="12" fillId="20" borderId="23" xfId="0" applyFont="1" applyFill="1" applyBorder="1" applyAlignment="1">
      <alignment horizontal="center" vertical="center"/>
    </xf>
    <xf numFmtId="0" fontId="21" fillId="20" borderId="23" xfId="0" applyFont="1" applyFill="1" applyBorder="1" applyAlignment="1">
      <alignment horizontal="center" vertical="center"/>
    </xf>
    <xf numFmtId="0" fontId="12" fillId="20" borderId="24" xfId="0" applyFont="1" applyFill="1" applyBorder="1" applyAlignment="1">
      <alignment horizontal="centerContinuous" vertical="center"/>
    </xf>
    <xf numFmtId="0" fontId="7" fillId="0" borderId="48" xfId="0" applyFont="1" applyBorder="1" applyAlignment="1">
      <alignment horizontal="center" vertical="center" wrapText="1"/>
    </xf>
    <xf numFmtId="3" fontId="7" fillId="0" borderId="12" xfId="0" applyNumberFormat="1" applyFont="1" applyBorder="1" applyAlignment="1">
      <alignment horizontal="center" vertical="center"/>
    </xf>
    <xf numFmtId="0" fontId="13" fillId="9" borderId="1" xfId="0" applyFont="1" applyFill="1" applyBorder="1" applyAlignment="1">
      <alignment vertical="center"/>
    </xf>
    <xf numFmtId="49" fontId="24" fillId="9" borderId="27" xfId="0" applyNumberFormat="1" applyFont="1" applyFill="1" applyBorder="1" applyAlignment="1">
      <alignment horizontal="center" vertical="center"/>
    </xf>
    <xf numFmtId="0" fontId="24" fillId="9" borderId="28" xfId="0" applyFont="1" applyFill="1" applyBorder="1" applyAlignment="1">
      <alignment horizontal="center" vertical="center"/>
    </xf>
    <xf numFmtId="0" fontId="13" fillId="9" borderId="28"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applyFont="1" applyFill="1" applyBorder="1" applyAlignment="1">
      <alignment horizontal="center" vertical="center"/>
    </xf>
    <xf numFmtId="0" fontId="2" fillId="0" borderId="0" xfId="0" applyFont="1" applyAlignment="1">
      <alignment horizontal="center" vertical="center" shrinkToFit="1"/>
    </xf>
    <xf numFmtId="0" fontId="60" fillId="0" borderId="0" xfId="0" applyFont="1" applyAlignment="1">
      <alignment vertical="center"/>
    </xf>
    <xf numFmtId="0" fontId="2" fillId="0" borderId="0" xfId="0" applyFont="1" applyAlignment="1">
      <alignment horizontal="left" vertical="center" shrinkToFit="1"/>
    </xf>
    <xf numFmtId="164" fontId="21" fillId="3" borderId="33" xfId="0" applyNumberFormat="1" applyFont="1" applyFill="1" applyBorder="1" applyAlignment="1">
      <alignment horizontal="center" vertical="center"/>
    </xf>
    <xf numFmtId="1" fontId="2" fillId="0" borderId="42" xfId="0" applyNumberFormat="1" applyFont="1" applyBorder="1" applyAlignment="1">
      <alignment horizontal="center" vertical="center" shrinkToFit="1"/>
    </xf>
    <xf numFmtId="0" fontId="2" fillId="0" borderId="112" xfId="0" applyFont="1" applyBorder="1" applyAlignment="1">
      <alignment horizontal="left" vertical="center"/>
    </xf>
    <xf numFmtId="1" fontId="2" fillId="0" borderId="37" xfId="0" applyNumberFormat="1" applyFont="1" applyBorder="1" applyAlignment="1">
      <alignment horizontal="center"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0" fontId="3" fillId="0" borderId="0" xfId="0" applyFont="1"/>
    <xf numFmtId="1" fontId="2" fillId="0" borderId="0" xfId="0" applyNumberFormat="1" applyFont="1" applyAlignment="1">
      <alignment horizontal="center" vertical="center" shrinkToFit="1"/>
    </xf>
    <xf numFmtId="0" fontId="2" fillId="0" borderId="94" xfId="0" applyFont="1" applyBorder="1" applyAlignment="1">
      <alignment horizontal="center" vertical="center" shrinkToFit="1"/>
    </xf>
    <xf numFmtId="1" fontId="2" fillId="0" borderId="97" xfId="0" applyNumberFormat="1" applyFont="1" applyBorder="1" applyAlignment="1">
      <alignment horizontal="center" vertical="center" shrinkToFit="1"/>
    </xf>
    <xf numFmtId="0" fontId="2" fillId="0" borderId="114" xfId="0" applyFont="1" applyBorder="1" applyAlignment="1">
      <alignment horizontal="left" vertical="center"/>
    </xf>
    <xf numFmtId="1" fontId="2" fillId="0" borderId="99" xfId="0" applyNumberFormat="1" applyFont="1" applyBorder="1" applyAlignment="1">
      <alignment horizontal="center" vertical="center" shrinkToFit="1"/>
    </xf>
    <xf numFmtId="2" fontId="2" fillId="0" borderId="37" xfId="0" applyNumberFormat="1" applyFont="1" applyBorder="1" applyAlignment="1">
      <alignment horizontal="center" vertical="center" shrinkToFit="1"/>
    </xf>
    <xf numFmtId="164" fontId="2" fillId="0" borderId="27" xfId="0" applyNumberFormat="1" applyFont="1" applyBorder="1" applyAlignment="1">
      <alignment horizontal="center" vertical="center"/>
    </xf>
    <xf numFmtId="1" fontId="2" fillId="0" borderId="110" xfId="0" applyNumberFormat="1" applyFont="1" applyBorder="1" applyAlignment="1">
      <alignment horizontal="center" vertical="center"/>
    </xf>
    <xf numFmtId="0" fontId="61" fillId="2" borderId="65" xfId="0" applyFont="1" applyFill="1" applyBorder="1" applyAlignment="1">
      <alignment horizontal="center" vertical="center"/>
    </xf>
    <xf numFmtId="0" fontId="13" fillId="17" borderId="1" xfId="0" applyFont="1" applyFill="1" applyBorder="1" applyAlignment="1">
      <alignment vertical="center"/>
    </xf>
    <xf numFmtId="49" fontId="24" fillId="17" borderId="27" xfId="0" applyNumberFormat="1" applyFont="1" applyFill="1" applyBorder="1" applyAlignment="1">
      <alignment horizontal="center" vertical="center"/>
    </xf>
    <xf numFmtId="0" fontId="24" fillId="17" borderId="28" xfId="0" applyFont="1" applyFill="1" applyBorder="1" applyAlignment="1">
      <alignment horizontal="center" vertical="center"/>
    </xf>
    <xf numFmtId="0" fontId="13" fillId="17" borderId="28" xfId="0" applyFont="1" applyFill="1" applyBorder="1" applyAlignment="1">
      <alignment horizontal="center" vertical="center"/>
    </xf>
    <xf numFmtId="0" fontId="50" fillId="0" borderId="50" xfId="0" quotePrefix="1" applyFont="1" applyBorder="1" applyAlignment="1">
      <alignment horizontal="center" vertical="center" shrinkToFit="1"/>
    </xf>
    <xf numFmtId="0" fontId="7" fillId="17" borderId="28" xfId="0" applyFont="1" applyFill="1" applyBorder="1" applyAlignment="1">
      <alignment horizontal="center" vertical="center"/>
    </xf>
    <xf numFmtId="0" fontId="7" fillId="15" borderId="28" xfId="0" applyFont="1" applyFill="1" applyBorder="1" applyAlignment="1">
      <alignment horizontal="center" vertical="center"/>
    </xf>
    <xf numFmtId="0" fontId="11" fillId="18" borderId="1" xfId="0" applyFont="1" applyFill="1" applyBorder="1" applyAlignment="1">
      <alignment vertical="center"/>
    </xf>
    <xf numFmtId="0" fontId="7" fillId="18" borderId="27" xfId="0" applyFont="1" applyFill="1" applyBorder="1" applyAlignment="1">
      <alignment horizontal="center" vertical="center"/>
    </xf>
    <xf numFmtId="49" fontId="17" fillId="18" borderId="27" xfId="0" applyNumberFormat="1" applyFont="1" applyFill="1" applyBorder="1" applyAlignment="1">
      <alignment horizontal="center" vertical="center"/>
    </xf>
    <xf numFmtId="0" fontId="17" fillId="18" borderId="28" xfId="0" applyFont="1" applyFill="1" applyBorder="1" applyAlignment="1">
      <alignment horizontal="center" vertical="center"/>
    </xf>
    <xf numFmtId="0" fontId="11" fillId="18" borderId="28" xfId="0" applyFont="1" applyFill="1" applyBorder="1" applyAlignment="1">
      <alignment horizontal="center" vertical="center"/>
    </xf>
    <xf numFmtId="0" fontId="7" fillId="21" borderId="28" xfId="0" applyFont="1" applyFill="1" applyBorder="1" applyAlignment="1">
      <alignment horizontal="center" vertical="center"/>
    </xf>
    <xf numFmtId="49" fontId="7" fillId="18" borderId="28" xfId="0" applyNumberFormat="1" applyFont="1" applyFill="1" applyBorder="1" applyAlignment="1">
      <alignment horizontal="center" vertical="center"/>
    </xf>
    <xf numFmtId="164" fontId="5" fillId="0" borderId="109" xfId="0" applyNumberFormat="1" applyFont="1" applyBorder="1" applyAlignment="1">
      <alignment horizontal="center" vertical="center"/>
    </xf>
    <xf numFmtId="1" fontId="47" fillId="13" borderId="109" xfId="0" applyNumberFormat="1" applyFont="1" applyFill="1" applyBorder="1" applyAlignment="1">
      <alignment horizontal="center" vertical="center"/>
    </xf>
    <xf numFmtId="1" fontId="5" fillId="0" borderId="109" xfId="0" applyNumberFormat="1" applyFont="1" applyBorder="1" applyAlignment="1">
      <alignment horizontal="center" vertical="center"/>
    </xf>
    <xf numFmtId="1" fontId="47" fillId="13" borderId="115" xfId="0" applyNumberFormat="1" applyFont="1" applyFill="1" applyBorder="1" applyAlignment="1">
      <alignment horizontal="center" vertical="center"/>
    </xf>
    <xf numFmtId="1" fontId="2" fillId="18" borderId="47" xfId="0" applyNumberFormat="1" applyFont="1" applyFill="1" applyBorder="1" applyAlignment="1">
      <alignment horizontal="center" vertical="center"/>
    </xf>
    <xf numFmtId="1" fontId="47" fillId="13" borderId="47" xfId="0" applyNumberFormat="1" applyFont="1" applyFill="1" applyBorder="1" applyAlignment="1">
      <alignment horizontal="center" vertical="center"/>
    </xf>
    <xf numFmtId="0" fontId="2" fillId="0" borderId="1" xfId="0" applyFont="1" applyBorder="1" applyAlignment="1">
      <alignment horizontal="centerContinuous" vertical="center"/>
    </xf>
    <xf numFmtId="0" fontId="5" fillId="0" borderId="116" xfId="0" applyFont="1" applyBorder="1" applyAlignment="1">
      <alignment horizontal="centerContinuous" vertical="center"/>
    </xf>
    <xf numFmtId="0" fontId="5" fillId="0" borderId="28" xfId="0" applyFont="1" applyBorder="1" applyAlignment="1">
      <alignment horizontal="centerContinuous" vertical="center"/>
    </xf>
    <xf numFmtId="49" fontId="2" fillId="0" borderId="28" xfId="0" applyNumberFormat="1" applyFont="1" applyBorder="1" applyAlignment="1">
      <alignment horizontal="center" vertical="center"/>
    </xf>
    <xf numFmtId="49" fontId="2" fillId="0" borderId="28" xfId="0" applyNumberFormat="1" applyFont="1" applyBorder="1" applyAlignment="1">
      <alignment horizontal="centerContinuous" vertical="center"/>
    </xf>
    <xf numFmtId="49" fontId="2" fillId="0" borderId="0" xfId="0" applyNumberFormat="1" applyFont="1" applyAlignment="1">
      <alignment horizontal="centerContinuous" vertical="center"/>
    </xf>
    <xf numFmtId="0" fontId="5" fillId="0" borderId="2" xfId="0" applyFont="1" applyBorder="1" applyAlignment="1">
      <alignment horizontal="centerContinuous" vertical="center"/>
    </xf>
    <xf numFmtId="0" fontId="2" fillId="0" borderId="111" xfId="0" applyFont="1" applyBorder="1" applyAlignment="1">
      <alignment horizontal="center" vertical="center"/>
    </xf>
    <xf numFmtId="0" fontId="6" fillId="0" borderId="30" xfId="0" applyFont="1" applyBorder="1" applyAlignment="1">
      <alignment horizontal="center" vertical="center"/>
    </xf>
    <xf numFmtId="9" fontId="7" fillId="11" borderId="27" xfId="3" applyFont="1" applyFill="1" applyBorder="1" applyAlignment="1">
      <alignment horizontal="center" vertical="center" shrinkToFit="1"/>
    </xf>
    <xf numFmtId="9" fontId="7" fillId="0" borderId="48" xfId="2" applyFont="1" applyFill="1" applyBorder="1" applyAlignment="1">
      <alignment horizontal="center" vertical="center" shrinkToFit="1"/>
    </xf>
    <xf numFmtId="9" fontId="7" fillId="11" borderId="28" xfId="3"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11" borderId="28" xfId="0" applyFont="1" applyFill="1" applyBorder="1" applyAlignment="1">
      <alignment horizontal="center" vertical="center" shrinkToFit="1"/>
    </xf>
    <xf numFmtId="0" fontId="7" fillId="0" borderId="14" xfId="0" applyFont="1" applyBorder="1" applyAlignment="1">
      <alignment horizontal="center" vertical="center" shrinkToFit="1"/>
    </xf>
    <xf numFmtId="0" fontId="7" fillId="11" borderId="28" xfId="3" applyNumberFormat="1" applyFont="1" applyFill="1" applyBorder="1" applyAlignment="1">
      <alignment horizontal="center" vertical="center" shrinkToFit="1"/>
    </xf>
    <xf numFmtId="0" fontId="7" fillId="15" borderId="27" xfId="0" applyFont="1" applyFill="1" applyBorder="1" applyAlignment="1">
      <alignment horizontal="center" vertical="center"/>
    </xf>
    <xf numFmtId="0" fontId="7" fillId="17" borderId="27" xfId="0" applyFont="1" applyFill="1" applyBorder="1" applyAlignment="1">
      <alignment horizontal="center" vertical="center"/>
    </xf>
    <xf numFmtId="0" fontId="7" fillId="5" borderId="27" xfId="0" applyFont="1" applyFill="1" applyBorder="1" applyAlignment="1">
      <alignment horizontal="center" vertical="center"/>
    </xf>
    <xf numFmtId="0" fontId="7" fillId="6" borderId="27" xfId="0" applyFont="1" applyFill="1" applyBorder="1" applyAlignment="1">
      <alignment horizontal="center" vertical="center"/>
    </xf>
    <xf numFmtId="0" fontId="7" fillId="9" borderId="27" xfId="0" applyFont="1" applyFill="1" applyBorder="1" applyAlignment="1">
      <alignment horizontal="center" vertical="center"/>
    </xf>
    <xf numFmtId="0" fontId="7" fillId="0" borderId="47" xfId="0" applyFont="1" applyBorder="1" applyAlignment="1">
      <alignment horizontal="center" vertical="center"/>
    </xf>
    <xf numFmtId="0" fontId="2" fillId="0" borderId="73" xfId="0" applyFont="1" applyBorder="1" applyAlignment="1">
      <alignment horizontal="center" vertical="center"/>
    </xf>
    <xf numFmtId="0" fontId="2" fillId="0" borderId="74" xfId="0" quotePrefix="1" applyFont="1" applyBorder="1" applyAlignment="1">
      <alignment horizontal="center" vertical="center" wrapText="1"/>
    </xf>
    <xf numFmtId="49" fontId="2" fillId="0" borderId="117" xfId="2" applyNumberFormat="1" applyFont="1" applyFill="1" applyBorder="1" applyAlignment="1">
      <alignment horizontal="center" vertical="center"/>
    </xf>
    <xf numFmtId="164" fontId="5" fillId="0" borderId="75" xfId="0" applyNumberFormat="1" applyFont="1" applyBorder="1" applyAlignment="1">
      <alignment horizontal="center" vertical="center"/>
    </xf>
    <xf numFmtId="164" fontId="5" fillId="0" borderId="118" xfId="0" applyNumberFormat="1" applyFont="1" applyBorder="1" applyAlignment="1">
      <alignment horizontal="center" vertical="center"/>
    </xf>
    <xf numFmtId="0" fontId="5" fillId="0" borderId="80" xfId="0" quotePrefix="1" applyFont="1" applyBorder="1" applyAlignment="1">
      <alignment horizontal="center" vertical="center" wrapText="1"/>
    </xf>
    <xf numFmtId="49" fontId="2" fillId="0" borderId="80" xfId="2" applyNumberFormat="1" applyFont="1" applyBorder="1" applyAlignment="1">
      <alignment horizontal="center" vertical="center"/>
    </xf>
    <xf numFmtId="0" fontId="2" fillId="0" borderId="80" xfId="0" applyFont="1" applyBorder="1" applyAlignment="1">
      <alignment horizontal="center" vertical="center" shrinkToFit="1"/>
    </xf>
    <xf numFmtId="164" fontId="2" fillId="0" borderId="81" xfId="0" applyNumberFormat="1" applyFont="1" applyBorder="1" applyAlignment="1">
      <alignment horizontal="center" vertical="center"/>
    </xf>
    <xf numFmtId="1" fontId="7" fillId="0" borderId="70" xfId="0" applyNumberFormat="1" applyFont="1" applyBorder="1" applyAlignment="1">
      <alignment horizontal="centerContinuous" vertical="center"/>
    </xf>
    <xf numFmtId="0" fontId="2" fillId="0" borderId="71" xfId="0" applyFont="1" applyBorder="1" applyAlignment="1">
      <alignment horizontal="centerContinuous" vertical="center"/>
    </xf>
    <xf numFmtId="0" fontId="62" fillId="2" borderId="64" xfId="0" applyFont="1" applyFill="1" applyBorder="1" applyAlignment="1">
      <alignment horizontal="right" vertical="center"/>
    </xf>
    <xf numFmtId="0" fontId="62" fillId="2" borderId="65" xfId="0" applyFont="1" applyFill="1" applyBorder="1" applyAlignment="1">
      <alignment horizontal="left" vertical="center"/>
    </xf>
    <xf numFmtId="9" fontId="7" fillId="0" borderId="27" xfId="8" applyFont="1" applyFill="1" applyBorder="1" applyAlignment="1">
      <alignment horizontal="center" vertical="center" shrinkToFit="1"/>
    </xf>
    <xf numFmtId="0" fontId="7" fillId="9" borderId="1" xfId="0" applyFont="1" applyFill="1" applyBorder="1" applyAlignment="1">
      <alignment horizontal="center" vertical="center" shrinkToFit="1"/>
    </xf>
    <xf numFmtId="0" fontId="7" fillId="9" borderId="27" xfId="0" applyFont="1" applyFill="1" applyBorder="1" applyAlignment="1">
      <alignment horizontal="center" vertical="center" wrapText="1"/>
    </xf>
    <xf numFmtId="9" fontId="7" fillId="9" borderId="27" xfId="2" applyFont="1" applyFill="1" applyBorder="1" applyAlignment="1">
      <alignment horizontal="center" vertical="center" shrinkToFit="1"/>
    </xf>
    <xf numFmtId="9" fontId="7" fillId="9" borderId="28" xfId="2" applyFont="1" applyFill="1" applyBorder="1" applyAlignment="1">
      <alignment horizontal="center" vertical="center" shrinkToFit="1"/>
    </xf>
    <xf numFmtId="0" fontId="7" fillId="9" borderId="28" xfId="0" applyFont="1" applyFill="1" applyBorder="1" applyAlignment="1">
      <alignment horizontal="center" vertical="center" shrinkToFit="1"/>
    </xf>
    <xf numFmtId="0" fontId="7" fillId="9" borderId="28" xfId="2" applyNumberFormat="1" applyFont="1" applyFill="1" applyBorder="1" applyAlignment="1">
      <alignment horizontal="center" vertical="center" shrinkToFit="1"/>
    </xf>
    <xf numFmtId="0" fontId="7" fillId="9" borderId="29" xfId="0" applyFont="1" applyFill="1" applyBorder="1" applyAlignment="1">
      <alignment horizontal="center" vertical="center" wrapText="1"/>
    </xf>
    <xf numFmtId="0" fontId="7" fillId="9" borderId="8" xfId="0" applyFont="1" applyFill="1" applyBorder="1" applyAlignment="1">
      <alignment horizontal="center" vertical="center" shrinkToFit="1"/>
    </xf>
    <xf numFmtId="0" fontId="7" fillId="9" borderId="47" xfId="0" applyFont="1" applyFill="1" applyBorder="1" applyAlignment="1">
      <alignment horizontal="center" vertical="center" wrapText="1"/>
    </xf>
    <xf numFmtId="9" fontId="7" fillId="9" borderId="47" xfId="2" applyFont="1" applyFill="1" applyBorder="1" applyAlignment="1">
      <alignment horizontal="center" vertical="center" shrinkToFit="1"/>
    </xf>
    <xf numFmtId="9" fontId="7" fillId="9" borderId="49" xfId="2" applyFont="1" applyFill="1" applyBorder="1" applyAlignment="1">
      <alignment horizontal="center" vertical="center" shrinkToFit="1"/>
    </xf>
    <xf numFmtId="0" fontId="7" fillId="9" borderId="49" xfId="0" applyFont="1" applyFill="1" applyBorder="1" applyAlignment="1">
      <alignment horizontal="center" vertical="center" shrinkToFit="1"/>
    </xf>
    <xf numFmtId="0" fontId="7" fillId="9" borderId="49" xfId="2" applyNumberFormat="1" applyFont="1" applyFill="1" applyBorder="1" applyAlignment="1">
      <alignment horizontal="center" vertical="center" shrinkToFit="1"/>
    </xf>
    <xf numFmtId="0" fontId="7" fillId="9" borderId="36" xfId="0" applyFont="1" applyFill="1" applyBorder="1" applyAlignment="1">
      <alignment horizontal="center" vertical="center" wrapText="1"/>
    </xf>
    <xf numFmtId="0" fontId="7" fillId="0" borderId="26" xfId="0" quotePrefix="1" applyFont="1" applyBorder="1" applyAlignment="1">
      <alignment horizontal="center" vertical="center"/>
    </xf>
    <xf numFmtId="0" fontId="50" fillId="0" borderId="0" xfId="0" quotePrefix="1" applyFont="1" applyAlignment="1">
      <alignment horizontal="center" vertical="center" shrinkToFit="1"/>
    </xf>
    <xf numFmtId="0" fontId="17" fillId="0" borderId="0" xfId="0" applyFont="1" applyAlignment="1">
      <alignment horizontal="center" vertical="center" shrinkToFit="1"/>
    </xf>
    <xf numFmtId="0" fontId="17" fillId="0" borderId="0" xfId="0" quotePrefix="1" applyFont="1" applyAlignment="1">
      <alignment horizontal="center" vertical="center" shrinkToFit="1"/>
    </xf>
    <xf numFmtId="0" fontId="53" fillId="0" borderId="33" xfId="0" applyFont="1" applyBorder="1" applyAlignment="1">
      <alignment horizontal="center" vertical="center"/>
    </xf>
    <xf numFmtId="0" fontId="51" fillId="0" borderId="0" xfId="0" applyFont="1" applyAlignment="1">
      <alignment horizontal="center" vertical="center"/>
    </xf>
    <xf numFmtId="0" fontId="50" fillId="0" borderId="37" xfId="0" applyFont="1" applyBorder="1" applyAlignment="1">
      <alignment horizontal="center" vertical="center"/>
    </xf>
    <xf numFmtId="0" fontId="50" fillId="0" borderId="0" xfId="0" applyFont="1" applyAlignment="1">
      <alignment horizontal="center" vertical="center"/>
    </xf>
    <xf numFmtId="0" fontId="53" fillId="0" borderId="0" xfId="0" applyFont="1" applyAlignment="1">
      <alignment horizontal="center" vertical="center"/>
    </xf>
    <xf numFmtId="0" fontId="7" fillId="0" borderId="55" xfId="0" applyFont="1" applyBorder="1" applyAlignment="1">
      <alignment horizontal="center" vertical="center"/>
    </xf>
    <xf numFmtId="0" fontId="7" fillId="0" borderId="37" xfId="0" applyFont="1" applyBorder="1" applyAlignment="1">
      <alignment horizontal="center" vertical="center"/>
    </xf>
    <xf numFmtId="0" fontId="7" fillId="0" borderId="50" xfId="0" applyFont="1" applyBorder="1" applyAlignment="1">
      <alignment horizontal="center" vertical="center"/>
    </xf>
    <xf numFmtId="0" fontId="7" fillId="0" borderId="56" xfId="0" applyFont="1" applyBorder="1" applyAlignment="1">
      <alignment horizontal="center" vertical="center"/>
    </xf>
    <xf numFmtId="0" fontId="55" fillId="0" borderId="33" xfId="0" applyFont="1" applyBorder="1" applyAlignment="1">
      <alignment horizontal="center" vertical="center"/>
    </xf>
    <xf numFmtId="0" fontId="57" fillId="0" borderId="0" xfId="0" applyFont="1" applyAlignment="1">
      <alignment horizontal="centerContinuous" vertical="center"/>
    </xf>
    <xf numFmtId="0" fontId="37" fillId="0" borderId="0" xfId="0" applyFont="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2" xfId="0" applyFont="1" applyBorder="1" applyAlignment="1">
      <alignment horizontal="right" vertical="center"/>
    </xf>
    <xf numFmtId="0" fontId="2" fillId="0" borderId="59" xfId="0" applyFont="1" applyBorder="1" applyAlignment="1">
      <alignment horizontal="center" vertical="center"/>
    </xf>
    <xf numFmtId="0" fontId="2" fillId="10" borderId="60" xfId="0" applyFont="1" applyFill="1" applyBorder="1" applyAlignment="1">
      <alignment horizontal="center" vertical="center"/>
    </xf>
    <xf numFmtId="0" fontId="2" fillId="10" borderId="61" xfId="0" applyFont="1" applyFill="1" applyBorder="1" applyAlignment="1">
      <alignment horizontal="center" vertical="center"/>
    </xf>
    <xf numFmtId="0" fontId="4" fillId="0" borderId="37" xfId="0" applyFont="1" applyBorder="1" applyAlignment="1">
      <alignment horizontal="right" vertical="center"/>
    </xf>
    <xf numFmtId="0" fontId="2" fillId="0" borderId="58" xfId="0" applyFont="1" applyBorder="1" applyAlignment="1">
      <alignment horizontal="center" vertical="center"/>
    </xf>
    <xf numFmtId="0" fontId="2" fillId="10" borderId="42" xfId="0" applyFont="1" applyFill="1" applyBorder="1" applyAlignment="1">
      <alignment horizontal="center" vertical="center"/>
    </xf>
    <xf numFmtId="0" fontId="2" fillId="10" borderId="43" xfId="0" applyFont="1" applyFill="1" applyBorder="1" applyAlignment="1">
      <alignment horizontal="center" vertical="center"/>
    </xf>
    <xf numFmtId="0" fontId="4" fillId="0" borderId="101" xfId="0" applyFont="1" applyBorder="1" applyAlignment="1">
      <alignment horizontal="right" vertical="center"/>
    </xf>
    <xf numFmtId="0" fontId="38" fillId="19" borderId="105" xfId="0" applyFont="1" applyFill="1" applyBorder="1" applyAlignment="1">
      <alignment horizontal="center" vertical="center"/>
    </xf>
    <xf numFmtId="0" fontId="4" fillId="10" borderId="106" xfId="0" applyFont="1" applyFill="1" applyBorder="1" applyAlignment="1">
      <alignment horizontal="center" vertical="center"/>
    </xf>
    <xf numFmtId="0" fontId="4" fillId="10" borderId="107" xfId="0" applyFont="1" applyFill="1" applyBorder="1" applyAlignment="1">
      <alignment horizontal="center" vertical="center"/>
    </xf>
    <xf numFmtId="0" fontId="4" fillId="0" borderId="57" xfId="0" applyFont="1" applyBorder="1" applyAlignment="1">
      <alignment horizontal="right" vertical="center"/>
    </xf>
    <xf numFmtId="1" fontId="2" fillId="0" borderId="102" xfId="0" applyNumberFormat="1" applyFont="1" applyBorder="1" applyAlignment="1">
      <alignment horizontal="center" vertical="center"/>
    </xf>
    <xf numFmtId="0" fontId="2" fillId="10" borderId="103" xfId="0" applyFont="1" applyFill="1" applyBorder="1" applyAlignment="1">
      <alignment horizontal="center" vertical="center"/>
    </xf>
    <xf numFmtId="0" fontId="2" fillId="10" borderId="104" xfId="0" applyFont="1" applyFill="1" applyBorder="1" applyAlignment="1">
      <alignment horizontal="center" vertical="center"/>
    </xf>
    <xf numFmtId="0" fontId="54" fillId="0" borderId="33" xfId="0" applyFont="1" applyBorder="1" applyAlignment="1">
      <alignment horizontal="center" vertical="center"/>
    </xf>
    <xf numFmtId="0" fontId="4" fillId="0" borderId="50" xfId="0" applyFont="1" applyBorder="1" applyAlignment="1">
      <alignment horizontal="right" vertical="center"/>
    </xf>
    <xf numFmtId="0" fontId="2" fillId="16" borderId="63" xfId="0" applyFont="1" applyFill="1" applyBorder="1" applyAlignment="1">
      <alignment horizontal="center" vertical="center"/>
    </xf>
    <xf numFmtId="0" fontId="2" fillId="10" borderId="44" xfId="0" applyFont="1" applyFill="1" applyBorder="1" applyAlignment="1">
      <alignment horizontal="center" vertical="center"/>
    </xf>
    <xf numFmtId="0" fontId="2" fillId="10" borderId="45" xfId="0" applyFont="1" applyFill="1" applyBorder="1" applyAlignment="1">
      <alignment horizontal="center" vertical="center"/>
    </xf>
    <xf numFmtId="0" fontId="55" fillId="0" borderId="0" xfId="0" applyFont="1" applyAlignment="1">
      <alignment horizontal="center" vertical="center"/>
    </xf>
    <xf numFmtId="0" fontId="54" fillId="0" borderId="0" xfId="0" applyFont="1" applyAlignment="1">
      <alignment horizontal="center" vertical="center"/>
    </xf>
    <xf numFmtId="0" fontId="17" fillId="9" borderId="56" xfId="0" quotePrefix="1" applyFont="1" applyFill="1" applyBorder="1" applyAlignment="1">
      <alignment horizontal="center" vertical="center" shrinkToFit="1"/>
    </xf>
    <xf numFmtId="0" fontId="17" fillId="9" borderId="37" xfId="0" quotePrefix="1" applyFont="1" applyFill="1" applyBorder="1" applyAlignment="1">
      <alignment horizontal="center" vertical="center" shrinkToFit="1"/>
    </xf>
    <xf numFmtId="0" fontId="8" fillId="17" borderId="1" xfId="0" applyFont="1" applyFill="1" applyBorder="1" applyAlignment="1">
      <alignment vertical="center"/>
    </xf>
    <xf numFmtId="49" fontId="18" fillId="17" borderId="27" xfId="0" applyNumberFormat="1" applyFont="1" applyFill="1" applyBorder="1" applyAlignment="1">
      <alignment horizontal="center" vertical="center"/>
    </xf>
    <xf numFmtId="0" fontId="18" fillId="17" borderId="28" xfId="0" applyFont="1" applyFill="1" applyBorder="1" applyAlignment="1">
      <alignment horizontal="center" vertical="center"/>
    </xf>
    <xf numFmtId="0" fontId="8" fillId="17" borderId="28" xfId="0" applyFont="1" applyFill="1" applyBorder="1" applyAlignment="1">
      <alignment horizontal="center" vertical="center"/>
    </xf>
    <xf numFmtId="0" fontId="14" fillId="22" borderId="1" xfId="0" applyFont="1" applyFill="1" applyBorder="1" applyAlignment="1">
      <alignment vertical="center"/>
    </xf>
    <xf numFmtId="0" fontId="7" fillId="22" borderId="27" xfId="0" applyFont="1" applyFill="1" applyBorder="1" applyAlignment="1">
      <alignment horizontal="center" vertical="center"/>
    </xf>
    <xf numFmtId="49" fontId="23" fillId="22" borderId="27" xfId="0" applyNumberFormat="1" applyFont="1" applyFill="1" applyBorder="1" applyAlignment="1">
      <alignment horizontal="center" vertical="center"/>
    </xf>
    <xf numFmtId="0" fontId="23" fillId="22" borderId="28" xfId="0" applyFont="1" applyFill="1" applyBorder="1" applyAlignment="1">
      <alignment horizontal="center" vertical="center"/>
    </xf>
    <xf numFmtId="0" fontId="14" fillId="22" borderId="28" xfId="0" applyFont="1" applyFill="1" applyBorder="1" applyAlignment="1">
      <alignment horizontal="center" vertical="center"/>
    </xf>
    <xf numFmtId="49" fontId="7" fillId="22" borderId="28" xfId="0" applyNumberFormat="1" applyFont="1" applyFill="1" applyBorder="1" applyAlignment="1">
      <alignment horizontal="center" vertical="center"/>
    </xf>
    <xf numFmtId="0" fontId="7" fillId="22" borderId="29" xfId="0" quotePrefix="1" applyFont="1" applyFill="1" applyBorder="1" applyAlignment="1">
      <alignment horizontal="center" vertical="center"/>
    </xf>
    <xf numFmtId="0" fontId="10" fillId="22" borderId="1" xfId="0" applyFont="1" applyFill="1" applyBorder="1" applyAlignment="1">
      <alignment vertical="center"/>
    </xf>
    <xf numFmtId="49" fontId="27" fillId="22" borderId="27" xfId="0" applyNumberFormat="1" applyFont="1" applyFill="1" applyBorder="1" applyAlignment="1">
      <alignment horizontal="center" vertical="center"/>
    </xf>
    <xf numFmtId="0" fontId="27" fillId="22" borderId="28" xfId="0" applyFont="1" applyFill="1" applyBorder="1" applyAlignment="1">
      <alignment horizontal="center" vertical="center"/>
    </xf>
    <xf numFmtId="0" fontId="10" fillId="22" borderId="28" xfId="0" applyFont="1" applyFill="1" applyBorder="1" applyAlignment="1">
      <alignment horizontal="center" vertical="center"/>
    </xf>
    <xf numFmtId="0" fontId="7" fillId="22" borderId="29" xfId="0" applyFont="1" applyFill="1" applyBorder="1" applyAlignment="1">
      <alignment horizontal="center" vertical="center"/>
    </xf>
    <xf numFmtId="0" fontId="2" fillId="0" borderId="77" xfId="0" quotePrefix="1" applyFont="1" applyBorder="1" applyAlignment="1">
      <alignment horizontal="centerContinuous"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49" fontId="2" fillId="0" borderId="120" xfId="2" applyNumberFormat="1" applyFont="1" applyFill="1" applyBorder="1" applyAlignment="1">
      <alignment horizontal="center" vertical="center"/>
    </xf>
    <xf numFmtId="0" fontId="2" fillId="0" borderId="120" xfId="0" applyFont="1" applyBorder="1" applyAlignment="1">
      <alignment horizontal="center" vertical="center" shrinkToFit="1"/>
    </xf>
    <xf numFmtId="164" fontId="2" fillId="0" borderId="120" xfId="0" applyNumberFormat="1" applyFont="1" applyBorder="1" applyAlignment="1">
      <alignment horizontal="center" vertical="center"/>
    </xf>
    <xf numFmtId="1" fontId="2" fillId="0" borderId="57" xfId="0" applyNumberFormat="1" applyFont="1" applyBorder="1" applyAlignment="1">
      <alignment horizontal="center" vertical="center"/>
    </xf>
    <xf numFmtId="0" fontId="2" fillId="0" borderId="97" xfId="0" applyFont="1" applyBorder="1" applyAlignment="1">
      <alignment horizontal="center" vertical="center" shrinkToFit="1"/>
    </xf>
    <xf numFmtId="164" fontId="2" fillId="9" borderId="97" xfId="0" applyNumberFormat="1" applyFont="1" applyFill="1" applyBorder="1" applyAlignment="1">
      <alignment horizontal="center" vertical="center" shrinkToFit="1"/>
    </xf>
    <xf numFmtId="0" fontId="5" fillId="0" borderId="114" xfId="0" applyFont="1" applyBorder="1" applyAlignment="1">
      <alignment horizontal="left" vertical="center"/>
    </xf>
    <xf numFmtId="1" fontId="47" fillId="13" borderId="74" xfId="0" applyNumberFormat="1" applyFont="1" applyFill="1" applyBorder="1" applyAlignment="1">
      <alignment horizontal="center" vertical="center"/>
    </xf>
    <xf numFmtId="1" fontId="47" fillId="13" borderId="80" xfId="0" applyNumberFormat="1" applyFont="1" applyFill="1" applyBorder="1" applyAlignment="1">
      <alignment horizontal="center" vertical="center"/>
    </xf>
    <xf numFmtId="0" fontId="5" fillId="0" borderId="77" xfId="0" applyFont="1" applyBorder="1" applyAlignment="1">
      <alignment horizontal="center" vertical="center"/>
    </xf>
    <xf numFmtId="0" fontId="5" fillId="0" borderId="121" xfId="0" applyFont="1" applyBorder="1" applyAlignment="1">
      <alignment horizontal="center" vertical="center"/>
    </xf>
    <xf numFmtId="0" fontId="4" fillId="0" borderId="83" xfId="0" applyFont="1" applyBorder="1" applyAlignment="1">
      <alignment horizontal="center" vertical="center"/>
    </xf>
    <xf numFmtId="1" fontId="5" fillId="0" borderId="74" xfId="0" applyNumberFormat="1" applyFont="1" applyBorder="1" applyAlignment="1">
      <alignment horizontal="center" vertical="center"/>
    </xf>
    <xf numFmtId="1" fontId="5" fillId="0" borderId="115" xfId="0" applyNumberFormat="1" applyFont="1" applyBorder="1" applyAlignment="1">
      <alignment horizontal="center" vertical="center"/>
    </xf>
    <xf numFmtId="1" fontId="2" fillId="0" borderId="80" xfId="0" applyNumberFormat="1" applyFont="1" applyBorder="1" applyAlignment="1">
      <alignment horizontal="center" vertical="center"/>
    </xf>
    <xf numFmtId="0" fontId="2" fillId="23" borderId="94" xfId="0" applyFont="1" applyFill="1" applyBorder="1" applyAlignment="1">
      <alignment horizontal="center" vertical="center" shrinkToFit="1"/>
    </xf>
    <xf numFmtId="0" fontId="2" fillId="20" borderId="94" xfId="0" applyFont="1" applyFill="1" applyBorder="1" applyAlignment="1">
      <alignment horizontal="center" vertical="center" shrinkToFit="1"/>
    </xf>
    <xf numFmtId="0" fontId="47" fillId="24" borderId="94" xfId="0" applyFont="1" applyFill="1" applyBorder="1" applyAlignment="1">
      <alignment horizontal="center" vertical="center" shrinkToFit="1"/>
    </xf>
    <xf numFmtId="0" fontId="47" fillId="24" borderId="86" xfId="0" applyFont="1" applyFill="1" applyBorder="1" applyAlignment="1">
      <alignment horizontal="center" vertical="center" shrinkToFit="1"/>
    </xf>
    <xf numFmtId="0" fontId="2" fillId="9" borderId="94" xfId="0" applyFont="1" applyFill="1" applyBorder="1" applyAlignment="1">
      <alignment horizontal="center" vertical="center" shrinkToFit="1"/>
    </xf>
    <xf numFmtId="1" fontId="2" fillId="9" borderId="97" xfId="0" applyNumberFormat="1" applyFont="1" applyFill="1" applyBorder="1" applyAlignment="1">
      <alignment horizontal="center" vertical="center" shrinkToFit="1"/>
    </xf>
    <xf numFmtId="0" fontId="2" fillId="9" borderId="114" xfId="0" applyFont="1" applyFill="1" applyBorder="1" applyAlignment="1">
      <alignment horizontal="left" vertical="center"/>
    </xf>
    <xf numFmtId="0" fontId="2" fillId="9" borderId="98" xfId="0" applyFont="1" applyFill="1" applyBorder="1" applyAlignment="1">
      <alignment horizontal="left" vertical="center" shrinkToFit="1"/>
    </xf>
    <xf numFmtId="0" fontId="2" fillId="9" borderId="89" xfId="0" applyFont="1" applyFill="1" applyBorder="1" applyAlignment="1">
      <alignment horizontal="center" vertical="center" shrinkToFit="1"/>
    </xf>
    <xf numFmtId="1" fontId="2" fillId="9" borderId="44" xfId="0" applyNumberFormat="1" applyFont="1" applyFill="1" applyBorder="1" applyAlignment="1">
      <alignment horizontal="center" vertical="center" shrinkToFit="1"/>
    </xf>
    <xf numFmtId="164" fontId="2" fillId="9" borderId="44" xfId="0" applyNumberFormat="1" applyFont="1" applyFill="1" applyBorder="1" applyAlignment="1">
      <alignment horizontal="center" vertical="center" shrinkToFit="1"/>
    </xf>
    <xf numFmtId="0" fontId="2" fillId="9" borderId="113" xfId="0" applyFont="1" applyFill="1" applyBorder="1" applyAlignment="1">
      <alignment horizontal="left" vertical="center"/>
    </xf>
    <xf numFmtId="0" fontId="2" fillId="9" borderId="45" xfId="0" applyFont="1" applyFill="1" applyBorder="1" applyAlignment="1">
      <alignment horizontal="left" vertical="center" shrinkToFit="1"/>
    </xf>
    <xf numFmtId="2" fontId="2" fillId="9" borderId="37" xfId="0" applyNumberFormat="1" applyFont="1" applyFill="1" applyBorder="1" applyAlignment="1">
      <alignment horizontal="center" vertical="center" shrinkToFit="1"/>
    </xf>
    <xf numFmtId="1" fontId="2" fillId="9" borderId="99" xfId="0" applyNumberFormat="1" applyFont="1" applyFill="1" applyBorder="1" applyAlignment="1">
      <alignment horizontal="center" vertical="center" shrinkToFit="1"/>
    </xf>
    <xf numFmtId="1" fontId="2" fillId="9" borderId="50" xfId="0" applyNumberFormat="1" applyFont="1" applyFill="1" applyBorder="1" applyAlignment="1">
      <alignment horizontal="center" vertical="center" shrinkToFit="1"/>
    </xf>
    <xf numFmtId="0" fontId="2" fillId="25" borderId="85" xfId="0" applyFont="1" applyFill="1" applyBorder="1" applyAlignment="1">
      <alignment horizontal="center" vertical="center" shrinkToFit="1"/>
    </xf>
    <xf numFmtId="0" fontId="63" fillId="19" borderId="85" xfId="0" applyFont="1" applyFill="1" applyBorder="1" applyAlignment="1">
      <alignment horizontal="center" vertical="center" shrinkToFit="1"/>
    </xf>
    <xf numFmtId="0" fontId="2" fillId="26" borderId="86" xfId="0" applyFont="1" applyFill="1" applyBorder="1" applyAlignment="1">
      <alignment horizontal="center" vertical="center" shrinkToFit="1"/>
    </xf>
    <xf numFmtId="0" fontId="2" fillId="26" borderId="44" xfId="0" applyFont="1" applyFill="1" applyBorder="1" applyAlignment="1">
      <alignment horizontal="center" vertical="center" shrinkToFit="1"/>
    </xf>
    <xf numFmtId="1" fontId="2" fillId="26" borderId="50" xfId="0" applyNumberFormat="1" applyFont="1" applyFill="1" applyBorder="1" applyAlignment="1">
      <alignment horizontal="center" vertical="center" shrinkToFit="1"/>
    </xf>
    <xf numFmtId="0" fontId="5" fillId="26" borderId="44" xfId="0" applyFont="1" applyFill="1" applyBorder="1" applyAlignment="1">
      <alignment horizontal="left" vertical="center"/>
    </xf>
    <xf numFmtId="0" fontId="5" fillId="26" borderId="45" xfId="0" applyFont="1" applyFill="1" applyBorder="1" applyAlignment="1">
      <alignment horizontal="left" vertical="center" shrinkToFit="1"/>
    </xf>
    <xf numFmtId="0" fontId="64" fillId="24" borderId="94" xfId="0" applyFont="1" applyFill="1" applyBorder="1" applyAlignment="1">
      <alignment horizontal="center" vertical="center" shrinkToFit="1"/>
    </xf>
    <xf numFmtId="0" fontId="64" fillId="24" borderId="41" xfId="0" applyFont="1" applyFill="1" applyBorder="1" applyAlignment="1">
      <alignment horizontal="center" vertical="center" shrinkToFit="1"/>
    </xf>
    <xf numFmtId="164" fontId="2" fillId="0" borderId="81" xfId="0" applyNumberFormat="1" applyFont="1" applyBorder="1" applyAlignment="1">
      <alignment horizontal="centerContinuous" vertical="center"/>
    </xf>
    <xf numFmtId="164" fontId="2" fillId="0" borderId="82" xfId="0" applyNumberFormat="1" applyFont="1" applyBorder="1" applyAlignment="1">
      <alignment horizontal="centerContinuous" vertical="center"/>
    </xf>
    <xf numFmtId="0" fontId="2" fillId="0" borderId="83" xfId="0" applyFont="1" applyBorder="1" applyAlignment="1">
      <alignment horizontal="centerContinuous" vertical="center"/>
    </xf>
    <xf numFmtId="9" fontId="2" fillId="9" borderId="74" xfId="2" quotePrefix="1" applyFont="1" applyFill="1" applyBorder="1" applyAlignment="1">
      <alignment horizontal="center" vertical="center"/>
    </xf>
    <xf numFmtId="0" fontId="27" fillId="0" borderId="37" xfId="0" applyFont="1" applyBorder="1" applyAlignment="1">
      <alignment horizontal="centerContinuous"/>
    </xf>
    <xf numFmtId="0" fontId="51" fillId="0" borderId="56" xfId="0" applyFont="1" applyBorder="1" applyAlignment="1">
      <alignment horizontal="center" vertical="center"/>
    </xf>
    <xf numFmtId="0" fontId="2" fillId="0" borderId="120" xfId="2" applyNumberFormat="1" applyFont="1" applyFill="1" applyBorder="1" applyAlignment="1">
      <alignment horizontal="center" vertical="center"/>
    </xf>
    <xf numFmtId="0" fontId="2" fillId="0" borderId="121" xfId="0" applyFont="1" applyBorder="1" applyAlignment="1">
      <alignment horizontal="center" vertical="center"/>
    </xf>
    <xf numFmtId="0" fontId="7" fillId="18" borderId="29" xfId="0" quotePrefix="1" applyFont="1" applyFill="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1">
    <dxf>
      <font>
        <color rgb="FFFF0000"/>
      </font>
    </dxf>
    <dxf>
      <fill>
        <patternFill>
          <bgColor rgb="FFFF0000"/>
        </patternFill>
      </fill>
    </dxf>
    <dxf>
      <font>
        <b val="0"/>
        <i/>
        <color auto="1"/>
      </font>
      <fill>
        <patternFill>
          <bgColor theme="0" tint="-0.24994659260841701"/>
        </patternFill>
      </fill>
    </dxf>
    <dxf>
      <font>
        <b/>
        <i val="0"/>
        <color theme="1"/>
      </font>
      <fill>
        <patternFill>
          <bgColor rgb="FF00FF00"/>
        </patternFill>
      </fill>
    </dxf>
    <dxf>
      <font>
        <b/>
        <i val="0"/>
        <color theme="1"/>
      </font>
      <fill>
        <patternFill>
          <bgColor rgb="FF00FF00"/>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097B47F8-C817-49A0-B178-6C5954EF0EE9}"/>
  </tableStyles>
  <colors>
    <mruColors>
      <color rgb="FF99CCFF"/>
      <color rgb="FFFF00FF"/>
      <color rgb="FF66FF33"/>
      <color rgb="FF9966FF"/>
      <color rgb="FFCCFFCC"/>
      <color rgb="FFCC99FF"/>
      <color rgb="FF00FF00"/>
      <color rgb="FF0000FF"/>
      <color rgb="FF66FF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34290</xdr:colOff>
      <xdr:row>16</xdr:row>
      <xdr:rowOff>66675</xdr:rowOff>
    </xdr:from>
    <xdr:to>
      <xdr:col>6</xdr:col>
      <xdr:colOff>1116330</xdr:colOff>
      <xdr:row>96</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34290" y="3777615"/>
          <a:ext cx="6507480" cy="1719072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Landorin is a fairly typical moon elf in appearance, a couple inches taller than average and definitely stockier, he clearly enjoys food a bit more fattening than what he grew up on as a child, having put on some extra weight once he became a sailor. He has silver-white hair, tied back in a braid, and fair skin, though a bit tanned and weathered due to his time spent out in the sun, wind, and salty spray.</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Landorin’s eyes are green with gold flecks, but looking closely, they occasionally seem a bit murky, due to some minor damage done during an incident with salty water and grit that got into them. He’s naturally Farsighted to begin with, able to focus better on things at a distance, which is helpful for spotting sails on the horizon, but not as useful when trying to find specific small tools in a toolbox or other small object close by, and focusing on things in shadowy areas can be tricky. This occasionally makes him seem distracted when talking to folks, as he might not be looking straight at them.</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Landorin normally wears a traveler’s outfit, though one suited to a sailor’s duties, and he naturally fits in near the docks; some folks mistake him for a human boy from a distance. He also has folded away an entertainer’s outfit for wearing during performances, whether busking on the street or singing on a stage. But when he’s fully geared up, he wears light armor that won’t interfere with his movements, with a buckler on his left arm and a few weapons here and there...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Landorin was born and grew up in the metropolis of Gildenglade in Turmish, in the Vilhon Reach region, to a middle-class elven clan of woodcarvers and merchants. For his first 100 years he played like most elven children without worrying too much about what he would do when he grew up. But as he approaches the age of maturity, during that decade he found that he enjoyed listening to music, and began singing along with the few bards and other singers he encountered, even making up songs on occasion.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also occasionally traveled with family members on occasion to the capital of Turmish - Alaghon, the ancient city of stone, where ships came from and went to many exotic and strange other places. As he looked at the sea, he felt it calling to him. He resolved one day to come back and get on one of those ships to go see more of the world.</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At almost 115 years of age, he had spent 5 years working on becoming a bard, but he felt his gift was different than the gifts of other bards, it felt more like a gift being given to him by the goddess of the Moon, Selune, whom he’d come to worship, rather than a gift he was born with. But he learned a few things from those who has the normal gift, while thinking about the sea, and finally he talked with his family about this yearning to wander on the waves. This was no great surprise to his mother, who also called Selune her goddess, and his parents made arrangements for him to work as an sailor for one of the shipping companies that occasionally carried their finely carven goods to buyers elsewhere.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The deal was made, and on his 115th birthday, he signed on and shipped out as a sailor of the lowest rank on the merchant ship Wavedancer. He took to the job with gusto, and with his youthful enthusiasm, polite demeanor, and charming ways, quickly became well-liked by most of the crew, though they didn’t cut him any slack as far as the work was concerned. He learned that, at sea, discipline was important, and that orders needed to be carried out quickly and without questioning, that it was important to trust in the officers and senior crew, regardless of their race, gender, or other differences. This chafed a bit, but he adapted well enough, and mastered the profession of sailor as best he could.</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also learned that sailors enjoy singing as well, even if they couldn’t hold a tune very well, and often used songs called sea chanteys to help them perform repetitive tasks more efficiently and enjoyably. He quickly picked up many of those tunes and ended up leading them sometimes. He further developed the gifts Selûne gave him, including mastering a few minor spells useful aboard ship. Though he could only cast a couple each day, he was happy to use them on behalf of the ship and crew, curing minor injuries, verifying direction on occasion, mending broken items, and sending whispered messages to sailors at a distance when the winds were too loud for should to travel.</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When the ship put in to port, Landorin would often accompany one of the more responsible senior sailors, and enjoyed hearing tales of various kinds, while not drinking too much so as to keep a clear head. He didn’t get in too many brawls, but when his companions did, he used his music to help them. Occasionally he was even able to persuade people to stop fighting and just have another drink to smooth things over; he usually had a few coins saved up and was happy to buy a round to stop a fight.</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After a mere (in elven time) 20 years, though, his life aboard ship came to an end. He’d seen something ahead of the ship during a storm that was dangerous, but he couldn’t persuade the officer in charge to change course, they were following orders and there was no time to argue.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prayed to Selûne for guidance to help save the ship, and with Her voice in his head he took it up on himself to take the helm and divert the ship from a collision just in time. This earned him a Captain’s mast and some lashes, because those were the rules! He didn’t complain, and while it hurt, he was pretty sure the first mate had gone easy on him, and he held no grudge. The crew were sorry to see him off the ship, but he’d started to think maybe it was time to see more than just the sea and the ports...and that just maybe following the rules might be his way. He had some serious thinking to do about that, but for now, he was going to get drunk for the first time in his life...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solidFill>
                <a:schemeClr val="bg1">
                  <a:lumMod val="65000"/>
                </a:schemeClr>
              </a:solidFill>
              <a:effectLst/>
              <a:latin typeface="Times New Roman" panose="02020603050405020304" pitchFamily="18" charset="0"/>
              <a:ea typeface="+mn-ea"/>
              <a:cs typeface="Times New Roman" panose="02020603050405020304" pitchFamily="18" charset="0"/>
            </a:rPr>
            <a:t>NOTE – at this point he is 135, he has 2 more years before he meets the dwarf, according to the aging die rolls I made; I have him at age 137 at 1st level, but figure at this point he just has 2 skill points left to use, during these two years in port is when he’ll learn his two languages, ie he’ll be working on Chondathan and Damaran, he only knows a few words of each currently.</a:t>
          </a:r>
        </a:p>
        <a:p>
          <a:pPr algn="just"/>
          <a:endParaRPr lang="en-US" sz="1200">
            <a:solidFill>
              <a:schemeClr val="bg1">
                <a:lumMod val="65000"/>
              </a:schemeClr>
            </a:solidFill>
            <a:effectLst/>
            <a:latin typeface="Times New Roman" panose="02020603050405020304" pitchFamily="18" charset="0"/>
            <a:ea typeface="+mn-ea"/>
            <a:cs typeface="Times New Roman" panose="02020603050405020304" pitchFamily="18" charset="0"/>
          </a:endParaRPr>
        </a:p>
        <a:p>
          <a:pPr algn="just"/>
          <a:r>
            <a:rPr lang="en-US" sz="1200">
              <a:solidFill>
                <a:schemeClr val="bg1">
                  <a:lumMod val="65000"/>
                </a:schemeClr>
              </a:solidFill>
              <a:effectLst/>
              <a:latin typeface="Times New Roman" panose="02020603050405020304" pitchFamily="18" charset="0"/>
              <a:ea typeface="+mn-ea"/>
              <a:cs typeface="Times New Roman" panose="02020603050405020304" pitchFamily="18" charset="0"/>
            </a:rPr>
            <a:t>Note – counting back from the expected half-elf age, it looks like she will be 29 when Landorin is 158, so she’ll have been born roughly when Landorin was 129. At that time he’d have been ~14 years into his 20 year stint as a sailor, so she would have been conceived during a visit to a port city somewhere around the Sea Of Fallen Stars, perhaps with a woman Landorin had ‘dated’ multiple times over the course of several stops.</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Landorin is polite and friendly, but a bit reserved. He enjoys drinking but not getting drunk, he enjoys eating a little too much, he loves to sing but isn’t much of a dancer, and he’s fond of spinning the occasional tall tales, perhaps stretching the truth a little.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knows beyond a doubt in his mind that his bardic abilities are a gift from his goddess, and he will literally sing her praises, having learned al few hymns in addition to more popular songs and sea chanteys. He has always been a good person, and knows that some rules are important and must be followed for the good of all in a community or aboard a ship, though lately he has become a bit less sure of that, and has been talking to clerics of Selune about the core precepts of Her teachings.</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 likes women, and he especially likes women who like sailors, and has had various lovers in various ports, probably seeing only one or two women in each, returning to visit them each time the ship has a layover. He has very few racial biases, having had dwarven friends growing up but then meeting a lot of other sorts of people during his sea travels.</a:t>
          </a:r>
        </a:p>
        <a:p>
          <a:pPr algn="just"/>
          <a:endParaRPr lang="en-US" sz="1200">
            <a:effectLst/>
            <a:latin typeface="Times New Roman" panose="02020603050405020304" pitchFamily="18" charset="0"/>
            <a:ea typeface="+mn-ea"/>
            <a:cs typeface="Times New Roman" panose="02020603050405020304" pitchFamily="18" charset="0"/>
          </a:endParaRPr>
        </a:p>
        <a:p>
          <a:pPr algn="just"/>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63261</xdr:colOff>
      <xdr:row>14</xdr:row>
      <xdr:rowOff>213360</xdr:rowOff>
    </xdr:from>
    <xdr:to>
      <xdr:col>6</xdr:col>
      <xdr:colOff>1078302</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44838" y="3396507"/>
          <a:ext cx="2159479" cy="246176"/>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81701</xdr:colOff>
      <xdr:row>1</xdr:row>
      <xdr:rowOff>91440</xdr:rowOff>
    </xdr:from>
    <xdr:to>
      <xdr:col>6</xdr:col>
      <xdr:colOff>1066799</xdr:colOff>
      <xdr:row>14</xdr:row>
      <xdr:rowOff>137160</xdr:rowOff>
    </xdr:to>
    <xdr:pic>
      <xdr:nvPicPr>
        <xdr:cNvPr id="2" name="Picture 1">
          <a:extLst>
            <a:ext uri="{FF2B5EF4-FFF2-40B4-BE49-F238E27FC236}">
              <a16:creationId xmlns:a16="http://schemas.microsoft.com/office/drawing/2014/main" id="{840D339F-0E5A-DF74-7427-92B881D1C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4141" y="464820"/>
          <a:ext cx="2128098" cy="2857500"/>
        </a:xfrm>
        <a:prstGeom prst="rect">
          <a:avLst/>
        </a:prstGeom>
        <a:noFill/>
        <a:ln w="34925" cmpd="dbl">
          <a:solidFill>
            <a:srgbClr val="FFC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15241</xdr:colOff>
      <xdr:row>5</xdr:row>
      <xdr:rowOff>15240</xdr:rowOff>
    </xdr:from>
    <xdr:to>
      <xdr:col>9</xdr:col>
      <xdr:colOff>2560321</xdr:colOff>
      <xdr:row>23</xdr:row>
      <xdr:rowOff>205740</xdr:rowOff>
    </xdr:to>
    <xdr:pic>
      <xdr:nvPicPr>
        <xdr:cNvPr id="3" name="Picture 2">
          <a:extLst>
            <a:ext uri="{FF2B5EF4-FFF2-40B4-BE49-F238E27FC236}">
              <a16:creationId xmlns:a16="http://schemas.microsoft.com/office/drawing/2014/main" id="{74609DFB-42D9-4705-911F-C481698A8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8281" y="1386840"/>
          <a:ext cx="2545080" cy="403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0</xdr:row>
      <xdr:rowOff>0</xdr:rowOff>
    </xdr:from>
    <xdr:to>
      <xdr:col>4</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40005</xdr:colOff>
      <xdr:row>1</xdr:row>
      <xdr:rowOff>123825</xdr:rowOff>
    </xdr:from>
    <xdr:to>
      <xdr:col>3</xdr:col>
      <xdr:colOff>405765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rnesthakey@gmail.com?subject=Werehunter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
  <sheetViews>
    <sheetView showGridLines="0" tabSelected="1" zoomScaleNormal="100" workbookViewId="0"/>
  </sheetViews>
  <sheetFormatPr defaultColWidth="13" defaultRowHeight="15.6" x14ac:dyDescent="0.3"/>
  <cols>
    <col min="1" max="1" width="16.5" style="55" customWidth="1"/>
    <col min="2" max="2" width="12.296875" style="56" customWidth="1"/>
    <col min="3" max="3" width="6" style="56" customWidth="1"/>
    <col min="4" max="4" width="13.69921875" style="55" bestFit="1" customWidth="1"/>
    <col min="5" max="5" width="10.8984375" style="56" bestFit="1" customWidth="1"/>
    <col min="6" max="6" width="15" style="55" customWidth="1"/>
    <col min="7" max="7" width="15" style="56" customWidth="1"/>
    <col min="8" max="16384" width="13" style="14"/>
  </cols>
  <sheetData>
    <row r="1" spans="1:7" ht="29.4" thickTop="1" thickBot="1" x14ac:dyDescent="0.35">
      <c r="A1" s="373" t="s">
        <v>165</v>
      </c>
      <c r="B1" s="374" t="s">
        <v>166</v>
      </c>
      <c r="C1" s="11"/>
      <c r="D1" s="12"/>
      <c r="E1" s="319"/>
      <c r="F1" s="12"/>
      <c r="G1" s="13" t="s">
        <v>167</v>
      </c>
    </row>
    <row r="2" spans="1:7" ht="17.399999999999999" thickTop="1" x14ac:dyDescent="0.3">
      <c r="A2" s="15" t="s">
        <v>126</v>
      </c>
      <c r="B2" s="16" t="s">
        <v>170</v>
      </c>
      <c r="C2" s="16"/>
      <c r="D2" s="17" t="s">
        <v>128</v>
      </c>
      <c r="E2" s="18" t="s">
        <v>149</v>
      </c>
      <c r="F2"/>
      <c r="G2" s="19"/>
    </row>
    <row r="3" spans="1:7" ht="16.8" x14ac:dyDescent="0.3">
      <c r="A3" s="15" t="s">
        <v>127</v>
      </c>
      <c r="B3" s="16" t="s">
        <v>168</v>
      </c>
      <c r="C3" s="16"/>
      <c r="D3" s="17" t="s">
        <v>0</v>
      </c>
      <c r="E3" s="18">
        <v>1</v>
      </c>
      <c r="F3" s="17"/>
      <c r="G3" s="19"/>
    </row>
    <row r="4" spans="1:7" ht="16.8" x14ac:dyDescent="0.3">
      <c r="A4" s="15" t="s">
        <v>127</v>
      </c>
      <c r="B4" s="16" t="s">
        <v>220</v>
      </c>
      <c r="C4" s="16"/>
      <c r="D4" s="17" t="s">
        <v>0</v>
      </c>
      <c r="E4" s="18">
        <v>1</v>
      </c>
      <c r="F4" s="17"/>
      <c r="G4" s="19"/>
    </row>
    <row r="5" spans="1:7" ht="16.8" x14ac:dyDescent="0.3">
      <c r="A5" s="15" t="s">
        <v>139</v>
      </c>
      <c r="B5" s="16" t="s">
        <v>172</v>
      </c>
      <c r="C5" s="16"/>
      <c r="D5" s="17" t="s">
        <v>129</v>
      </c>
      <c r="E5" s="18">
        <f>137+12</f>
        <v>149</v>
      </c>
      <c r="F5" s="17"/>
      <c r="G5" s="19"/>
    </row>
    <row r="6" spans="1:7" ht="16.8" x14ac:dyDescent="0.3">
      <c r="A6" s="15" t="s">
        <v>138</v>
      </c>
      <c r="B6" s="16" t="s">
        <v>171</v>
      </c>
      <c r="C6" s="16"/>
      <c r="D6" s="17" t="s">
        <v>140</v>
      </c>
      <c r="E6" s="18" t="s">
        <v>169</v>
      </c>
      <c r="F6" s="17"/>
      <c r="G6" s="19"/>
    </row>
    <row r="7" spans="1:7" ht="17.399999999999999" thickBot="1" x14ac:dyDescent="0.35">
      <c r="A7" s="15" t="s">
        <v>130</v>
      </c>
      <c r="B7" s="16" t="s">
        <v>225</v>
      </c>
      <c r="C7" s="16"/>
      <c r="D7" s="17" t="s">
        <v>141</v>
      </c>
      <c r="E7" s="18" t="s">
        <v>173</v>
      </c>
      <c r="F7" s="17"/>
      <c r="G7" s="19"/>
    </row>
    <row r="8" spans="1:7" ht="17.399999999999999" thickTop="1" x14ac:dyDescent="0.3">
      <c r="A8" s="20" t="s">
        <v>143</v>
      </c>
      <c r="B8" s="371">
        <f>0+E4</f>
        <v>1</v>
      </c>
      <c r="C8" s="372"/>
      <c r="D8" s="21" t="s">
        <v>80</v>
      </c>
      <c r="E8" s="22" t="s">
        <v>103</v>
      </c>
      <c r="F8" s="23"/>
      <c r="G8" s="19"/>
    </row>
    <row r="9" spans="1:7" ht="17.399999999999999" thickBot="1" x14ac:dyDescent="0.35">
      <c r="A9" s="250" t="s">
        <v>142</v>
      </c>
      <c r="B9" s="267" t="str">
        <f>C11</f>
        <v>+3</v>
      </c>
      <c r="C9" s="268"/>
      <c r="D9" s="273" t="s">
        <v>154</v>
      </c>
      <c r="E9" s="294">
        <v>1000</v>
      </c>
      <c r="F9" s="23"/>
      <c r="G9" s="19"/>
    </row>
    <row r="10" spans="1:7" ht="17.399999999999999" thickTop="1" x14ac:dyDescent="0.3">
      <c r="A10" s="24" t="s">
        <v>131</v>
      </c>
      <c r="B10" s="263">
        <v>13</v>
      </c>
      <c r="C10" s="25" t="str">
        <f t="shared" ref="C10:C13" si="0">IF(B10&gt;9.9,CONCATENATE("+",ROUNDDOWN((B10-10)/2,0)),ROUNDUP((B10-10)/2,0))</f>
        <v>+1</v>
      </c>
      <c r="D10" s="26" t="s">
        <v>144</v>
      </c>
      <c r="E10" s="277" t="s">
        <v>178</v>
      </c>
      <c r="F10" s="23"/>
      <c r="G10" s="19"/>
    </row>
    <row r="11" spans="1:7" ht="16.8" x14ac:dyDescent="0.3">
      <c r="A11" s="27" t="s">
        <v>132</v>
      </c>
      <c r="B11" s="32">
        <v>16</v>
      </c>
      <c r="C11" s="28" t="str">
        <f t="shared" si="0"/>
        <v>+3</v>
      </c>
      <c r="D11" s="29" t="s">
        <v>145</v>
      </c>
      <c r="E11" s="30">
        <f>SUM(Martial!G3:G17)+SUM(Equipment!C3:C19)</f>
        <v>47.7</v>
      </c>
      <c r="F11" s="23"/>
      <c r="G11" s="19"/>
    </row>
    <row r="12" spans="1:7" ht="16.8" x14ac:dyDescent="0.3">
      <c r="A12" s="31" t="s">
        <v>133</v>
      </c>
      <c r="B12" s="32">
        <v>10</v>
      </c>
      <c r="C12" s="33" t="str">
        <f t="shared" si="0"/>
        <v>+0</v>
      </c>
      <c r="D12" s="29" t="s">
        <v>146</v>
      </c>
      <c r="E12" s="348">
        <f>ROUNDUP(((E3*8)*0.75)+((E4*6)*0.75)+((E3+E4)*C12),0)</f>
        <v>11</v>
      </c>
      <c r="F12" s="23"/>
      <c r="G12" s="19"/>
    </row>
    <row r="13" spans="1:7" ht="16.8" x14ac:dyDescent="0.3">
      <c r="A13" s="34" t="s">
        <v>134</v>
      </c>
      <c r="B13" s="32">
        <v>10</v>
      </c>
      <c r="C13" s="28" t="str">
        <f t="shared" si="0"/>
        <v>+0</v>
      </c>
      <c r="D13" s="35" t="s">
        <v>147</v>
      </c>
      <c r="E13" s="36">
        <f>10+C11</f>
        <v>13</v>
      </c>
      <c r="F13" s="15"/>
      <c r="G13" s="19"/>
    </row>
    <row r="14" spans="1:7" ht="16.8" x14ac:dyDescent="0.3">
      <c r="A14" s="37" t="s">
        <v>135</v>
      </c>
      <c r="B14" s="38">
        <v>12</v>
      </c>
      <c r="C14" s="25" t="str">
        <f t="shared" ref="C14:C15" si="1">IF(B14&gt;9.9,CONCATENATE("+",ROUNDDOWN((B14-10)/2,0)),ROUNDUP((B14-10)/2,0))</f>
        <v>+1</v>
      </c>
      <c r="D14" s="35" t="s">
        <v>148</v>
      </c>
      <c r="E14" s="36">
        <f>E15-C11</f>
        <v>14</v>
      </c>
      <c r="F14" s="23"/>
      <c r="G14" s="19"/>
    </row>
    <row r="15" spans="1:7" ht="17.399999999999999" thickBot="1" x14ac:dyDescent="0.35">
      <c r="A15" s="39" t="s">
        <v>136</v>
      </c>
      <c r="B15" s="390">
        <v>14</v>
      </c>
      <c r="C15" s="251" t="str">
        <f t="shared" si="1"/>
        <v>+2</v>
      </c>
      <c r="D15" s="40" t="s">
        <v>137</v>
      </c>
      <c r="E15" s="41">
        <f>E13+SUM(Martial!B13:B14)</f>
        <v>17</v>
      </c>
      <c r="F15" s="23"/>
      <c r="G15" s="19"/>
    </row>
    <row r="16" spans="1:7" ht="24" thickTop="1" thickBot="1" x14ac:dyDescent="0.35">
      <c r="A16" s="42" t="s">
        <v>18</v>
      </c>
      <c r="B16" s="43"/>
      <c r="C16" s="43"/>
      <c r="D16" s="44"/>
      <c r="E16" s="266"/>
      <c r="F16" s="44"/>
      <c r="G16" s="45"/>
    </row>
    <row r="17" spans="1:7" s="10" customFormat="1" ht="17.399999999999999" thickTop="1" x14ac:dyDescent="0.3">
      <c r="A17" s="46"/>
      <c r="B17" s="47"/>
      <c r="C17" s="47"/>
      <c r="D17" s="47"/>
      <c r="E17" s="47"/>
      <c r="F17" s="47"/>
      <c r="G17" s="48"/>
    </row>
    <row r="18" spans="1:7" s="10" customFormat="1" ht="16.8" x14ac:dyDescent="0.3">
      <c r="A18" s="49"/>
      <c r="B18" s="50"/>
      <c r="C18" s="50"/>
      <c r="D18" s="50"/>
      <c r="E18" s="50"/>
      <c r="F18" s="50"/>
      <c r="G18" s="51"/>
    </row>
    <row r="19" spans="1:7" s="10" customFormat="1" ht="16.8" x14ac:dyDescent="0.3">
      <c r="A19" s="49"/>
      <c r="B19" s="50"/>
      <c r="C19" s="50"/>
      <c r="D19" s="50"/>
      <c r="E19" s="50"/>
      <c r="F19" s="50"/>
      <c r="G19" s="51"/>
    </row>
    <row r="20" spans="1:7" s="10" customFormat="1" ht="16.8" x14ac:dyDescent="0.3">
      <c r="A20" s="49"/>
      <c r="B20" s="50"/>
      <c r="C20" s="50"/>
      <c r="D20" s="50"/>
      <c r="E20" s="50"/>
      <c r="F20" s="50"/>
      <c r="G20" s="51"/>
    </row>
    <row r="21" spans="1:7" s="10" customFormat="1" ht="16.8" x14ac:dyDescent="0.3">
      <c r="A21" s="49"/>
      <c r="B21" s="50"/>
      <c r="C21" s="50"/>
      <c r="D21" s="50"/>
      <c r="E21" s="50"/>
      <c r="F21" s="50"/>
      <c r="G21" s="51"/>
    </row>
    <row r="22" spans="1:7" s="10" customFormat="1" ht="16.8" x14ac:dyDescent="0.3">
      <c r="A22" s="49"/>
      <c r="B22" s="50"/>
      <c r="C22" s="50"/>
      <c r="D22" s="50"/>
      <c r="E22" s="50"/>
      <c r="F22" s="50"/>
      <c r="G22" s="51"/>
    </row>
    <row r="23" spans="1:7" s="10" customFormat="1" ht="16.8" x14ac:dyDescent="0.3">
      <c r="A23" s="49"/>
      <c r="B23" s="50"/>
      <c r="C23" s="50"/>
      <c r="D23" s="50"/>
      <c r="E23" s="50"/>
      <c r="F23" s="50"/>
      <c r="G23" s="51"/>
    </row>
    <row r="24" spans="1:7" s="10" customFormat="1" ht="16.8" x14ac:dyDescent="0.3">
      <c r="A24" s="49"/>
      <c r="B24" s="50"/>
      <c r="C24" s="50"/>
      <c r="D24" s="50"/>
      <c r="E24" s="50"/>
      <c r="F24" s="50"/>
      <c r="G24" s="51"/>
    </row>
    <row r="25" spans="1:7" s="10" customFormat="1" ht="16.8" x14ac:dyDescent="0.3">
      <c r="A25" s="49"/>
      <c r="B25" s="50"/>
      <c r="C25" s="50"/>
      <c r="D25" s="50"/>
      <c r="E25" s="50"/>
      <c r="F25" s="50"/>
      <c r="G25" s="51"/>
    </row>
    <row r="26" spans="1:7" s="10" customFormat="1" ht="16.8" x14ac:dyDescent="0.3">
      <c r="A26" s="49"/>
      <c r="B26" s="50"/>
      <c r="C26" s="50"/>
      <c r="D26" s="50"/>
      <c r="E26" s="50"/>
      <c r="F26" s="50"/>
      <c r="G26" s="51"/>
    </row>
    <row r="27" spans="1:7" s="10" customFormat="1" ht="16.8" x14ac:dyDescent="0.3">
      <c r="A27" s="49"/>
      <c r="B27" s="50"/>
      <c r="C27" s="50"/>
      <c r="D27" s="50"/>
      <c r="E27" s="50"/>
      <c r="F27" s="50"/>
      <c r="G27" s="51"/>
    </row>
    <row r="28" spans="1:7" s="10" customFormat="1" ht="16.8" x14ac:dyDescent="0.3">
      <c r="A28" s="49"/>
      <c r="B28" s="50"/>
      <c r="C28" s="50"/>
      <c r="D28" s="50"/>
      <c r="E28" s="50"/>
      <c r="F28" s="50"/>
      <c r="G28" s="51"/>
    </row>
    <row r="29" spans="1:7" s="10" customFormat="1" ht="16.8" x14ac:dyDescent="0.3">
      <c r="A29" s="49"/>
      <c r="B29" s="50"/>
      <c r="C29" s="50"/>
      <c r="D29" s="50"/>
      <c r="E29" s="50"/>
      <c r="F29" s="50"/>
      <c r="G29" s="51"/>
    </row>
    <row r="30" spans="1:7" s="10" customFormat="1" ht="16.8" x14ac:dyDescent="0.3">
      <c r="A30" s="49"/>
      <c r="B30" s="50"/>
      <c r="C30" s="50"/>
      <c r="D30" s="50"/>
      <c r="E30" s="50"/>
      <c r="F30" s="50"/>
      <c r="G30" s="51"/>
    </row>
    <row r="31" spans="1:7" s="10" customFormat="1" ht="16.8" x14ac:dyDescent="0.3">
      <c r="A31" s="49"/>
      <c r="B31" s="50"/>
      <c r="C31" s="50"/>
      <c r="D31" s="50"/>
      <c r="E31" s="50"/>
      <c r="F31" s="50"/>
      <c r="G31" s="51"/>
    </row>
    <row r="32" spans="1:7" s="10" customFormat="1" ht="16.8" x14ac:dyDescent="0.3">
      <c r="A32" s="49"/>
      <c r="B32" s="50"/>
      <c r="C32" s="50"/>
      <c r="D32" s="50"/>
      <c r="E32" s="50"/>
      <c r="F32" s="50"/>
      <c r="G32" s="51"/>
    </row>
    <row r="33" spans="1:7" s="10" customFormat="1" ht="16.8" x14ac:dyDescent="0.3">
      <c r="A33" s="49"/>
      <c r="B33" s="50"/>
      <c r="C33" s="50"/>
      <c r="D33" s="50"/>
      <c r="E33" s="50"/>
      <c r="F33" s="50"/>
      <c r="G33" s="51"/>
    </row>
    <row r="34" spans="1:7" s="10" customFormat="1" ht="16.8" x14ac:dyDescent="0.3">
      <c r="A34" s="49"/>
      <c r="B34" s="50"/>
      <c r="C34" s="50"/>
      <c r="D34" s="50"/>
      <c r="E34" s="50"/>
      <c r="F34" s="50"/>
      <c r="G34" s="51"/>
    </row>
    <row r="35" spans="1:7" s="10" customFormat="1" ht="16.8" x14ac:dyDescent="0.3">
      <c r="A35" s="49"/>
      <c r="B35" s="50"/>
      <c r="C35" s="50"/>
      <c r="D35" s="50"/>
      <c r="E35" s="50"/>
      <c r="F35" s="50"/>
      <c r="G35" s="51"/>
    </row>
    <row r="36" spans="1:7" s="10" customFormat="1" ht="16.8" x14ac:dyDescent="0.3">
      <c r="A36" s="49"/>
      <c r="B36" s="50"/>
      <c r="C36" s="50"/>
      <c r="D36" s="50"/>
      <c r="E36" s="50"/>
      <c r="F36" s="50"/>
      <c r="G36" s="51"/>
    </row>
    <row r="37" spans="1:7" s="10" customFormat="1" ht="16.8" x14ac:dyDescent="0.3">
      <c r="A37" s="49"/>
      <c r="B37" s="50"/>
      <c r="C37" s="50"/>
      <c r="D37" s="50"/>
      <c r="E37" s="50"/>
      <c r="F37" s="50"/>
      <c r="G37" s="51"/>
    </row>
    <row r="38" spans="1:7" s="10" customFormat="1" ht="16.8" x14ac:dyDescent="0.3">
      <c r="A38" s="49"/>
      <c r="B38" s="50"/>
      <c r="C38" s="50"/>
      <c r="D38" s="50"/>
      <c r="E38" s="50"/>
      <c r="F38" s="50"/>
      <c r="G38" s="51"/>
    </row>
    <row r="39" spans="1:7" s="10" customFormat="1" ht="16.8" x14ac:dyDescent="0.3">
      <c r="A39" s="49"/>
      <c r="B39" s="50"/>
      <c r="C39" s="50"/>
      <c r="D39" s="50"/>
      <c r="E39" s="50"/>
      <c r="F39" s="50"/>
      <c r="G39" s="51"/>
    </row>
    <row r="40" spans="1:7" s="10" customFormat="1" ht="16.8" x14ac:dyDescent="0.3">
      <c r="A40" s="49"/>
      <c r="B40" s="50"/>
      <c r="C40" s="50"/>
      <c r="D40" s="50"/>
      <c r="E40" s="50"/>
      <c r="F40" s="50"/>
      <c r="G40" s="51"/>
    </row>
    <row r="41" spans="1:7" s="10" customFormat="1" ht="16.8" x14ac:dyDescent="0.3">
      <c r="A41" s="49"/>
      <c r="B41" s="50"/>
      <c r="C41" s="50"/>
      <c r="D41" s="50"/>
      <c r="E41" s="50"/>
      <c r="F41" s="50"/>
      <c r="G41" s="51"/>
    </row>
    <row r="42" spans="1:7" s="10" customFormat="1" ht="16.8" x14ac:dyDescent="0.3">
      <c r="A42" s="49"/>
      <c r="B42" s="50"/>
      <c r="C42" s="50"/>
      <c r="D42" s="50"/>
      <c r="E42" s="50"/>
      <c r="F42" s="50"/>
      <c r="G42" s="51"/>
    </row>
    <row r="43" spans="1:7" s="10" customFormat="1" ht="16.8" x14ac:dyDescent="0.3">
      <c r="A43" s="49"/>
      <c r="B43" s="50"/>
      <c r="C43" s="50"/>
      <c r="D43" s="50"/>
      <c r="E43" s="50"/>
      <c r="F43" s="50"/>
      <c r="G43" s="51"/>
    </row>
    <row r="44" spans="1:7" s="10" customFormat="1" ht="16.8" x14ac:dyDescent="0.3">
      <c r="A44" s="49"/>
      <c r="B44" s="50"/>
      <c r="C44" s="50"/>
      <c r="D44" s="50"/>
      <c r="E44" s="50"/>
      <c r="F44" s="50"/>
      <c r="G44" s="51"/>
    </row>
    <row r="45" spans="1:7" s="10" customFormat="1" ht="16.8" x14ac:dyDescent="0.3">
      <c r="A45" s="49"/>
      <c r="B45" s="50"/>
      <c r="C45" s="50"/>
      <c r="D45" s="50"/>
      <c r="E45" s="50"/>
      <c r="F45" s="50"/>
      <c r="G45" s="51"/>
    </row>
    <row r="46" spans="1:7" s="10" customFormat="1" ht="16.8" x14ac:dyDescent="0.3">
      <c r="A46" s="49"/>
      <c r="B46" s="50"/>
      <c r="C46" s="50"/>
      <c r="D46" s="50"/>
      <c r="E46" s="50"/>
      <c r="F46" s="50"/>
      <c r="G46" s="51"/>
    </row>
    <row r="47" spans="1:7" s="10" customFormat="1" ht="16.8" x14ac:dyDescent="0.3">
      <c r="A47" s="49"/>
      <c r="B47" s="50"/>
      <c r="C47" s="50"/>
      <c r="D47" s="50"/>
      <c r="E47" s="50"/>
      <c r="F47" s="50"/>
      <c r="G47" s="51"/>
    </row>
    <row r="48" spans="1:7" s="10" customFormat="1" ht="16.8" x14ac:dyDescent="0.3">
      <c r="A48" s="49"/>
      <c r="B48" s="50"/>
      <c r="C48" s="50"/>
      <c r="D48" s="50"/>
      <c r="E48" s="50"/>
      <c r="F48" s="50"/>
      <c r="G48" s="51"/>
    </row>
    <row r="49" spans="1:7" s="10" customFormat="1" ht="16.8" x14ac:dyDescent="0.3">
      <c r="A49" s="49"/>
      <c r="B49" s="50"/>
      <c r="C49" s="50"/>
      <c r="D49" s="50"/>
      <c r="E49" s="50"/>
      <c r="F49" s="50"/>
      <c r="G49" s="51"/>
    </row>
    <row r="50" spans="1:7" s="10" customFormat="1" ht="16.8" x14ac:dyDescent="0.3">
      <c r="A50" s="49"/>
      <c r="B50" s="50"/>
      <c r="C50" s="50"/>
      <c r="D50" s="50"/>
      <c r="E50" s="50"/>
      <c r="F50" s="50"/>
      <c r="G50" s="51"/>
    </row>
    <row r="51" spans="1:7" s="10" customFormat="1" ht="16.8" x14ac:dyDescent="0.3">
      <c r="A51" s="49"/>
      <c r="B51" s="50"/>
      <c r="C51" s="50"/>
      <c r="D51" s="50"/>
      <c r="E51" s="50"/>
      <c r="F51" s="50"/>
      <c r="G51" s="51"/>
    </row>
    <row r="52" spans="1:7" s="10" customFormat="1" ht="16.8" x14ac:dyDescent="0.3">
      <c r="A52" s="49"/>
      <c r="B52" s="50"/>
      <c r="C52" s="50"/>
      <c r="D52" s="50"/>
      <c r="E52" s="50"/>
      <c r="F52" s="50"/>
      <c r="G52" s="51"/>
    </row>
    <row r="53" spans="1:7" s="10" customFormat="1" ht="16.8" x14ac:dyDescent="0.3">
      <c r="A53" s="49"/>
      <c r="B53" s="50"/>
      <c r="C53" s="50"/>
      <c r="D53" s="50"/>
      <c r="E53" s="50"/>
      <c r="F53" s="50"/>
      <c r="G53" s="51"/>
    </row>
    <row r="54" spans="1:7" s="10" customFormat="1" ht="16.8" x14ac:dyDescent="0.3">
      <c r="A54" s="49"/>
      <c r="B54" s="50"/>
      <c r="C54" s="50"/>
      <c r="D54" s="50"/>
      <c r="E54" s="50"/>
      <c r="F54" s="50"/>
      <c r="G54" s="51"/>
    </row>
    <row r="55" spans="1:7" s="10" customFormat="1" ht="16.8" x14ac:dyDescent="0.3">
      <c r="A55" s="49"/>
      <c r="B55" s="50"/>
      <c r="C55" s="50"/>
      <c r="D55" s="50"/>
      <c r="E55" s="50"/>
      <c r="F55" s="50"/>
      <c r="G55" s="51"/>
    </row>
    <row r="56" spans="1:7" s="10" customFormat="1" ht="16.8" x14ac:dyDescent="0.3">
      <c r="A56" s="49"/>
      <c r="B56" s="50"/>
      <c r="C56" s="50"/>
      <c r="D56" s="50"/>
      <c r="E56" s="50"/>
      <c r="F56" s="50"/>
      <c r="G56" s="51"/>
    </row>
    <row r="57" spans="1:7" s="10" customFormat="1" ht="16.8" x14ac:dyDescent="0.3">
      <c r="A57" s="49"/>
      <c r="B57" s="50"/>
      <c r="C57" s="50"/>
      <c r="D57" s="50"/>
      <c r="E57" s="50"/>
      <c r="F57" s="50"/>
      <c r="G57" s="51"/>
    </row>
    <row r="58" spans="1:7" s="10" customFormat="1" ht="16.8" x14ac:dyDescent="0.3">
      <c r="A58" s="49"/>
      <c r="B58" s="50"/>
      <c r="C58" s="50"/>
      <c r="D58" s="50"/>
      <c r="E58" s="50"/>
      <c r="F58" s="50"/>
      <c r="G58" s="51"/>
    </row>
    <row r="59" spans="1:7" s="10" customFormat="1" ht="16.8" x14ac:dyDescent="0.3">
      <c r="A59" s="49"/>
      <c r="B59" s="50"/>
      <c r="C59" s="50"/>
      <c r="D59" s="50"/>
      <c r="E59" s="50"/>
      <c r="F59" s="50"/>
      <c r="G59" s="51"/>
    </row>
    <row r="60" spans="1:7" s="10" customFormat="1" ht="16.8" x14ac:dyDescent="0.3">
      <c r="A60" s="49"/>
      <c r="B60" s="50"/>
      <c r="C60" s="50"/>
      <c r="D60" s="50"/>
      <c r="E60" s="50"/>
      <c r="F60" s="50"/>
      <c r="G60" s="51"/>
    </row>
    <row r="61" spans="1:7" s="10" customFormat="1" ht="16.8" x14ac:dyDescent="0.3">
      <c r="A61" s="49"/>
      <c r="B61" s="50"/>
      <c r="C61" s="50"/>
      <c r="D61" s="50"/>
      <c r="E61" s="50"/>
      <c r="F61" s="50"/>
      <c r="G61" s="51"/>
    </row>
    <row r="62" spans="1:7" s="10" customFormat="1" ht="16.8" x14ac:dyDescent="0.3">
      <c r="A62" s="49"/>
      <c r="B62" s="50"/>
      <c r="C62" s="50"/>
      <c r="D62" s="50"/>
      <c r="E62" s="50"/>
      <c r="F62" s="50"/>
      <c r="G62" s="51"/>
    </row>
    <row r="63" spans="1:7" s="10" customFormat="1" ht="16.8" x14ac:dyDescent="0.3">
      <c r="A63" s="49"/>
      <c r="B63" s="50"/>
      <c r="C63" s="50"/>
      <c r="D63" s="50"/>
      <c r="E63" s="50"/>
      <c r="F63" s="50"/>
      <c r="G63" s="51"/>
    </row>
    <row r="64" spans="1:7" s="10" customFormat="1" ht="16.8" x14ac:dyDescent="0.3">
      <c r="A64" s="49"/>
      <c r="B64" s="50"/>
      <c r="C64" s="50"/>
      <c r="D64" s="50"/>
      <c r="E64" s="50"/>
      <c r="F64" s="50"/>
      <c r="G64" s="51"/>
    </row>
    <row r="65" spans="1:7" s="10" customFormat="1" ht="16.8" x14ac:dyDescent="0.3">
      <c r="A65" s="49"/>
      <c r="B65" s="50"/>
      <c r="C65" s="50"/>
      <c r="D65" s="50"/>
      <c r="E65" s="50"/>
      <c r="F65" s="50"/>
      <c r="G65" s="51"/>
    </row>
    <row r="66" spans="1:7" s="10" customFormat="1" ht="16.8" x14ac:dyDescent="0.3">
      <c r="A66" s="49"/>
      <c r="B66" s="50"/>
      <c r="C66" s="50"/>
      <c r="D66" s="50"/>
      <c r="E66" s="50"/>
      <c r="F66" s="50"/>
      <c r="G66" s="51"/>
    </row>
    <row r="67" spans="1:7" s="10" customFormat="1" ht="16.8" x14ac:dyDescent="0.3">
      <c r="A67" s="49"/>
      <c r="B67" s="50"/>
      <c r="C67" s="50"/>
      <c r="D67" s="50"/>
      <c r="E67" s="50"/>
      <c r="F67" s="50"/>
      <c r="G67" s="51"/>
    </row>
    <row r="68" spans="1:7" s="10" customFormat="1" ht="16.8" x14ac:dyDescent="0.3">
      <c r="A68" s="49"/>
      <c r="B68" s="50"/>
      <c r="C68" s="50"/>
      <c r="D68" s="50"/>
      <c r="E68" s="50"/>
      <c r="F68" s="50"/>
      <c r="G68" s="51"/>
    </row>
    <row r="69" spans="1:7" s="10" customFormat="1" ht="16.8" x14ac:dyDescent="0.3">
      <c r="A69" s="49"/>
      <c r="B69" s="50"/>
      <c r="C69" s="50"/>
      <c r="D69" s="50"/>
      <c r="E69" s="50"/>
      <c r="F69" s="50"/>
      <c r="G69" s="51"/>
    </row>
    <row r="70" spans="1:7" s="10" customFormat="1" ht="16.8" x14ac:dyDescent="0.3">
      <c r="A70" s="49"/>
      <c r="B70" s="50"/>
      <c r="C70" s="50"/>
      <c r="D70" s="50"/>
      <c r="E70" s="50"/>
      <c r="F70" s="50"/>
      <c r="G70" s="51"/>
    </row>
    <row r="71" spans="1:7" s="10" customFormat="1" ht="16.8" x14ac:dyDescent="0.3">
      <c r="A71" s="49"/>
      <c r="B71" s="50"/>
      <c r="C71" s="50"/>
      <c r="D71" s="50"/>
      <c r="E71" s="50"/>
      <c r="F71" s="50"/>
      <c r="G71" s="51"/>
    </row>
    <row r="72" spans="1:7" s="10" customFormat="1" ht="16.8" x14ac:dyDescent="0.3">
      <c r="A72" s="49"/>
      <c r="B72" s="50"/>
      <c r="C72" s="50"/>
      <c r="D72" s="50"/>
      <c r="E72" s="50"/>
      <c r="F72" s="50"/>
      <c r="G72" s="51"/>
    </row>
    <row r="73" spans="1:7" s="10" customFormat="1" ht="16.8" x14ac:dyDescent="0.3">
      <c r="A73" s="49"/>
      <c r="B73" s="50"/>
      <c r="C73" s="50"/>
      <c r="D73" s="50"/>
      <c r="E73" s="50"/>
      <c r="F73" s="50"/>
      <c r="G73" s="51"/>
    </row>
    <row r="74" spans="1:7" s="10" customFormat="1" ht="16.8" x14ac:dyDescent="0.3">
      <c r="A74" s="49"/>
      <c r="B74" s="50"/>
      <c r="C74" s="50"/>
      <c r="D74" s="50"/>
      <c r="E74" s="50"/>
      <c r="F74" s="50"/>
      <c r="G74" s="51"/>
    </row>
    <row r="75" spans="1:7" s="10" customFormat="1" ht="16.8" x14ac:dyDescent="0.3">
      <c r="A75" s="49"/>
      <c r="B75" s="50"/>
      <c r="C75" s="50"/>
      <c r="D75" s="50"/>
      <c r="E75" s="50"/>
      <c r="F75" s="50"/>
      <c r="G75" s="51"/>
    </row>
    <row r="76" spans="1:7" s="10" customFormat="1" ht="16.8" x14ac:dyDescent="0.3">
      <c r="A76" s="49"/>
      <c r="B76" s="50"/>
      <c r="C76" s="50"/>
      <c r="D76" s="50"/>
      <c r="E76" s="50"/>
      <c r="F76" s="50"/>
      <c r="G76" s="51"/>
    </row>
    <row r="77" spans="1:7" s="10" customFormat="1" ht="16.8" x14ac:dyDescent="0.3">
      <c r="A77" s="49"/>
      <c r="B77" s="50"/>
      <c r="C77" s="50"/>
      <c r="D77" s="50"/>
      <c r="E77" s="50"/>
      <c r="F77" s="50"/>
      <c r="G77" s="51"/>
    </row>
    <row r="78" spans="1:7" s="10" customFormat="1" ht="16.8" x14ac:dyDescent="0.3">
      <c r="A78" s="49"/>
      <c r="B78" s="50"/>
      <c r="C78" s="50"/>
      <c r="D78" s="50"/>
      <c r="E78" s="50"/>
      <c r="F78" s="50"/>
      <c r="G78" s="51"/>
    </row>
    <row r="79" spans="1:7" s="10" customFormat="1" ht="16.8" x14ac:dyDescent="0.3">
      <c r="A79" s="49"/>
      <c r="B79" s="50"/>
      <c r="C79" s="50"/>
      <c r="D79" s="50"/>
      <c r="E79" s="50"/>
      <c r="F79" s="50"/>
      <c r="G79" s="51"/>
    </row>
    <row r="80" spans="1:7" s="10" customFormat="1" ht="16.8" x14ac:dyDescent="0.3">
      <c r="A80" s="49"/>
      <c r="B80" s="50"/>
      <c r="C80" s="50"/>
      <c r="D80" s="50"/>
      <c r="E80" s="50"/>
      <c r="F80" s="50"/>
      <c r="G80" s="51"/>
    </row>
    <row r="81" spans="1:7" s="10" customFormat="1" ht="16.8" x14ac:dyDescent="0.3">
      <c r="A81" s="49"/>
      <c r="B81" s="50"/>
      <c r="C81" s="50"/>
      <c r="D81" s="50"/>
      <c r="E81" s="50"/>
      <c r="F81" s="50"/>
      <c r="G81" s="51"/>
    </row>
    <row r="82" spans="1:7" s="10" customFormat="1" ht="16.8" x14ac:dyDescent="0.3">
      <c r="A82" s="49"/>
      <c r="B82" s="50"/>
      <c r="C82" s="50"/>
      <c r="D82" s="50"/>
      <c r="E82" s="50"/>
      <c r="F82" s="50"/>
      <c r="G82" s="51"/>
    </row>
    <row r="83" spans="1:7" s="10" customFormat="1" ht="16.8" x14ac:dyDescent="0.3">
      <c r="A83" s="49"/>
      <c r="B83" s="50"/>
      <c r="C83" s="50"/>
      <c r="D83" s="50"/>
      <c r="E83" s="50"/>
      <c r="F83" s="50"/>
      <c r="G83" s="51"/>
    </row>
    <row r="84" spans="1:7" s="10" customFormat="1" ht="16.8" x14ac:dyDescent="0.3">
      <c r="A84" s="49"/>
      <c r="B84" s="50"/>
      <c r="C84" s="50"/>
      <c r="D84" s="50"/>
      <c r="E84" s="50"/>
      <c r="F84" s="50"/>
      <c r="G84" s="51"/>
    </row>
    <row r="85" spans="1:7" s="10" customFormat="1" ht="16.8" x14ac:dyDescent="0.3">
      <c r="A85" s="49"/>
      <c r="B85" s="50"/>
      <c r="C85" s="50"/>
      <c r="D85" s="50"/>
      <c r="E85" s="50"/>
      <c r="F85" s="50"/>
      <c r="G85" s="51"/>
    </row>
    <row r="86" spans="1:7" s="10" customFormat="1" ht="16.8" x14ac:dyDescent="0.3">
      <c r="A86" s="49"/>
      <c r="B86" s="50"/>
      <c r="C86" s="50"/>
      <c r="D86" s="50"/>
      <c r="E86" s="50"/>
      <c r="F86" s="50"/>
      <c r="G86" s="51"/>
    </row>
    <row r="87" spans="1:7" s="10" customFormat="1" ht="16.8" x14ac:dyDescent="0.3">
      <c r="A87" s="49"/>
      <c r="B87" s="50"/>
      <c r="C87" s="50"/>
      <c r="D87" s="50"/>
      <c r="E87" s="50"/>
      <c r="F87" s="50"/>
      <c r="G87" s="51"/>
    </row>
    <row r="88" spans="1:7" s="10" customFormat="1" ht="16.8" x14ac:dyDescent="0.3">
      <c r="A88" s="49"/>
      <c r="B88" s="50"/>
      <c r="C88" s="50"/>
      <c r="D88" s="50"/>
      <c r="E88" s="50"/>
      <c r="F88" s="50"/>
      <c r="G88" s="51"/>
    </row>
    <row r="89" spans="1:7" s="10" customFormat="1" ht="16.8" x14ac:dyDescent="0.3">
      <c r="A89" s="49"/>
      <c r="B89" s="50"/>
      <c r="C89" s="50"/>
      <c r="D89" s="50"/>
      <c r="E89" s="50"/>
      <c r="F89" s="50"/>
      <c r="G89" s="51"/>
    </row>
    <row r="90" spans="1:7" s="10" customFormat="1" ht="16.8" x14ac:dyDescent="0.3">
      <c r="A90" s="49"/>
      <c r="B90" s="50"/>
      <c r="C90" s="50"/>
      <c r="D90" s="50"/>
      <c r="E90" s="50"/>
      <c r="F90" s="50"/>
      <c r="G90" s="51"/>
    </row>
    <row r="91" spans="1:7" s="10" customFormat="1" ht="16.8" x14ac:dyDescent="0.3">
      <c r="A91" s="49"/>
      <c r="B91" s="50"/>
      <c r="C91" s="50"/>
      <c r="D91" s="50"/>
      <c r="E91" s="50"/>
      <c r="F91" s="50"/>
      <c r="G91" s="51"/>
    </row>
    <row r="92" spans="1:7" s="10" customFormat="1" ht="16.8" x14ac:dyDescent="0.3">
      <c r="A92" s="49"/>
      <c r="B92" s="50"/>
      <c r="C92" s="50"/>
      <c r="D92" s="50"/>
      <c r="E92" s="50"/>
      <c r="F92" s="50"/>
      <c r="G92" s="51"/>
    </row>
    <row r="93" spans="1:7" s="10" customFormat="1" ht="16.8" x14ac:dyDescent="0.3">
      <c r="A93" s="49"/>
      <c r="B93" s="50"/>
      <c r="C93" s="50"/>
      <c r="D93" s="50"/>
      <c r="E93" s="50"/>
      <c r="F93" s="50"/>
      <c r="G93" s="51"/>
    </row>
    <row r="94" spans="1:7" s="10" customFormat="1" ht="16.8" x14ac:dyDescent="0.3">
      <c r="A94" s="49"/>
      <c r="B94" s="50"/>
      <c r="C94" s="50"/>
      <c r="D94" s="50"/>
      <c r="E94" s="50"/>
      <c r="F94" s="50"/>
      <c r="G94" s="51"/>
    </row>
    <row r="95" spans="1:7" s="10" customFormat="1" ht="16.8" x14ac:dyDescent="0.3">
      <c r="A95" s="49"/>
      <c r="B95" s="50"/>
      <c r="C95" s="50"/>
      <c r="D95" s="50"/>
      <c r="E95" s="50"/>
      <c r="F95" s="50"/>
      <c r="G95" s="51"/>
    </row>
    <row r="96" spans="1:7" s="10" customFormat="1" ht="16.8" x14ac:dyDescent="0.3">
      <c r="A96" s="49"/>
      <c r="B96" s="50"/>
      <c r="C96" s="50"/>
      <c r="D96" s="50"/>
      <c r="E96" s="50"/>
      <c r="F96" s="50"/>
      <c r="G96" s="51"/>
    </row>
    <row r="97" spans="1:7" ht="17.399999999999999" thickBot="1" x14ac:dyDescent="0.35">
      <c r="A97" s="52"/>
      <c r="B97" s="53"/>
      <c r="C97" s="53"/>
      <c r="D97" s="53"/>
      <c r="E97" s="53"/>
      <c r="F97" s="53"/>
      <c r="G97" s="54"/>
    </row>
    <row r="98" spans="1:7" ht="16.2" thickTop="1" x14ac:dyDescent="0.3"/>
  </sheetData>
  <phoneticPr fontId="0" type="noConversion"/>
  <conditionalFormatting sqref="E11">
    <cfRule type="cellIs" dxfId="10" priority="4" stopIfTrue="1" operator="greaterThan">
      <formula>60</formula>
    </cfRule>
    <cfRule type="cellIs" dxfId="9" priority="5" stopIfTrue="1" operator="between">
      <formula>30</formula>
      <formula>60</formula>
    </cfRule>
  </conditionalFormatting>
  <hyperlinks>
    <hyperlink ref="G1" r:id="rId1" xr:uid="{BB082F87-5E3D-4784-A28A-3CE3FDF686E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workbookViewId="0">
      <pane ySplit="2" topLeftCell="A3" activePane="bottomLeft" state="frozen"/>
      <selection pane="bottomLeft" activeCell="A3" sqref="A3"/>
    </sheetView>
  </sheetViews>
  <sheetFormatPr defaultColWidth="13" defaultRowHeight="15.6" x14ac:dyDescent="0.3"/>
  <cols>
    <col min="1" max="1" width="29.8984375" style="55" bestFit="1" customWidth="1"/>
    <col min="2" max="2" width="5.8984375" style="55" bestFit="1" customWidth="1"/>
    <col min="3" max="3" width="7.09765625" style="56" hidden="1" customWidth="1"/>
    <col min="4" max="4" width="5.796875" style="56" hidden="1" customWidth="1"/>
    <col min="5" max="5" width="9.19921875" style="56" bestFit="1" customWidth="1"/>
    <col min="6" max="6" width="6.69921875" style="56" bestFit="1" customWidth="1"/>
    <col min="7" max="7" width="5.8984375" style="56" bestFit="1" customWidth="1"/>
    <col min="8" max="8" width="4.69921875" style="56" bestFit="1" customWidth="1"/>
    <col min="9" max="9" width="6.8984375" style="56" bestFit="1" customWidth="1"/>
    <col min="10" max="10" width="33.796875" style="55" bestFit="1" customWidth="1"/>
    <col min="11" max="16384" width="13" style="14"/>
  </cols>
  <sheetData>
    <row r="1" spans="1:10" ht="23.4" thickBot="1" x14ac:dyDescent="0.35">
      <c r="A1" s="57" t="s">
        <v>7</v>
      </c>
      <c r="B1" s="58"/>
      <c r="C1" s="58"/>
      <c r="D1" s="58"/>
      <c r="E1" s="58"/>
      <c r="F1" s="58"/>
      <c r="G1" s="58"/>
      <c r="H1" s="58"/>
      <c r="I1" s="58"/>
      <c r="J1" s="58"/>
    </row>
    <row r="2" spans="1:10" s="10" customFormat="1" ht="34.200000000000003" thickBot="1" x14ac:dyDescent="0.35">
      <c r="A2" s="5" t="s">
        <v>102</v>
      </c>
      <c r="B2" s="6" t="s">
        <v>23</v>
      </c>
      <c r="C2" s="6" t="s">
        <v>30</v>
      </c>
      <c r="D2" s="6" t="s">
        <v>22</v>
      </c>
      <c r="E2" s="7" t="s">
        <v>55</v>
      </c>
      <c r="F2" s="7" t="s">
        <v>31</v>
      </c>
      <c r="G2" s="7" t="s">
        <v>57</v>
      </c>
      <c r="H2" s="8" t="s">
        <v>101</v>
      </c>
      <c r="I2" s="6" t="s">
        <v>78</v>
      </c>
      <c r="J2" s="9" t="s">
        <v>76</v>
      </c>
    </row>
    <row r="3" spans="1:10" s="10" customFormat="1" ht="16.8" x14ac:dyDescent="0.3">
      <c r="A3" s="59" t="s">
        <v>60</v>
      </c>
      <c r="B3" s="60">
        <f>0+2</f>
        <v>2</v>
      </c>
      <c r="C3" s="61" t="s">
        <v>25</v>
      </c>
      <c r="D3" s="61" t="str">
        <f>IF(C3="Str",'Personal File'!$C$10,IF(C3="Dex",'Personal File'!$C$11,IF(C3="Con",'Personal File'!$C$12,IF(C3="Int",'Personal File'!$C$13,IF(C3="Wis",'Personal File'!$C$14,IF(C3="Cha",'Personal File'!$C$15))))))</f>
        <v>+0</v>
      </c>
      <c r="E3" s="62" t="str">
        <f t="shared" ref="E3:E5" si="0">CONCATENATE(C3," (",D3,")")</f>
        <v>Con (+0)</v>
      </c>
      <c r="F3" s="63">
        <v>1</v>
      </c>
      <c r="G3" s="64">
        <f t="shared" ref="G3:G44" si="1">B3+D3+F3</f>
        <v>3</v>
      </c>
      <c r="H3" s="65">
        <f t="shared" ref="H3:H5" ca="1" si="2">RANDBETWEEN(1,20)</f>
        <v>17</v>
      </c>
      <c r="I3" s="64">
        <f ca="1">SUM(G3:H3)</f>
        <v>20</v>
      </c>
      <c r="J3" s="66" t="s">
        <v>193</v>
      </c>
    </row>
    <row r="4" spans="1:10" s="10" customFormat="1" ht="16.8" x14ac:dyDescent="0.3">
      <c r="A4" s="67" t="s">
        <v>61</v>
      </c>
      <c r="B4" s="60">
        <f t="shared" ref="B4:B5" si="3">2+0</f>
        <v>2</v>
      </c>
      <c r="C4" s="61" t="s">
        <v>28</v>
      </c>
      <c r="D4" s="61" t="str">
        <f>IF(C4="Str",'Personal File'!$C$10,IF(C4="Dex",'Personal File'!$C$11,IF(C4="Con",'Personal File'!$C$12,IF(C4="Int",'Personal File'!$C$13,IF(C4="Wis",'Personal File'!$C$14,IF(C4="Cha",'Personal File'!$C$15))))))</f>
        <v>+3</v>
      </c>
      <c r="E4" s="68" t="str">
        <f t="shared" si="0"/>
        <v>Dex (+3)</v>
      </c>
      <c r="F4" s="63">
        <v>0</v>
      </c>
      <c r="G4" s="64">
        <f t="shared" si="1"/>
        <v>5</v>
      </c>
      <c r="H4" s="65">
        <f t="shared" ca="1" si="2"/>
        <v>15</v>
      </c>
      <c r="I4" s="64">
        <f ca="1">SUM(G4:H4)</f>
        <v>20</v>
      </c>
      <c r="J4" s="82"/>
    </row>
    <row r="5" spans="1:10" s="10" customFormat="1" ht="16.8" x14ac:dyDescent="0.3">
      <c r="A5" s="69" t="s">
        <v>62</v>
      </c>
      <c r="B5" s="70">
        <f t="shared" si="3"/>
        <v>2</v>
      </c>
      <c r="C5" s="71" t="s">
        <v>27</v>
      </c>
      <c r="D5" s="71" t="str">
        <f>IF(C5="Str",'Personal File'!$C$10,IF(C5="Dex",'Personal File'!$C$11,IF(C5="Con",'Personal File'!$C$12,IF(C5="Int",'Personal File'!$C$13,IF(C5="Wis",'Personal File'!$C$14,IF(C5="Cha",'Personal File'!$C$15))))))</f>
        <v>+1</v>
      </c>
      <c r="E5" s="72" t="str">
        <f t="shared" si="0"/>
        <v>Wis (+1)</v>
      </c>
      <c r="F5" s="293">
        <v>1</v>
      </c>
      <c r="G5" s="73">
        <f t="shared" si="1"/>
        <v>4</v>
      </c>
      <c r="H5" s="74">
        <f t="shared" ca="1" si="2"/>
        <v>8</v>
      </c>
      <c r="I5" s="73">
        <f ca="1">SUM(G5:H5)</f>
        <v>12</v>
      </c>
      <c r="J5" s="75" t="s">
        <v>193</v>
      </c>
    </row>
    <row r="6" spans="1:10" s="83" customFormat="1" ht="16.8" x14ac:dyDescent="0.3">
      <c r="A6" s="76" t="s">
        <v>32</v>
      </c>
      <c r="B6" s="61">
        <v>0</v>
      </c>
      <c r="C6" s="77" t="s">
        <v>26</v>
      </c>
      <c r="D6" s="78" t="str">
        <f>IF(C6="Str",'Personal File'!$C$10,IF(C6="Dex",'Personal File'!$C$11,IF(C6="Con",'Personal File'!$C$12,IF(C6="Int",'Personal File'!$C$13,IF(C6="Wis",'Personal File'!$C$14,IF(C6="Cha",'Personal File'!$C$15))))))</f>
        <v>+0</v>
      </c>
      <c r="E6" s="79" t="str">
        <f t="shared" ref="E6:E44" si="4">CONCATENATE(C6," (",D6,")")</f>
        <v>Int (+0)</v>
      </c>
      <c r="F6" s="80" t="s">
        <v>56</v>
      </c>
      <c r="G6" s="81">
        <f t="shared" si="1"/>
        <v>0</v>
      </c>
      <c r="H6" s="65">
        <f ca="1">RANDBETWEEN(1,20)</f>
        <v>18</v>
      </c>
      <c r="I6" s="81">
        <f t="shared" ref="I6:I44" ca="1" si="5">SUM(G6:H6)</f>
        <v>18</v>
      </c>
      <c r="J6" s="82"/>
    </row>
    <row r="7" spans="1:10" s="87" customFormat="1" ht="16.8" x14ac:dyDescent="0.3">
      <c r="A7" s="320" t="s">
        <v>33</v>
      </c>
      <c r="B7" s="357">
        <v>2</v>
      </c>
      <c r="C7" s="321" t="s">
        <v>28</v>
      </c>
      <c r="D7" s="322" t="str">
        <f>IF(C7="Str",'Personal File'!$C$10,IF(C7="Dex",'Personal File'!$C$11,IF(C7="Con",'Personal File'!$C$12,IF(C7="Int",'Personal File'!$C$13,IF(C7="Wis",'Personal File'!$C$14,IF(C7="Cha",'Personal File'!$C$15))))))</f>
        <v>+3</v>
      </c>
      <c r="E7" s="323" t="str">
        <f t="shared" si="4"/>
        <v>Dex (+3)</v>
      </c>
      <c r="F7" s="325">
        <f>SUM(Martial!$D$13:$D$14)*-1</f>
        <v>0</v>
      </c>
      <c r="G7" s="245">
        <f t="shared" si="1"/>
        <v>5</v>
      </c>
      <c r="H7" s="65">
        <f t="shared" ref="H7:H43" ca="1" si="6">RANDBETWEEN(1,20)</f>
        <v>16</v>
      </c>
      <c r="I7" s="245">
        <f t="shared" ca="1" si="5"/>
        <v>21</v>
      </c>
      <c r="J7" s="246"/>
    </row>
    <row r="8" spans="1:10" s="92" customFormat="1" ht="16.8" x14ac:dyDescent="0.3">
      <c r="A8" s="230" t="s">
        <v>34</v>
      </c>
      <c r="B8" s="356">
        <v>3</v>
      </c>
      <c r="C8" s="231" t="s">
        <v>24</v>
      </c>
      <c r="D8" s="232" t="str">
        <f>IF(C8="Str",'Personal File'!$C$10,IF(C8="Dex",'Personal File'!$C$11,IF(C8="Con",'Personal File'!$C$12,IF(C8="Int",'Personal File'!$C$13,IF(C8="Wis",'Personal File'!$C$14,IF(C8="Cha",'Personal File'!$C$15))))))</f>
        <v>+2</v>
      </c>
      <c r="E8" s="233" t="str">
        <f t="shared" si="4"/>
        <v>Cha (+2)</v>
      </c>
      <c r="F8" s="245" t="s">
        <v>56</v>
      </c>
      <c r="G8" s="228">
        <f t="shared" si="1"/>
        <v>5</v>
      </c>
      <c r="H8" s="65">
        <f t="shared" ca="1" si="6"/>
        <v>6</v>
      </c>
      <c r="I8" s="228">
        <f t="shared" ca="1" si="5"/>
        <v>11</v>
      </c>
      <c r="J8" s="229"/>
    </row>
    <row r="9" spans="1:10" s="97" customFormat="1" ht="16.8" x14ac:dyDescent="0.3">
      <c r="A9" s="93" t="s">
        <v>35</v>
      </c>
      <c r="B9" s="61">
        <v>0</v>
      </c>
      <c r="C9" s="94" t="s">
        <v>29</v>
      </c>
      <c r="D9" s="95" t="str">
        <f>IF(C9="Str",'Personal File'!$C$10,IF(C9="Dex",'Personal File'!$C$11,IF(C9="Con",'Personal File'!$C$12,IF(C9="Int",'Personal File'!$C$13,IF(C9="Wis",'Personal File'!$C$14,IF(C9="Cha",'Personal File'!$C$15))))))</f>
        <v>+1</v>
      </c>
      <c r="E9" s="96" t="str">
        <f t="shared" si="4"/>
        <v>Str (+1)</v>
      </c>
      <c r="F9" s="80">
        <f>SUM(Martial!$D$13:$D$14)*-1</f>
        <v>0</v>
      </c>
      <c r="G9" s="81">
        <f t="shared" si="1"/>
        <v>1</v>
      </c>
      <c r="H9" s="65">
        <f t="shared" ca="1" si="6"/>
        <v>13</v>
      </c>
      <c r="I9" s="81">
        <f t="shared" ca="1" si="5"/>
        <v>14</v>
      </c>
      <c r="J9" s="82"/>
    </row>
    <row r="10" spans="1:10" s="97" customFormat="1" ht="16.8" x14ac:dyDescent="0.3">
      <c r="A10" s="447" t="s">
        <v>8</v>
      </c>
      <c r="B10" s="441">
        <v>0</v>
      </c>
      <c r="C10" s="448" t="s">
        <v>25</v>
      </c>
      <c r="D10" s="449" t="str">
        <f>IF(C10="Str",'Personal File'!$C$10,IF(C10="Dex",'Personal File'!$C$11,IF(C10="Con",'Personal File'!$C$12,IF(C10="Int",'Personal File'!$C$13,IF(C10="Wis",'Personal File'!$C$14,IF(C10="Cha",'Personal File'!$C$15))))))</f>
        <v>+0</v>
      </c>
      <c r="E10" s="450" t="str">
        <f t="shared" si="4"/>
        <v>Con (+0)</v>
      </c>
      <c r="F10" s="445" t="s">
        <v>56</v>
      </c>
      <c r="G10" s="445">
        <f t="shared" si="1"/>
        <v>0</v>
      </c>
      <c r="H10" s="65">
        <f t="shared" ca="1" si="6"/>
        <v>7</v>
      </c>
      <c r="I10" s="445">
        <f t="shared" ca="1" si="5"/>
        <v>7</v>
      </c>
      <c r="J10" s="451"/>
    </row>
    <row r="11" spans="1:10" s="83" customFormat="1" ht="16.8" x14ac:dyDescent="0.3">
      <c r="A11" s="76" t="s">
        <v>83</v>
      </c>
      <c r="B11" s="61">
        <v>0</v>
      </c>
      <c r="C11" s="77" t="s">
        <v>26</v>
      </c>
      <c r="D11" s="78" t="str">
        <f>IF(C11="Str",'Personal File'!$C$10,IF(C11="Dex",'Personal File'!$C$11,IF(C11="Con",'Personal File'!$C$12,IF(C11="Int",'Personal File'!$C$13,IF(C11="Wis",'Personal File'!$C$14,IF(C11="Cha",'Personal File'!$C$15))))))</f>
        <v>+0</v>
      </c>
      <c r="E11" s="79" t="str">
        <f t="shared" si="4"/>
        <v>Int (+0)</v>
      </c>
      <c r="F11" s="81" t="s">
        <v>56</v>
      </c>
      <c r="G11" s="81">
        <f t="shared" si="1"/>
        <v>0</v>
      </c>
      <c r="H11" s="65">
        <f t="shared" ca="1" si="6"/>
        <v>15</v>
      </c>
      <c r="I11" s="81">
        <f t="shared" ca="1" si="5"/>
        <v>15</v>
      </c>
      <c r="J11" s="82"/>
    </row>
    <row r="12" spans="1:10" s="107" customFormat="1" ht="16.8" x14ac:dyDescent="0.3">
      <c r="A12" s="76" t="s">
        <v>36</v>
      </c>
      <c r="B12" s="61">
        <v>0</v>
      </c>
      <c r="C12" s="77" t="s">
        <v>26</v>
      </c>
      <c r="D12" s="78" t="str">
        <f>IF(C12="Str",'Personal File'!$C$10,IF(C12="Dex",'Personal File'!$C$11,IF(C12="Con",'Personal File'!$C$12,IF(C12="Int",'Personal File'!$C$13,IF(C12="Wis",'Personal File'!$C$14,IF(C12="Cha",'Personal File'!$C$15))))))</f>
        <v>+0</v>
      </c>
      <c r="E12" s="79" t="str">
        <f t="shared" si="4"/>
        <v>Int (+0)</v>
      </c>
      <c r="F12" s="81" t="s">
        <v>56</v>
      </c>
      <c r="G12" s="81">
        <f t="shared" si="1"/>
        <v>0</v>
      </c>
      <c r="H12" s="65">
        <f t="shared" ca="1" si="6"/>
        <v>3</v>
      </c>
      <c r="I12" s="81">
        <f t="shared" ref="I12" ca="1" si="7">SUM(G12:H12)</f>
        <v>3</v>
      </c>
      <c r="J12" s="82"/>
    </row>
    <row r="13" spans="1:10" s="87" customFormat="1" ht="16.8" x14ac:dyDescent="0.3">
      <c r="A13" s="230" t="s">
        <v>37</v>
      </c>
      <c r="B13" s="356">
        <v>1</v>
      </c>
      <c r="C13" s="231" t="s">
        <v>24</v>
      </c>
      <c r="D13" s="232" t="str">
        <f>IF(C13="Str",'Personal File'!$C$10,IF(C13="Dex",'Personal File'!$C$11,IF(C13="Con",'Personal File'!$C$12,IF(C13="Int",'Personal File'!$C$13,IF(C13="Wis",'Personal File'!$C$14,IF(C13="Cha",'Personal File'!$C$15))))))</f>
        <v>+2</v>
      </c>
      <c r="E13" s="233" t="str">
        <f t="shared" si="4"/>
        <v>Cha (+2)</v>
      </c>
      <c r="F13" s="325">
        <f>1+2</f>
        <v>3</v>
      </c>
      <c r="G13" s="228">
        <f t="shared" si="1"/>
        <v>6</v>
      </c>
      <c r="H13" s="65">
        <f t="shared" ca="1" si="6"/>
        <v>18</v>
      </c>
      <c r="I13" s="228">
        <f t="shared" ca="1" si="5"/>
        <v>24</v>
      </c>
      <c r="J13" s="229"/>
    </row>
    <row r="14" spans="1:10" s="87" customFormat="1" ht="16.8" x14ac:dyDescent="0.3">
      <c r="A14" s="101" t="s">
        <v>38</v>
      </c>
      <c r="B14" s="358">
        <v>0</v>
      </c>
      <c r="C14" s="102" t="s">
        <v>26</v>
      </c>
      <c r="D14" s="103" t="str">
        <f>IF(C14="Str",'Personal File'!$C$10,IF(C14="Dex",'Personal File'!$C$11,IF(C14="Con",'Personal File'!$C$12,IF(C14="Int",'Personal File'!$C$13,IF(C14="Wis",'Personal File'!$C$14,IF(C14="Cha",'Personal File'!$C$15))))))</f>
        <v>+0</v>
      </c>
      <c r="E14" s="104" t="str">
        <f t="shared" si="4"/>
        <v>Int (+0)</v>
      </c>
      <c r="F14" s="105" t="s">
        <v>56</v>
      </c>
      <c r="G14" s="105">
        <f t="shared" si="1"/>
        <v>0</v>
      </c>
      <c r="H14" s="65">
        <f t="shared" ca="1" si="6"/>
        <v>8</v>
      </c>
      <c r="I14" s="105">
        <f t="shared" ref="I14" ca="1" si="8">SUM(G14:H14)</f>
        <v>8</v>
      </c>
      <c r="J14" s="106"/>
    </row>
    <row r="15" spans="1:10" s="87" customFormat="1" ht="16.8" x14ac:dyDescent="0.3">
      <c r="A15" s="88" t="s">
        <v>39</v>
      </c>
      <c r="B15" s="61">
        <v>0</v>
      </c>
      <c r="C15" s="89" t="s">
        <v>24</v>
      </c>
      <c r="D15" s="90" t="str">
        <f>IF(C15="Str",'Personal File'!$C$10,IF(C15="Dex",'Personal File'!$C$11,IF(C15="Con",'Personal File'!$C$12,IF(C15="Int",'Personal File'!$C$13,IF(C15="Wis",'Personal File'!$C$14,IF(C15="Cha",'Personal File'!$C$15))))))</f>
        <v>+2</v>
      </c>
      <c r="E15" s="91" t="str">
        <f t="shared" si="4"/>
        <v>Cha (+2)</v>
      </c>
      <c r="F15" s="80">
        <v>0</v>
      </c>
      <c r="G15" s="81">
        <f t="shared" si="1"/>
        <v>2</v>
      </c>
      <c r="H15" s="65">
        <f t="shared" ca="1" si="6"/>
        <v>12</v>
      </c>
      <c r="I15" s="81">
        <f t="shared" ca="1" si="5"/>
        <v>14</v>
      </c>
      <c r="J15" s="82"/>
    </row>
    <row r="16" spans="1:10" s="87" customFormat="1" ht="16.8" x14ac:dyDescent="0.3">
      <c r="A16" s="84" t="s">
        <v>40</v>
      </c>
      <c r="B16" s="61">
        <v>0</v>
      </c>
      <c r="C16" s="85" t="s">
        <v>28</v>
      </c>
      <c r="D16" s="86" t="str">
        <f>IF(C16="Str",'Personal File'!$C$10,IF(C16="Dex",'Personal File'!$C$11,IF(C16="Con",'Personal File'!$C$12,IF(C16="Int",'Personal File'!$C$13,IF(C16="Wis",'Personal File'!$C$14,IF(C16="Cha",'Personal File'!$C$15))))))</f>
        <v>+3</v>
      </c>
      <c r="E16" s="68" t="str">
        <f t="shared" si="4"/>
        <v>Dex (+3)</v>
      </c>
      <c r="F16" s="80">
        <f>SUM(Martial!$D$13:$D$14)*-1</f>
        <v>0</v>
      </c>
      <c r="G16" s="81">
        <f t="shared" si="1"/>
        <v>3</v>
      </c>
      <c r="H16" s="65">
        <f t="shared" ca="1" si="6"/>
        <v>5</v>
      </c>
      <c r="I16" s="81">
        <f t="shared" ca="1" si="5"/>
        <v>8</v>
      </c>
      <c r="J16" s="82"/>
    </row>
    <row r="17" spans="1:10" s="87" customFormat="1" ht="16.8" x14ac:dyDescent="0.3">
      <c r="A17" s="108" t="s">
        <v>41</v>
      </c>
      <c r="B17" s="359">
        <v>0</v>
      </c>
      <c r="C17" s="109" t="s">
        <v>26</v>
      </c>
      <c r="D17" s="110" t="str">
        <f>IF(C17="Str",'Personal File'!$C$10,IF(C17="Dex",'Personal File'!$C$11,IF(C17="Con",'Personal File'!$C$12,IF(C17="Int",'Personal File'!$C$13,IF(C17="Wis",'Personal File'!$C$14,IF(C17="Cha",'Personal File'!$C$15))))))</f>
        <v>+0</v>
      </c>
      <c r="E17" s="111" t="str">
        <f t="shared" si="4"/>
        <v>Int (+0)</v>
      </c>
      <c r="F17" s="112" t="s">
        <v>56</v>
      </c>
      <c r="G17" s="112">
        <f t="shared" si="1"/>
        <v>0</v>
      </c>
      <c r="H17" s="65">
        <f t="shared" ca="1" si="6"/>
        <v>6</v>
      </c>
      <c r="I17" s="112">
        <f t="shared" ca="1" si="5"/>
        <v>6</v>
      </c>
      <c r="J17" s="113"/>
    </row>
    <row r="18" spans="1:10" s="87" customFormat="1" ht="16.8" x14ac:dyDescent="0.3">
      <c r="A18" s="230" t="s">
        <v>42</v>
      </c>
      <c r="B18" s="356">
        <v>1</v>
      </c>
      <c r="C18" s="231" t="s">
        <v>24</v>
      </c>
      <c r="D18" s="232" t="str">
        <f>IF(C18="Str",'Personal File'!$C$10,IF(C18="Dex",'Personal File'!$C$11,IF(C18="Con",'Personal File'!$C$12,IF(C18="Int",'Personal File'!$C$13,IF(C18="Wis",'Personal File'!$C$14,IF(C18="Cha",'Personal File'!$C$15))))))</f>
        <v>+2</v>
      </c>
      <c r="E18" s="233" t="str">
        <f t="shared" si="4"/>
        <v>Cha (+2)</v>
      </c>
      <c r="F18" s="245" t="s">
        <v>56</v>
      </c>
      <c r="G18" s="228">
        <f t="shared" si="1"/>
        <v>3</v>
      </c>
      <c r="H18" s="65">
        <f t="shared" ca="1" si="6"/>
        <v>8</v>
      </c>
      <c r="I18" s="228">
        <f t="shared" ca="1" si="5"/>
        <v>11</v>
      </c>
      <c r="J18" s="229"/>
    </row>
    <row r="19" spans="1:10" s="87" customFormat="1" ht="16.8" x14ac:dyDescent="0.3">
      <c r="A19" s="88" t="s">
        <v>10</v>
      </c>
      <c r="B19" s="61">
        <v>0</v>
      </c>
      <c r="C19" s="89" t="s">
        <v>24</v>
      </c>
      <c r="D19" s="90" t="str">
        <f>IF(C19="Str",'Personal File'!$C$10,IF(C19="Dex",'Personal File'!$C$11,IF(C19="Con",'Personal File'!$C$12,IF(C19="Int",'Personal File'!$C$13,IF(C19="Wis",'Personal File'!$C$14,IF(C19="Cha",'Personal File'!$C$15))))))</f>
        <v>+2</v>
      </c>
      <c r="E19" s="91" t="str">
        <f t="shared" si="4"/>
        <v>Cha (+2)</v>
      </c>
      <c r="F19" s="81" t="s">
        <v>56</v>
      </c>
      <c r="G19" s="81">
        <f t="shared" si="1"/>
        <v>2</v>
      </c>
      <c r="H19" s="65">
        <f t="shared" ca="1" si="6"/>
        <v>16</v>
      </c>
      <c r="I19" s="81">
        <f t="shared" ca="1" si="5"/>
        <v>18</v>
      </c>
      <c r="J19" s="82"/>
    </row>
    <row r="20" spans="1:10" s="87" customFormat="1" ht="16.8" x14ac:dyDescent="0.3">
      <c r="A20" s="118" t="s">
        <v>43</v>
      </c>
      <c r="B20" s="61">
        <v>0</v>
      </c>
      <c r="C20" s="119" t="s">
        <v>27</v>
      </c>
      <c r="D20" s="120" t="str">
        <f>IF(C20="Str",'Personal File'!$C$10,IF(C20="Dex",'Personal File'!$C$11,IF(C20="Con",'Personal File'!$C$12,IF(C20="Int",'Personal File'!$C$13,IF(C20="Wis",'Personal File'!$C$14,IF(C20="Cha",'Personal File'!$C$15))))))</f>
        <v>+1</v>
      </c>
      <c r="E20" s="121" t="str">
        <f t="shared" si="4"/>
        <v>Wis (+1)</v>
      </c>
      <c r="F20" s="81" t="s">
        <v>56</v>
      </c>
      <c r="G20" s="81">
        <f t="shared" si="1"/>
        <v>1</v>
      </c>
      <c r="H20" s="65">
        <f t="shared" ca="1" si="6"/>
        <v>2</v>
      </c>
      <c r="I20" s="81">
        <f t="shared" ca="1" si="5"/>
        <v>3</v>
      </c>
      <c r="J20" s="82"/>
    </row>
    <row r="21" spans="1:10" s="87" customFormat="1" ht="16.8" x14ac:dyDescent="0.3">
      <c r="A21" s="84" t="s">
        <v>44</v>
      </c>
      <c r="B21" s="61">
        <v>0</v>
      </c>
      <c r="C21" s="85" t="s">
        <v>28</v>
      </c>
      <c r="D21" s="86" t="str">
        <f>IF(C21="Str",'Personal File'!$C$10,IF(C21="Dex",'Personal File'!$C$11,IF(C21="Con",'Personal File'!$C$12,IF(C21="Int",'Personal File'!$C$13,IF(C21="Wis",'Personal File'!$C$14,IF(C21="Cha",'Personal File'!$C$15))))))</f>
        <v>+3</v>
      </c>
      <c r="E21" s="68" t="str">
        <f t="shared" si="4"/>
        <v>Dex (+3)</v>
      </c>
      <c r="F21" s="80">
        <f>SUM(Martial!$D$13:$D$14)*-1</f>
        <v>0</v>
      </c>
      <c r="G21" s="81">
        <f t="shared" si="1"/>
        <v>3</v>
      </c>
      <c r="H21" s="65">
        <f t="shared" ca="1" si="6"/>
        <v>4</v>
      </c>
      <c r="I21" s="81">
        <f t="shared" ca="1" si="5"/>
        <v>7</v>
      </c>
      <c r="J21" s="82"/>
    </row>
    <row r="22" spans="1:10" s="87" customFormat="1" ht="16.8" x14ac:dyDescent="0.3">
      <c r="A22" s="88" t="s">
        <v>45</v>
      </c>
      <c r="B22" s="61">
        <v>0</v>
      </c>
      <c r="C22" s="89" t="s">
        <v>24</v>
      </c>
      <c r="D22" s="90" t="str">
        <f>IF(C22="Str",'Personal File'!$C$10,IF(C22="Dex",'Personal File'!$C$11,IF(C22="Con",'Personal File'!$C$12,IF(C22="Int",'Personal File'!$C$13,IF(C22="Wis",'Personal File'!$C$14,IF(C22="Cha",'Personal File'!$C$15))))))</f>
        <v>+2</v>
      </c>
      <c r="E22" s="91" t="str">
        <f t="shared" si="4"/>
        <v>Cha (+2)</v>
      </c>
      <c r="F22" s="81" t="s">
        <v>192</v>
      </c>
      <c r="G22" s="81">
        <f t="shared" si="1"/>
        <v>0</v>
      </c>
      <c r="H22" s="65">
        <f t="shared" ca="1" si="6"/>
        <v>17</v>
      </c>
      <c r="I22" s="81">
        <f t="shared" ca="1" si="5"/>
        <v>17</v>
      </c>
      <c r="J22" s="82"/>
    </row>
    <row r="23" spans="1:10" s="87" customFormat="1" ht="16.8" x14ac:dyDescent="0.3">
      <c r="A23" s="436" t="s">
        <v>46</v>
      </c>
      <c r="B23" s="357">
        <v>1</v>
      </c>
      <c r="C23" s="437" t="s">
        <v>29</v>
      </c>
      <c r="D23" s="438" t="str">
        <f>IF(C23="Str",'Personal File'!$C$10,IF(C23="Dex",'Personal File'!$C$11,IF(C23="Con",'Personal File'!$C$12,IF(C23="Int",'Personal File'!$C$13,IF(C23="Wis",'Personal File'!$C$14,IF(C23="Cha",'Personal File'!$C$15))))))</f>
        <v>+1</v>
      </c>
      <c r="E23" s="439" t="str">
        <f t="shared" si="4"/>
        <v>Str (+1)</v>
      </c>
      <c r="F23" s="325">
        <f>SUM(Martial!$D$13:$D$14)*-1</f>
        <v>0</v>
      </c>
      <c r="G23" s="245">
        <f t="shared" si="1"/>
        <v>2</v>
      </c>
      <c r="H23" s="65">
        <f t="shared" ca="1" si="6"/>
        <v>8</v>
      </c>
      <c r="I23" s="245">
        <f t="shared" ca="1" si="5"/>
        <v>10</v>
      </c>
      <c r="J23" s="246"/>
    </row>
    <row r="24" spans="1:10" s="87" customFormat="1" ht="16.8" x14ac:dyDescent="0.3">
      <c r="A24" s="114" t="s">
        <v>150</v>
      </c>
      <c r="B24" s="98">
        <v>1</v>
      </c>
      <c r="C24" s="115" t="s">
        <v>26</v>
      </c>
      <c r="D24" s="116" t="str">
        <f>IF(C24="Str",'Personal File'!$C$10,IF(C24="Dex",'Personal File'!$C$11,IF(C24="Con",'Personal File'!$C$12,IF(C24="Int",'Personal File'!$C$13,IF(C24="Wis",'Personal File'!$C$14,IF(C24="Cha",'Personal File'!$C$15))))))</f>
        <v>+0</v>
      </c>
      <c r="E24" s="117" t="str">
        <f>CONCATENATE(C24," (",D24,")")</f>
        <v>Int (+0)</v>
      </c>
      <c r="F24" s="326">
        <v>0</v>
      </c>
      <c r="G24" s="99">
        <f t="shared" si="1"/>
        <v>1</v>
      </c>
      <c r="H24" s="65">
        <f t="shared" ca="1" si="6"/>
        <v>19</v>
      </c>
      <c r="I24" s="99">
        <f t="shared" ca="1" si="5"/>
        <v>20</v>
      </c>
      <c r="J24" s="100"/>
    </row>
    <row r="25" spans="1:10" s="87" customFormat="1" ht="16.8" x14ac:dyDescent="0.3">
      <c r="A25" s="327" t="s">
        <v>160</v>
      </c>
      <c r="B25" s="328">
        <v>0</v>
      </c>
      <c r="C25" s="329" t="s">
        <v>26</v>
      </c>
      <c r="D25" s="330" t="str">
        <f>IF(C25="Str",'Personal File'!$C$10,IF(C25="Dex",'Personal File'!$C$11,IF(C25="Con",'Personal File'!$C$12,IF(C25="Int",'Personal File'!$C$13,IF(C25="Wis",'Personal File'!$C$14,IF(C25="Cha",'Personal File'!$C$15))))))</f>
        <v>+0</v>
      </c>
      <c r="E25" s="331" t="str">
        <f>CONCATENATE(C25," (",D25,")")</f>
        <v>Int (+0)</v>
      </c>
      <c r="F25" s="332">
        <f>'Personal File'!E3</f>
        <v>1</v>
      </c>
      <c r="G25" s="333">
        <f t="shared" si="1"/>
        <v>1</v>
      </c>
      <c r="H25" s="65">
        <f t="shared" ca="1" si="6"/>
        <v>3</v>
      </c>
      <c r="I25" s="333">
        <f t="shared" ca="1" si="5"/>
        <v>4</v>
      </c>
      <c r="J25" s="503" t="s">
        <v>240</v>
      </c>
    </row>
    <row r="26" spans="1:10" s="87" customFormat="1" ht="16.8" x14ac:dyDescent="0.3">
      <c r="A26" s="114" t="s">
        <v>163</v>
      </c>
      <c r="B26" s="98">
        <v>1</v>
      </c>
      <c r="C26" s="115" t="s">
        <v>26</v>
      </c>
      <c r="D26" s="116" t="str">
        <f>IF(C26="Str",'Personal File'!$C$10,IF(C26="Dex",'Personal File'!$C$11,IF(C26="Con",'Personal File'!$C$12,IF(C26="Int",'Personal File'!$C$13,IF(C26="Wis",'Personal File'!$C$14,IF(C26="Cha",'Personal File'!$C$15))))))</f>
        <v>+0</v>
      </c>
      <c r="E26" s="117" t="str">
        <f>CONCATENATE(C26," (",D26,")")</f>
        <v>Int (+0)</v>
      </c>
      <c r="F26" s="326">
        <v>0</v>
      </c>
      <c r="G26" s="99">
        <f t="shared" ref="G26" si="9">B26+D26+F26</f>
        <v>1</v>
      </c>
      <c r="H26" s="65">
        <f t="shared" ca="1" si="6"/>
        <v>11</v>
      </c>
      <c r="I26" s="99">
        <f t="shared" ref="I26" ca="1" si="10">SUM(G26:H26)</f>
        <v>12</v>
      </c>
      <c r="J26" s="100"/>
    </row>
    <row r="27" spans="1:10" s="87" customFormat="1" ht="16.8" x14ac:dyDescent="0.3">
      <c r="A27" s="234" t="s">
        <v>47</v>
      </c>
      <c r="B27" s="356">
        <v>1</v>
      </c>
      <c r="C27" s="235" t="s">
        <v>27</v>
      </c>
      <c r="D27" s="236" t="str">
        <f>IF(C27="Str",'Personal File'!$C$10,IF(C27="Dex",'Personal File'!$C$11,IF(C27="Con",'Personal File'!$C$12,IF(C27="Int",'Personal File'!$C$13,IF(C27="Wis",'Personal File'!$C$14,IF(C27="Cha",'Personal File'!$C$15))))))</f>
        <v>+1</v>
      </c>
      <c r="E27" s="237" t="str">
        <f t="shared" si="4"/>
        <v>Wis (+1)</v>
      </c>
      <c r="F27" s="326">
        <v>2</v>
      </c>
      <c r="G27" s="228">
        <f t="shared" si="1"/>
        <v>4</v>
      </c>
      <c r="H27" s="65">
        <f t="shared" ca="1" si="6"/>
        <v>9</v>
      </c>
      <c r="I27" s="228">
        <f t="shared" ca="1" si="5"/>
        <v>13</v>
      </c>
      <c r="J27" s="229"/>
    </row>
    <row r="28" spans="1:10" s="87" customFormat="1" ht="16.8" x14ac:dyDescent="0.3">
      <c r="A28" s="84" t="s">
        <v>11</v>
      </c>
      <c r="B28" s="61">
        <v>0</v>
      </c>
      <c r="C28" s="85" t="s">
        <v>28</v>
      </c>
      <c r="D28" s="86" t="str">
        <f>IF(C28="Str",'Personal File'!$C$10,IF(C28="Dex",'Personal File'!$C$11,IF(C28="Con",'Personal File'!$C$12,IF(C28="Int",'Personal File'!$C$13,IF(C28="Wis",'Personal File'!$C$14,IF(C28="Cha",'Personal File'!$C$15))))))</f>
        <v>+3</v>
      </c>
      <c r="E28" s="68" t="str">
        <f t="shared" si="4"/>
        <v>Dex (+3)</v>
      </c>
      <c r="F28" s="80">
        <f>SUM(Martial!$D$13:$D$14)*-1</f>
        <v>0</v>
      </c>
      <c r="G28" s="81">
        <f t="shared" si="1"/>
        <v>3</v>
      </c>
      <c r="H28" s="65">
        <f t="shared" ca="1" si="6"/>
        <v>12</v>
      </c>
      <c r="I28" s="81">
        <f t="shared" ca="1" si="5"/>
        <v>15</v>
      </c>
      <c r="J28" s="82"/>
    </row>
    <row r="29" spans="1:10" s="87" customFormat="1" ht="16.8" x14ac:dyDescent="0.3">
      <c r="A29" s="122" t="s">
        <v>48</v>
      </c>
      <c r="B29" s="358">
        <v>0</v>
      </c>
      <c r="C29" s="123" t="s">
        <v>28</v>
      </c>
      <c r="D29" s="124" t="str">
        <f>IF(C29="Str",'Personal File'!$C$10,IF(C29="Dex",'Personal File'!$C$11,IF(C29="Con",'Personal File'!$C$12,IF(C29="Int",'Personal File'!$C$13,IF(C29="Wis",'Personal File'!$C$14,IF(C29="Cha",'Personal File'!$C$15))))))</f>
        <v>+3</v>
      </c>
      <c r="E29" s="125" t="str">
        <f t="shared" si="4"/>
        <v>Dex (+3)</v>
      </c>
      <c r="F29" s="105" t="s">
        <v>56</v>
      </c>
      <c r="G29" s="105">
        <f t="shared" si="1"/>
        <v>3</v>
      </c>
      <c r="H29" s="65">
        <f t="shared" ca="1" si="6"/>
        <v>3</v>
      </c>
      <c r="I29" s="105">
        <f t="shared" ca="1" si="5"/>
        <v>6</v>
      </c>
      <c r="J29" s="106"/>
    </row>
    <row r="30" spans="1:10" ht="16.8" x14ac:dyDescent="0.3">
      <c r="A30" s="230" t="s">
        <v>151</v>
      </c>
      <c r="B30" s="356">
        <v>4</v>
      </c>
      <c r="C30" s="231" t="s">
        <v>24</v>
      </c>
      <c r="D30" s="232" t="str">
        <f>IF(C30="Str",'Personal File'!$C$10,IF(C30="Dex",'Personal File'!$C$11,IF(C30="Con",'Personal File'!$C$12,IF(C30="Int",'Personal File'!$C$13,IF(C30="Wis",'Personal File'!$C$14,IF(C30="Cha",'Personal File'!$C$15))))))</f>
        <v>+2</v>
      </c>
      <c r="E30" s="233" t="str">
        <f t="shared" ref="E30" si="11">CONCATENATE(C30," (",D30,")")</f>
        <v>Cha (+2)</v>
      </c>
      <c r="F30" s="228" t="s">
        <v>56</v>
      </c>
      <c r="G30" s="228">
        <f t="shared" ref="G30" si="12">B30+D30+F30</f>
        <v>6</v>
      </c>
      <c r="H30" s="65">
        <f t="shared" ca="1" si="6"/>
        <v>17</v>
      </c>
      <c r="I30" s="228">
        <f t="shared" ref="I30" ca="1" si="13">SUM(G30:H30)</f>
        <v>23</v>
      </c>
      <c r="J30" s="229"/>
    </row>
    <row r="31" spans="1:10" ht="16.8" x14ac:dyDescent="0.3">
      <c r="A31" s="230" t="s">
        <v>187</v>
      </c>
      <c r="B31" s="356">
        <v>4</v>
      </c>
      <c r="C31" s="235" t="s">
        <v>27</v>
      </c>
      <c r="D31" s="236" t="str">
        <f>IF(C31="Str",'Personal File'!$C$10,IF(C31="Dex",'Personal File'!$C$11,IF(C31="Con",'Personal File'!$C$12,IF(C31="Int",'Personal File'!$C$13,IF(C31="Wis",'Personal File'!$C$14,IF(C31="Cha",'Personal File'!$C$15))))))</f>
        <v>+1</v>
      </c>
      <c r="E31" s="237" t="str">
        <f t="shared" ref="E31" si="14">CONCATENATE(C31," (",D31,")")</f>
        <v>Wis (+1)</v>
      </c>
      <c r="F31" s="228" t="s">
        <v>56</v>
      </c>
      <c r="G31" s="228">
        <f t="shared" si="1"/>
        <v>5</v>
      </c>
      <c r="H31" s="65">
        <f t="shared" ca="1" si="6"/>
        <v>18</v>
      </c>
      <c r="I31" s="228">
        <f t="shared" ref="I31" ca="1" si="15">SUM(G31:H31)</f>
        <v>23</v>
      </c>
      <c r="J31" s="229"/>
    </row>
    <row r="32" spans="1:10" ht="16.8" x14ac:dyDescent="0.3">
      <c r="A32" s="84" t="s">
        <v>12</v>
      </c>
      <c r="B32" s="61">
        <v>0</v>
      </c>
      <c r="C32" s="85" t="s">
        <v>28</v>
      </c>
      <c r="D32" s="86" t="str">
        <f>IF(C32="Str",'Personal File'!$C$10,IF(C32="Dex",'Personal File'!$C$11,IF(C32="Con",'Personal File'!$C$12,IF(C32="Int",'Personal File'!$C$13,IF(C32="Wis",'Personal File'!$C$14,IF(C32="Cha",'Personal File'!$C$15))))))</f>
        <v>+3</v>
      </c>
      <c r="E32" s="68" t="str">
        <f t="shared" si="4"/>
        <v>Dex (+3)</v>
      </c>
      <c r="F32" s="112" t="s">
        <v>56</v>
      </c>
      <c r="G32" s="81">
        <f t="shared" si="1"/>
        <v>3</v>
      </c>
      <c r="H32" s="65">
        <f t="shared" ca="1" si="6"/>
        <v>15</v>
      </c>
      <c r="I32" s="81">
        <f t="shared" ca="1" si="5"/>
        <v>18</v>
      </c>
      <c r="J32" s="82"/>
    </row>
    <row r="33" spans="1:10" ht="16.8" x14ac:dyDescent="0.3">
      <c r="A33" s="76" t="s">
        <v>13</v>
      </c>
      <c r="B33" s="61">
        <v>0</v>
      </c>
      <c r="C33" s="77" t="s">
        <v>26</v>
      </c>
      <c r="D33" s="78" t="str">
        <f>IF(C33="Str",'Personal File'!$C$10,IF(C33="Dex",'Personal File'!$C$11,IF(C33="Con",'Personal File'!$C$12,IF(C33="Int",'Personal File'!$C$13,IF(C33="Wis",'Personal File'!$C$14,IF(C33="Cha",'Personal File'!$C$15))))))</f>
        <v>+0</v>
      </c>
      <c r="E33" s="79" t="str">
        <f t="shared" si="4"/>
        <v>Int (+0)</v>
      </c>
      <c r="F33" s="80">
        <f>-2+2</f>
        <v>0</v>
      </c>
      <c r="G33" s="81">
        <f t="shared" si="1"/>
        <v>0</v>
      </c>
      <c r="H33" s="65">
        <f t="shared" ca="1" si="6"/>
        <v>3</v>
      </c>
      <c r="I33" s="81">
        <f t="shared" ca="1" si="5"/>
        <v>3</v>
      </c>
      <c r="J33" s="82"/>
    </row>
    <row r="34" spans="1:10" ht="16.8" x14ac:dyDescent="0.3">
      <c r="A34" s="230" t="s">
        <v>49</v>
      </c>
      <c r="B34" s="356">
        <v>2</v>
      </c>
      <c r="C34" s="235" t="s">
        <v>27</v>
      </c>
      <c r="D34" s="236" t="str">
        <f>IF(C34="Str",'Personal File'!$C$10,IF(C34="Dex",'Personal File'!$C$11,IF(C34="Con",'Personal File'!$C$12,IF(C34="Int",'Personal File'!$C$13,IF(C34="Wis",'Personal File'!$C$14,IF(C34="Cha",'Personal File'!$C$15))))))</f>
        <v>+1</v>
      </c>
      <c r="E34" s="237" t="str">
        <f t="shared" si="4"/>
        <v>Wis (+1)</v>
      </c>
      <c r="F34" s="228" t="s">
        <v>216</v>
      </c>
      <c r="G34" s="228">
        <f t="shared" si="1"/>
        <v>5</v>
      </c>
      <c r="H34" s="65">
        <f t="shared" ca="1" si="6"/>
        <v>19</v>
      </c>
      <c r="I34" s="228">
        <f t="shared" ca="1" si="5"/>
        <v>24</v>
      </c>
      <c r="J34" s="229"/>
    </row>
    <row r="35" spans="1:10" ht="16.8" x14ac:dyDescent="0.3">
      <c r="A35" s="295" t="s">
        <v>81</v>
      </c>
      <c r="B35" s="360">
        <v>0</v>
      </c>
      <c r="C35" s="296" t="s">
        <v>28</v>
      </c>
      <c r="D35" s="297" t="str">
        <f>IF(C35="Str",'Personal File'!$C$10,IF(C35="Dex",'Personal File'!$C$11,IF(C35="Con",'Personal File'!$C$12,IF(C35="Int",'Personal File'!$C$13,IF(C35="Wis",'Personal File'!$C$14,IF(C35="Cha",'Personal File'!$C$15))))))</f>
        <v>+3</v>
      </c>
      <c r="E35" s="298" t="str">
        <f t="shared" si="4"/>
        <v>Dex (+3)</v>
      </c>
      <c r="F35" s="105" t="s">
        <v>56</v>
      </c>
      <c r="G35" s="299">
        <f t="shared" si="1"/>
        <v>3</v>
      </c>
      <c r="H35" s="65">
        <f t="shared" ca="1" si="6"/>
        <v>4</v>
      </c>
      <c r="I35" s="299">
        <f t="shared" ref="I35:I36" ca="1" si="16">SUM(G35:H35)</f>
        <v>7</v>
      </c>
      <c r="J35" s="300"/>
    </row>
    <row r="36" spans="1:10" ht="16.8" x14ac:dyDescent="0.3">
      <c r="A36" s="283" t="s">
        <v>189</v>
      </c>
      <c r="B36" s="357">
        <v>1</v>
      </c>
      <c r="C36" s="284" t="s">
        <v>26</v>
      </c>
      <c r="D36" s="285" t="str">
        <f>IF(C36="Str",'Personal File'!$C$10,IF(C36="Dex",'Personal File'!$C$11,IF(C36="Con",'Personal File'!$C$12,IF(C36="Int",'Personal File'!$C$13,IF(C36="Wis",'Personal File'!$C$14,IF(C36="Cha",'Personal File'!$C$15))))))</f>
        <v>+0</v>
      </c>
      <c r="E36" s="286" t="str">
        <f t="shared" si="4"/>
        <v>Int (+0)</v>
      </c>
      <c r="F36" s="245" t="s">
        <v>56</v>
      </c>
      <c r="G36" s="245">
        <f t="shared" si="1"/>
        <v>1</v>
      </c>
      <c r="H36" s="65">
        <f t="shared" ca="1" si="6"/>
        <v>11</v>
      </c>
      <c r="I36" s="245">
        <f t="shared" ca="1" si="16"/>
        <v>12</v>
      </c>
      <c r="J36" s="287"/>
    </row>
    <row r="37" spans="1:10" ht="16.8" x14ac:dyDescent="0.3">
      <c r="A37" s="283" t="s">
        <v>188</v>
      </c>
      <c r="B37" s="357">
        <v>1</v>
      </c>
      <c r="C37" s="284" t="s">
        <v>26</v>
      </c>
      <c r="D37" s="285" t="str">
        <f>IF(C37="Str",'Personal File'!$C$10,IF(C37="Dex",'Personal File'!$C$11,IF(C37="Con",'Personal File'!$C$12,IF(C37="Int",'Personal File'!$C$13,IF(C37="Wis",'Personal File'!$C$14,IF(C37="Cha",'Personal File'!$C$15))))))</f>
        <v>+0</v>
      </c>
      <c r="E37" s="286" t="str">
        <f t="shared" ref="E37" si="17">CONCATENATE(C37," (",D37,")")</f>
        <v>Int (+0)</v>
      </c>
      <c r="F37" s="245" t="s">
        <v>56</v>
      </c>
      <c r="G37" s="245">
        <f t="shared" ref="G37" si="18">B37+D37+F37</f>
        <v>1</v>
      </c>
      <c r="H37" s="65">
        <f t="shared" ca="1" si="6"/>
        <v>6</v>
      </c>
      <c r="I37" s="245">
        <f t="shared" ref="I37" ca="1" si="19">SUM(G37:H37)</f>
        <v>7</v>
      </c>
      <c r="J37" s="287"/>
    </row>
    <row r="38" spans="1:10" ht="16.8" x14ac:dyDescent="0.3">
      <c r="A38" s="283" t="s">
        <v>50</v>
      </c>
      <c r="B38" s="357">
        <v>1</v>
      </c>
      <c r="C38" s="284" t="s">
        <v>26</v>
      </c>
      <c r="D38" s="285" t="str">
        <f>IF(C38="Str",'Personal File'!$C$10,IF(C38="Dex",'Personal File'!$C$11,IF(C38="Con",'Personal File'!$C$12,IF(C38="Int",'Personal File'!$C$13,IF(C38="Wis",'Personal File'!$C$14,IF(C38="Cha",'Personal File'!$C$15))))))</f>
        <v>+0</v>
      </c>
      <c r="E38" s="286" t="str">
        <f t="shared" si="4"/>
        <v>Int (+0)</v>
      </c>
      <c r="F38" s="245" t="s">
        <v>56</v>
      </c>
      <c r="G38" s="245">
        <f t="shared" si="1"/>
        <v>1</v>
      </c>
      <c r="H38" s="65">
        <f t="shared" ca="1" si="6"/>
        <v>9</v>
      </c>
      <c r="I38" s="245">
        <f t="shared" ca="1" si="5"/>
        <v>10</v>
      </c>
      <c r="J38" s="287"/>
    </row>
    <row r="39" spans="1:10" ht="16.8" x14ac:dyDescent="0.3">
      <c r="A39" s="118" t="s">
        <v>51</v>
      </c>
      <c r="B39" s="61">
        <v>0</v>
      </c>
      <c r="C39" s="119" t="s">
        <v>27</v>
      </c>
      <c r="D39" s="120" t="str">
        <f>IF(C39="Str",'Personal File'!$C$10,IF(C39="Dex",'Personal File'!$C$11,IF(C39="Con",'Personal File'!$C$12,IF(C39="Int",'Personal File'!$C$13,IF(C39="Wis",'Personal File'!$C$14,IF(C39="Cha",'Personal File'!$C$15))))))</f>
        <v>+1</v>
      </c>
      <c r="E39" s="121" t="str">
        <f t="shared" si="4"/>
        <v>Wis (+1)</v>
      </c>
      <c r="F39" s="80">
        <f>1+2</f>
        <v>3</v>
      </c>
      <c r="G39" s="81">
        <f t="shared" si="1"/>
        <v>4</v>
      </c>
      <c r="H39" s="65">
        <f t="shared" ca="1" si="6"/>
        <v>15</v>
      </c>
      <c r="I39" s="81">
        <f t="shared" ca="1" si="5"/>
        <v>19</v>
      </c>
      <c r="J39" s="82"/>
    </row>
    <row r="40" spans="1:10" ht="16.8" x14ac:dyDescent="0.3">
      <c r="A40" s="118" t="s">
        <v>82</v>
      </c>
      <c r="B40" s="61">
        <v>0</v>
      </c>
      <c r="C40" s="119" t="s">
        <v>27</v>
      </c>
      <c r="D40" s="120" t="str">
        <f>IF(C40="Str",'Personal File'!$C$10,IF(C40="Dex",'Personal File'!$C$11,IF(C40="Con",'Personal File'!$C$12,IF(C40="Int",'Personal File'!$C$13,IF(C40="Wis",'Personal File'!$C$14,IF(C40="Cha",'Personal File'!$C$15))))))</f>
        <v>+1</v>
      </c>
      <c r="E40" s="121" t="str">
        <f t="shared" si="4"/>
        <v>Wis (+1)</v>
      </c>
      <c r="F40" s="81" t="s">
        <v>56</v>
      </c>
      <c r="G40" s="81">
        <f t="shared" si="1"/>
        <v>1</v>
      </c>
      <c r="H40" s="65">
        <f t="shared" ca="1" si="6"/>
        <v>10</v>
      </c>
      <c r="I40" s="81">
        <f t="shared" ca="1" si="5"/>
        <v>11</v>
      </c>
      <c r="J40" s="82"/>
    </row>
    <row r="41" spans="1:10" ht="16.8" x14ac:dyDescent="0.3">
      <c r="A41" s="93" t="s">
        <v>14</v>
      </c>
      <c r="B41" s="61">
        <v>0</v>
      </c>
      <c r="C41" s="94" t="s">
        <v>29</v>
      </c>
      <c r="D41" s="95" t="str">
        <f>IF(C41="Str",'Personal File'!$C$10,IF(C41="Dex",'Personal File'!$C$11,IF(C41="Con",'Personal File'!$C$12,IF(C41="Int",'Personal File'!$C$13,IF(C41="Wis",'Personal File'!$C$14,IF(C41="Cha",'Personal File'!$C$15))))))</f>
        <v>+1</v>
      </c>
      <c r="E41" s="96" t="str">
        <f t="shared" si="4"/>
        <v>Str (+1)</v>
      </c>
      <c r="F41" s="81" t="s">
        <v>56</v>
      </c>
      <c r="G41" s="81">
        <f t="shared" si="1"/>
        <v>1</v>
      </c>
      <c r="H41" s="65">
        <f t="shared" ca="1" si="6"/>
        <v>4</v>
      </c>
      <c r="I41" s="81">
        <f t="shared" ca="1" si="5"/>
        <v>5</v>
      </c>
      <c r="J41" s="66"/>
    </row>
    <row r="42" spans="1:10" ht="16.8" x14ac:dyDescent="0.3">
      <c r="A42" s="320" t="s">
        <v>52</v>
      </c>
      <c r="B42" s="357">
        <v>2</v>
      </c>
      <c r="C42" s="321" t="s">
        <v>28</v>
      </c>
      <c r="D42" s="322" t="str">
        <f>IF(C42="Str",'Personal File'!$C$10,IF(C42="Dex",'Personal File'!$C$11,IF(C42="Con",'Personal File'!$C$12,IF(C42="Int",'Personal File'!$C$13,IF(C42="Wis",'Personal File'!$C$14,IF(C42="Cha",'Personal File'!$C$15))))))</f>
        <v>+3</v>
      </c>
      <c r="E42" s="323" t="str">
        <f t="shared" si="4"/>
        <v>Dex (+3)</v>
      </c>
      <c r="F42" s="245" t="s">
        <v>56</v>
      </c>
      <c r="G42" s="228">
        <f t="shared" si="1"/>
        <v>5</v>
      </c>
      <c r="H42" s="65">
        <f t="shared" ca="1" si="6"/>
        <v>13</v>
      </c>
      <c r="I42" s="228">
        <f t="shared" ref="I42:I43" ca="1" si="20">SUM(G42:H42)</f>
        <v>18</v>
      </c>
      <c r="J42" s="246"/>
    </row>
    <row r="43" spans="1:10" ht="16.8" x14ac:dyDescent="0.3">
      <c r="A43" s="440" t="s">
        <v>53</v>
      </c>
      <c r="B43" s="441">
        <v>0</v>
      </c>
      <c r="C43" s="442" t="s">
        <v>24</v>
      </c>
      <c r="D43" s="443" t="str">
        <f>IF(C43="Str",'Personal File'!$C$10,IF(C43="Dex",'Personal File'!$C$11,IF(C43="Con",'Personal File'!$C$12,IF(C43="Int",'Personal File'!$C$13,IF(C43="Wis",'Personal File'!$C$14,IF(C43="Cha",'Personal File'!$C$15))))))</f>
        <v>+2</v>
      </c>
      <c r="E43" s="444" t="str">
        <f t="shared" si="4"/>
        <v>Cha (+2)</v>
      </c>
      <c r="F43" s="299" t="s">
        <v>56</v>
      </c>
      <c r="G43" s="445">
        <f t="shared" si="1"/>
        <v>2</v>
      </c>
      <c r="H43" s="65">
        <f t="shared" ca="1" si="6"/>
        <v>8</v>
      </c>
      <c r="I43" s="445">
        <f t="shared" ca="1" si="20"/>
        <v>10</v>
      </c>
      <c r="J43" s="446"/>
    </row>
    <row r="44" spans="1:10" ht="17.399999999999999" thickBot="1" x14ac:dyDescent="0.35">
      <c r="A44" s="126" t="s">
        <v>54</v>
      </c>
      <c r="B44" s="361">
        <v>0</v>
      </c>
      <c r="C44" s="127" t="s">
        <v>28</v>
      </c>
      <c r="D44" s="128" t="str">
        <f>IF(C44="Str",'Personal File'!$C$10,IF(C44="Dex",'Personal File'!$C$11,IF(C44="Con",'Personal File'!$C$12,IF(C44="Int",'Personal File'!$C$13,IF(C44="Wis",'Personal File'!$C$14,IF(C44="Cha",'Personal File'!$C$15))))))</f>
        <v>+3</v>
      </c>
      <c r="E44" s="129" t="str">
        <f t="shared" si="4"/>
        <v>Dex (+3)</v>
      </c>
      <c r="F44" s="130" t="s">
        <v>56</v>
      </c>
      <c r="G44" s="130">
        <f t="shared" si="1"/>
        <v>3</v>
      </c>
      <c r="H44" s="131">
        <f t="shared" ref="H44" ca="1" si="21">RANDBETWEEN(1,20)</f>
        <v>2</v>
      </c>
      <c r="I44" s="130">
        <f t="shared" ca="1" si="5"/>
        <v>5</v>
      </c>
      <c r="J44" s="132"/>
    </row>
    <row r="45" spans="1:10" ht="16.2" thickTop="1" x14ac:dyDescent="0.3">
      <c r="B45" s="133">
        <f>SUM(B6:B44)</f>
        <v>26</v>
      </c>
      <c r="E45" s="248">
        <f>SUM(E46:E52)</f>
        <v>26</v>
      </c>
      <c r="F45" s="134" t="s">
        <v>57</v>
      </c>
    </row>
    <row r="46" spans="1:10" x14ac:dyDescent="0.3">
      <c r="B46" s="133"/>
      <c r="E46" s="249">
        <f>4*(6+'Personal File'!$C$13)</f>
        <v>24</v>
      </c>
      <c r="F46" s="135" t="s">
        <v>184</v>
      </c>
    </row>
    <row r="47" spans="1:10" x14ac:dyDescent="0.3">
      <c r="E47" s="249">
        <f>2+'Personal File'!$C$13</f>
        <v>2</v>
      </c>
      <c r="F47" s="135" t="s">
        <v>220</v>
      </c>
    </row>
    <row r="48" spans="1:10" x14ac:dyDescent="0.3">
      <c r="E48" s="248"/>
      <c r="F48" s="135"/>
    </row>
    <row r="49" spans="5:6" x14ac:dyDescent="0.3">
      <c r="E49" s="248"/>
      <c r="F49" s="135"/>
    </row>
    <row r="50" spans="5:6" x14ac:dyDescent="0.3">
      <c r="E50" s="248"/>
      <c r="F50" s="135"/>
    </row>
    <row r="51" spans="5:6" x14ac:dyDescent="0.3">
      <c r="E51" s="248"/>
      <c r="F51" s="135"/>
    </row>
    <row r="52" spans="5:6" x14ac:dyDescent="0.3">
      <c r="E52" s="249"/>
      <c r="F52" s="135"/>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showGridLines="0" workbookViewId="0">
      <pane ySplit="2" topLeftCell="A3" activePane="bottomLeft" state="frozen"/>
      <selection pane="bottomLeft" activeCell="A3" sqref="A3"/>
    </sheetView>
  </sheetViews>
  <sheetFormatPr defaultColWidth="13" defaultRowHeight="15.6" x14ac:dyDescent="0.3"/>
  <cols>
    <col min="1" max="1" width="18.59765625" style="55" customWidth="1"/>
    <col min="2" max="2" width="6.19921875" style="55" bestFit="1" customWidth="1"/>
    <col min="3" max="3" width="13.59765625" style="56" bestFit="1" customWidth="1"/>
    <col min="4" max="4" width="11.296875" style="56" bestFit="1" customWidth="1"/>
    <col min="5" max="5" width="8.09765625" style="56" bestFit="1" customWidth="1"/>
    <col min="6" max="6" width="13.19921875" style="56" bestFit="1" customWidth="1"/>
    <col min="7" max="7" width="9.796875" style="56" bestFit="1" customWidth="1"/>
    <col min="8" max="8" width="10.19921875" style="55" bestFit="1" customWidth="1"/>
    <col min="9" max="9" width="5.5" style="14" bestFit="1" customWidth="1"/>
    <col min="10" max="10" width="3.296875" style="14" bestFit="1" customWidth="1"/>
    <col min="11" max="14" width="13" style="140"/>
    <col min="15" max="16384" width="13" style="14"/>
  </cols>
  <sheetData>
    <row r="1" spans="1:14" ht="23.4" thickBot="1" x14ac:dyDescent="0.35">
      <c r="A1" s="288" t="s">
        <v>122</v>
      </c>
      <c r="B1" s="58"/>
      <c r="C1" s="58"/>
      <c r="D1" s="58"/>
      <c r="E1" s="58"/>
      <c r="F1" s="58"/>
      <c r="G1" s="58"/>
      <c r="H1" s="58"/>
    </row>
    <row r="2" spans="1:14" s="10" customFormat="1" ht="16.8" x14ac:dyDescent="0.3">
      <c r="A2" s="289" t="s">
        <v>68</v>
      </c>
      <c r="B2" s="290" t="s">
        <v>0</v>
      </c>
      <c r="C2" s="290" t="s">
        <v>71</v>
      </c>
      <c r="D2" s="291" t="s">
        <v>88</v>
      </c>
      <c r="E2" s="290" t="s">
        <v>89</v>
      </c>
      <c r="F2" s="290" t="s">
        <v>59</v>
      </c>
      <c r="G2" s="290" t="s">
        <v>17</v>
      </c>
      <c r="H2" s="290" t="s">
        <v>114</v>
      </c>
      <c r="I2" s="292" t="s">
        <v>115</v>
      </c>
      <c r="J2" s="278" t="s">
        <v>123</v>
      </c>
      <c r="K2" s="140"/>
      <c r="L2" s="140"/>
      <c r="M2" s="140"/>
      <c r="N2" s="140"/>
    </row>
    <row r="3" spans="1:14" s="10" customFormat="1" ht="16.8" x14ac:dyDescent="0.3">
      <c r="A3" s="264" t="s">
        <v>174</v>
      </c>
      <c r="B3" s="138">
        <v>0</v>
      </c>
      <c r="C3" s="375" t="s">
        <v>119</v>
      </c>
      <c r="D3" s="2" t="s">
        <v>90</v>
      </c>
      <c r="E3" s="242" t="s">
        <v>91</v>
      </c>
      <c r="F3" s="137" t="s">
        <v>124</v>
      </c>
      <c r="G3" s="137" t="s">
        <v>65</v>
      </c>
      <c r="H3" s="137" t="s">
        <v>113</v>
      </c>
      <c r="I3" s="1">
        <v>216</v>
      </c>
      <c r="J3" s="278"/>
      <c r="K3" s="140"/>
      <c r="L3" s="140"/>
      <c r="M3" s="140"/>
      <c r="N3" s="140"/>
    </row>
    <row r="4" spans="1:14" ht="16.8" x14ac:dyDescent="0.3">
      <c r="A4" s="264" t="s">
        <v>175</v>
      </c>
      <c r="B4" s="138">
        <v>0</v>
      </c>
      <c r="C4" s="349" t="s">
        <v>177</v>
      </c>
      <c r="D4" s="351" t="s">
        <v>90</v>
      </c>
      <c r="E4" s="353" t="s">
        <v>91</v>
      </c>
      <c r="F4" s="355" t="s">
        <v>66</v>
      </c>
      <c r="G4" s="355" t="s">
        <v>65</v>
      </c>
      <c r="H4" s="137" t="s">
        <v>113</v>
      </c>
      <c r="I4" s="1">
        <v>246</v>
      </c>
      <c r="J4" s="278"/>
    </row>
    <row r="5" spans="1:14" ht="16.8" x14ac:dyDescent="0.3">
      <c r="A5" s="264" t="s">
        <v>176</v>
      </c>
      <c r="B5" s="138">
        <v>0</v>
      </c>
      <c r="C5" s="136" t="s">
        <v>116</v>
      </c>
      <c r="D5" s="2" t="s">
        <v>90</v>
      </c>
      <c r="E5" s="242" t="s">
        <v>91</v>
      </c>
      <c r="F5" s="137" t="s">
        <v>72</v>
      </c>
      <c r="G5" s="137" t="s">
        <v>65</v>
      </c>
      <c r="H5" s="137" t="s">
        <v>113</v>
      </c>
      <c r="I5" s="1">
        <v>253</v>
      </c>
      <c r="J5" s="278"/>
    </row>
    <row r="6" spans="1:14" ht="16.8" x14ac:dyDescent="0.3">
      <c r="A6" s="265" t="s">
        <v>152</v>
      </c>
      <c r="B6" s="139">
        <v>0</v>
      </c>
      <c r="C6" s="350" t="s">
        <v>116</v>
      </c>
      <c r="D6" s="352" t="s">
        <v>93</v>
      </c>
      <c r="E6" s="354" t="s">
        <v>91</v>
      </c>
      <c r="F6" s="243" t="s">
        <v>92</v>
      </c>
      <c r="G6" s="243" t="s">
        <v>67</v>
      </c>
      <c r="H6" s="243" t="s">
        <v>113</v>
      </c>
      <c r="I6" s="244">
        <v>253</v>
      </c>
      <c r="J6" s="278"/>
    </row>
    <row r="7" spans="1:14" ht="16.8" x14ac:dyDescent="0.3">
      <c r="A7" s="376"/>
      <c r="B7" s="377">
        <v>1</v>
      </c>
      <c r="C7" s="378"/>
      <c r="D7" s="379"/>
      <c r="E7" s="380"/>
      <c r="F7" s="381"/>
      <c r="G7" s="381"/>
      <c r="H7" s="381"/>
      <c r="I7" s="382"/>
      <c r="J7" s="278"/>
    </row>
    <row r="8" spans="1:14" ht="17.399999999999999" thickBot="1" x14ac:dyDescent="0.35">
      <c r="A8" s="383"/>
      <c r="B8" s="384">
        <v>1</v>
      </c>
      <c r="C8" s="385"/>
      <c r="D8" s="386"/>
      <c r="E8" s="387"/>
      <c r="F8" s="388"/>
      <c r="G8" s="388"/>
      <c r="H8" s="388"/>
      <c r="I8" s="389"/>
      <c r="J8" s="278"/>
    </row>
    <row r="9" spans="1:14" ht="16.2" thickTop="1" x14ac:dyDescent="0.3">
      <c r="A9"/>
    </row>
  </sheetData>
  <sortState xmlns:xlrd2="http://schemas.microsoft.com/office/spreadsheetml/2017/richdata2" ref="A3:J8">
    <sortCondition ref="B3:B8"/>
    <sortCondition ref="A3:A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showGridLines="0" workbookViewId="0"/>
  </sheetViews>
  <sheetFormatPr defaultColWidth="11.3984375" defaultRowHeight="16.8" x14ac:dyDescent="0.3"/>
  <cols>
    <col min="1" max="1" width="27.8984375" style="18" bestFit="1" customWidth="1"/>
    <col min="2" max="2" width="2.69921875" style="18" customWidth="1"/>
    <col min="3" max="3" width="27.8984375" style="18" customWidth="1"/>
    <col min="4" max="4" width="2.69921875" style="17" customWidth="1"/>
    <col min="5" max="5" width="14.69921875" style="50" bestFit="1" customWidth="1"/>
    <col min="6" max="13" width="3.19921875" style="50" customWidth="1"/>
    <col min="14" max="16384" width="11.3984375" style="50"/>
  </cols>
  <sheetData>
    <row r="1" spans="1:13" ht="24" thickTop="1" thickBot="1" x14ac:dyDescent="0.35">
      <c r="A1" s="394" t="s">
        <v>97</v>
      </c>
      <c r="B1" s="188"/>
      <c r="C1" s="403" t="s">
        <v>85</v>
      </c>
      <c r="D1" s="50"/>
      <c r="E1" s="140"/>
      <c r="F1" s="404" t="s">
        <v>94</v>
      </c>
      <c r="G1" s="58"/>
      <c r="H1" s="58"/>
      <c r="I1" s="405"/>
      <c r="J1" s="58"/>
      <c r="K1" s="58"/>
      <c r="L1" s="58"/>
      <c r="M1" s="405"/>
    </row>
    <row r="2" spans="1:13" ht="17.399999999999999" thickTop="1" x14ac:dyDescent="0.3">
      <c r="A2" s="396" t="s">
        <v>215</v>
      </c>
      <c r="B2" s="395"/>
      <c r="C2" s="399" t="s">
        <v>230</v>
      </c>
      <c r="D2" s="50"/>
      <c r="E2" s="140"/>
      <c r="F2" s="141" t="s">
        <v>95</v>
      </c>
      <c r="G2" s="406"/>
      <c r="H2" s="406"/>
      <c r="I2" s="406"/>
      <c r="J2" s="406"/>
      <c r="K2" s="406"/>
      <c r="L2" s="406"/>
      <c r="M2" s="407"/>
    </row>
    <row r="3" spans="1:13" ht="17.399999999999999" thickBot="1" x14ac:dyDescent="0.35">
      <c r="A3" s="396" t="str">
        <f>CONCATENATE("Fl:  Protection Devotion +",2+ROUNDDOWN(SUM('Personal File'!$E$3:$E$4)/4,0))</f>
        <v>Fl:  Protection Devotion +2</v>
      </c>
      <c r="B3" s="397"/>
      <c r="C3" s="400" t="s">
        <v>86</v>
      </c>
      <c r="D3" s="50"/>
      <c r="E3" s="140"/>
      <c r="F3" s="408">
        <v>0</v>
      </c>
      <c r="G3" s="409">
        <v>1</v>
      </c>
      <c r="H3" s="409">
        <v>2</v>
      </c>
      <c r="I3" s="409">
        <v>3</v>
      </c>
      <c r="J3" s="409">
        <v>4</v>
      </c>
      <c r="K3" s="409">
        <v>5</v>
      </c>
      <c r="L3" s="409">
        <v>6</v>
      </c>
      <c r="M3" s="410">
        <v>7</v>
      </c>
    </row>
    <row r="4" spans="1:13" ht="18" thickTop="1" thickBot="1" x14ac:dyDescent="0.35">
      <c r="A4" s="324" t="s">
        <v>242</v>
      </c>
      <c r="B4" s="391"/>
      <c r="C4" s="401" t="s">
        <v>229</v>
      </c>
      <c r="D4" s="50"/>
      <c r="E4" s="411" t="s">
        <v>117</v>
      </c>
      <c r="F4" s="412">
        <v>2</v>
      </c>
      <c r="G4" s="413">
        <v>0</v>
      </c>
      <c r="H4" s="413">
        <v>0</v>
      </c>
      <c r="I4" s="413">
        <v>0</v>
      </c>
      <c r="J4" s="413">
        <v>0</v>
      </c>
      <c r="K4" s="413">
        <v>0</v>
      </c>
      <c r="L4" s="413">
        <v>0</v>
      </c>
      <c r="M4" s="414">
        <v>0</v>
      </c>
    </row>
    <row r="5" spans="1:13" ht="18" thickTop="1" thickBot="1" x14ac:dyDescent="0.35">
      <c r="D5" s="50"/>
      <c r="E5" s="415" t="s">
        <v>109</v>
      </c>
      <c r="F5" s="416">
        <v>0</v>
      </c>
      <c r="G5" s="417">
        <v>1</v>
      </c>
      <c r="H5" s="417">
        <v>1</v>
      </c>
      <c r="I5" s="417">
        <v>1</v>
      </c>
      <c r="J5" s="417">
        <v>1</v>
      </c>
      <c r="K5" s="417">
        <v>1</v>
      </c>
      <c r="L5" s="417">
        <v>0</v>
      </c>
      <c r="M5" s="418">
        <v>0</v>
      </c>
    </row>
    <row r="6" spans="1:13" ht="22.2" thickTop="1" thickBot="1" x14ac:dyDescent="0.35">
      <c r="A6" s="394" t="s">
        <v>221</v>
      </c>
      <c r="B6" s="398"/>
      <c r="C6" s="427" t="s">
        <v>70</v>
      </c>
      <c r="D6" s="50"/>
      <c r="E6" s="419" t="s">
        <v>96</v>
      </c>
      <c r="F6" s="420">
        <f>SUM(F4:F5)</f>
        <v>2</v>
      </c>
      <c r="G6" s="421">
        <v>0</v>
      </c>
      <c r="H6" s="421">
        <v>0</v>
      </c>
      <c r="I6" s="421">
        <v>0</v>
      </c>
      <c r="J6" s="421">
        <v>0</v>
      </c>
      <c r="K6" s="421">
        <v>0</v>
      </c>
      <c r="L6" s="421">
        <v>0</v>
      </c>
      <c r="M6" s="422">
        <v>0</v>
      </c>
    </row>
    <row r="7" spans="1:13" x14ac:dyDescent="0.3">
      <c r="A7" s="142" t="str">
        <f>CONCATENATE("Bardic Knowledge 1d20 +",'Personal File'!C13+'Personal File'!E3)</f>
        <v>Bardic Knowledge 1d20 +1</v>
      </c>
      <c r="B7" s="392"/>
      <c r="C7" s="399" t="s">
        <v>190</v>
      </c>
      <c r="D7" s="50"/>
      <c r="E7" s="423" t="s">
        <v>84</v>
      </c>
      <c r="F7" s="424">
        <f>10+F3+'Personal File'!$C$15</f>
        <v>12</v>
      </c>
      <c r="G7" s="425" t="s">
        <v>100</v>
      </c>
      <c r="H7" s="425" t="s">
        <v>100</v>
      </c>
      <c r="I7" s="425" t="s">
        <v>100</v>
      </c>
      <c r="J7" s="425" t="s">
        <v>100</v>
      </c>
      <c r="K7" s="425" t="s">
        <v>100</v>
      </c>
      <c r="L7" s="425" t="s">
        <v>100</v>
      </c>
      <c r="M7" s="426" t="s">
        <v>100</v>
      </c>
    </row>
    <row r="8" spans="1:13" ht="17.399999999999999" thickBot="1" x14ac:dyDescent="0.35">
      <c r="A8" s="142" t="str">
        <f>CONCATENATE("Bardic Music ",('Personal File'!$E$3),"x/day")</f>
        <v>Bardic Music 1x/day</v>
      </c>
      <c r="B8" s="392"/>
      <c r="C8" s="402" t="s">
        <v>191</v>
      </c>
      <c r="D8" s="50"/>
      <c r="E8" s="428" t="s">
        <v>69</v>
      </c>
      <c r="F8" s="429">
        <v>0</v>
      </c>
      <c r="G8" s="430" t="s">
        <v>100</v>
      </c>
      <c r="H8" s="430" t="s">
        <v>100</v>
      </c>
      <c r="I8" s="430" t="s">
        <v>100</v>
      </c>
      <c r="J8" s="430" t="s">
        <v>100</v>
      </c>
      <c r="K8" s="430" t="s">
        <v>100</v>
      </c>
      <c r="L8" s="430" t="s">
        <v>100</v>
      </c>
      <c r="M8" s="431" t="s">
        <v>100</v>
      </c>
    </row>
    <row r="9" spans="1:13" ht="18" thickTop="1" thickBot="1" x14ac:dyDescent="0.35">
      <c r="A9" s="142" t="s">
        <v>111</v>
      </c>
      <c r="B9" s="392"/>
      <c r="C9" s="392"/>
      <c r="D9" s="50"/>
    </row>
    <row r="10" spans="1:13" ht="22.2" thickTop="1" thickBot="1" x14ac:dyDescent="0.35">
      <c r="A10" s="142" t="s">
        <v>112</v>
      </c>
      <c r="B10" s="392"/>
      <c r="C10" s="403" t="s">
        <v>179</v>
      </c>
      <c r="D10" s="50"/>
      <c r="E10" s="17" t="s">
        <v>227</v>
      </c>
      <c r="F10" s="18">
        <f>SUM('Personal File'!E3)</f>
        <v>1</v>
      </c>
    </row>
    <row r="11" spans="1:13" ht="17.399999999999999" thickBot="1" x14ac:dyDescent="0.35">
      <c r="A11" s="142" t="s">
        <v>153</v>
      </c>
      <c r="B11" s="392"/>
      <c r="C11" s="402" t="s">
        <v>180</v>
      </c>
      <c r="D11" s="50"/>
      <c r="E11" s="17" t="s">
        <v>226</v>
      </c>
      <c r="F11" s="18">
        <f>ROUNDDOWN('Personal File'!E4/2,0)</f>
        <v>0</v>
      </c>
    </row>
    <row r="12" spans="1:13" ht="18" thickTop="1" thickBot="1" x14ac:dyDescent="0.35">
      <c r="A12" s="435" t="s">
        <v>185</v>
      </c>
      <c r="B12" s="392"/>
    </row>
    <row r="13" spans="1:13" ht="22.2" thickTop="1" thickBot="1" x14ac:dyDescent="0.35">
      <c r="A13" s="434" t="s">
        <v>186</v>
      </c>
      <c r="B13" s="393"/>
      <c r="C13" s="427" t="s">
        <v>181</v>
      </c>
      <c r="D13" s="50" t="s">
        <v>194</v>
      </c>
    </row>
    <row r="14" spans="1:13" ht="17.399999999999999" thickTop="1" x14ac:dyDescent="0.3">
      <c r="C14" s="399" t="s">
        <v>182</v>
      </c>
      <c r="D14" s="50"/>
    </row>
    <row r="15" spans="1:13" ht="21.6" thickBot="1" x14ac:dyDescent="0.35">
      <c r="A15" s="18" t="s">
        <v>213</v>
      </c>
      <c r="B15" s="432"/>
      <c r="C15" s="402" t="s">
        <v>183</v>
      </c>
      <c r="D15" s="50"/>
    </row>
    <row r="16" spans="1:13" ht="18" thickTop="1" thickBot="1" x14ac:dyDescent="0.35">
      <c r="A16" s="396" t="s">
        <v>214</v>
      </c>
      <c r="D16" s="50"/>
    </row>
    <row r="17" spans="2:4" ht="22.2" thickTop="1" thickBot="1" x14ac:dyDescent="0.35">
      <c r="C17" s="394" t="s">
        <v>222</v>
      </c>
      <c r="D17" s="50"/>
    </row>
    <row r="18" spans="2:4" x14ac:dyDescent="0.3">
      <c r="C18" s="499" t="s">
        <v>228</v>
      </c>
    </row>
    <row r="19" spans="2:4" x14ac:dyDescent="0.3">
      <c r="C19" s="499" t="s">
        <v>223</v>
      </c>
    </row>
    <row r="20" spans="2:4" ht="17.399999999999999" thickBot="1" x14ac:dyDescent="0.35">
      <c r="C20" s="500" t="s">
        <v>224</v>
      </c>
    </row>
    <row r="21" spans="2:4" ht="17.399999999999999" thickTop="1" x14ac:dyDescent="0.3"/>
    <row r="22" spans="2:4" ht="21" x14ac:dyDescent="0.3">
      <c r="B22" s="433"/>
    </row>
  </sheetData>
  <sortState xmlns:xlrd2="http://schemas.microsoft.com/office/spreadsheetml/2017/richdata2" ref="A14:A16">
    <sortCondition ref="A10:A1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
  <sheetViews>
    <sheetView showGridLines="0" zoomScaleNormal="100" workbookViewId="0"/>
  </sheetViews>
  <sheetFormatPr defaultColWidth="13" defaultRowHeight="15.6" x14ac:dyDescent="0.3"/>
  <cols>
    <col min="1" max="1" width="23.3984375" style="144" bestFit="1" customWidth="1"/>
    <col min="2" max="2" width="8.5" style="144" bestFit="1" customWidth="1"/>
    <col min="3" max="3" width="4.296875" style="144" bestFit="1" customWidth="1"/>
    <col min="4" max="4" width="6.296875" style="144" bestFit="1" customWidth="1"/>
    <col min="5" max="6" width="8.5" style="144" bestFit="1" customWidth="1"/>
    <col min="7" max="7" width="4.3984375" style="144" bestFit="1" customWidth="1"/>
    <col min="8" max="8" width="4.69921875" style="144" bestFit="1" customWidth="1"/>
    <col min="9" max="9" width="5.69921875" style="144" bestFit="1" customWidth="1"/>
    <col min="10" max="10" width="6.296875" style="144" bestFit="1" customWidth="1"/>
    <col min="11" max="11" width="35.09765625" style="144" bestFit="1" customWidth="1"/>
    <col min="12" max="12" width="1.796875" style="14" customWidth="1"/>
    <col min="13" max="13" width="5.796875" style="14" bestFit="1" customWidth="1"/>
    <col min="14" max="16384" width="13" style="14"/>
  </cols>
  <sheetData>
    <row r="1" spans="1:13" ht="23.4" thickBot="1" x14ac:dyDescent="0.35">
      <c r="A1" s="143" t="s">
        <v>15</v>
      </c>
      <c r="B1" s="143"/>
      <c r="C1" s="143"/>
      <c r="D1" s="143"/>
      <c r="E1" s="143"/>
      <c r="F1" s="143"/>
      <c r="G1" s="143"/>
      <c r="H1" s="143"/>
      <c r="I1" s="143"/>
      <c r="J1" s="143"/>
      <c r="K1" s="143"/>
      <c r="M1" s="143"/>
    </row>
    <row r="2" spans="1:13" ht="16.8" thickTop="1" thickBot="1" x14ac:dyDescent="0.35">
      <c r="A2" s="145" t="s">
        <v>1</v>
      </c>
      <c r="B2" s="146" t="s">
        <v>2</v>
      </c>
      <c r="C2" s="146" t="s">
        <v>19</v>
      </c>
      <c r="D2" s="146" t="s">
        <v>20</v>
      </c>
      <c r="E2" s="147" t="s">
        <v>58</v>
      </c>
      <c r="F2" s="146" t="s">
        <v>16</v>
      </c>
      <c r="G2" s="146" t="s">
        <v>21</v>
      </c>
      <c r="H2" s="148" t="s">
        <v>87</v>
      </c>
      <c r="I2" s="149" t="s">
        <v>101</v>
      </c>
      <c r="J2" s="148" t="s">
        <v>78</v>
      </c>
      <c r="K2" s="150" t="s">
        <v>76</v>
      </c>
      <c r="M2" s="151" t="s">
        <v>105</v>
      </c>
    </row>
    <row r="3" spans="1:13" x14ac:dyDescent="0.3">
      <c r="A3" s="362" t="s">
        <v>231</v>
      </c>
      <c r="B3" s="3" t="s">
        <v>199</v>
      </c>
      <c r="C3" s="363" t="str">
        <f>'Personal File'!$C$10</f>
        <v>+1</v>
      </c>
      <c r="D3" s="364" t="s">
        <v>234</v>
      </c>
      <c r="E3" s="364" t="s">
        <v>209</v>
      </c>
      <c r="F3" s="456" t="s">
        <v>210</v>
      </c>
      <c r="G3" s="4">
        <v>2</v>
      </c>
      <c r="H3" s="365" t="str">
        <f>CONCATENATE("+",'Personal File'!$B$8+'Personal File'!$C$10+D3)</f>
        <v>+3</v>
      </c>
      <c r="I3" s="462">
        <f t="shared" ref="I3:I5" ca="1" si="0">RANDBETWEEN(1,20)</f>
        <v>2</v>
      </c>
      <c r="J3" s="467">
        <f t="shared" ref="J3:J4" ca="1" si="1">I3+H3</f>
        <v>5</v>
      </c>
      <c r="K3" s="464"/>
      <c r="M3" s="256">
        <v>320</v>
      </c>
    </row>
    <row r="4" spans="1:13" x14ac:dyDescent="0.3">
      <c r="A4" s="453" t="s">
        <v>232</v>
      </c>
      <c r="B4" s="454" t="s">
        <v>121</v>
      </c>
      <c r="C4" s="501" t="str">
        <f>'Personal File'!$C$10</f>
        <v>+1</v>
      </c>
      <c r="D4" s="364" t="s">
        <v>234</v>
      </c>
      <c r="E4" s="455" t="s">
        <v>98</v>
      </c>
      <c r="F4" s="456" t="s">
        <v>210</v>
      </c>
      <c r="G4" s="457">
        <v>2</v>
      </c>
      <c r="H4" s="366" t="str">
        <f>CONCATENATE("+",'Personal File'!$B$8+'Personal File'!$C$10+D4)</f>
        <v>+3</v>
      </c>
      <c r="I4" s="337">
        <f t="shared" ca="1" si="0"/>
        <v>5</v>
      </c>
      <c r="J4" s="468">
        <f t="shared" ca="1" si="1"/>
        <v>8</v>
      </c>
      <c r="K4" s="465"/>
      <c r="M4" s="458">
        <v>330</v>
      </c>
    </row>
    <row r="5" spans="1:13" x14ac:dyDescent="0.3">
      <c r="A5" s="453" t="s">
        <v>218</v>
      </c>
      <c r="B5" s="454" t="s">
        <v>121</v>
      </c>
      <c r="C5" s="455" t="str">
        <f>'Personal File'!$C$10</f>
        <v>+1</v>
      </c>
      <c r="D5" s="364" t="s">
        <v>56</v>
      </c>
      <c r="E5" s="455" t="s">
        <v>219</v>
      </c>
      <c r="F5" s="456" t="s">
        <v>212</v>
      </c>
      <c r="G5" s="457">
        <v>2</v>
      </c>
      <c r="H5" s="366" t="str">
        <f>CONCATENATE("+",'Personal File'!$B$8+'Personal File'!$C$10+D5)</f>
        <v>+2</v>
      </c>
      <c r="I5" s="337">
        <f t="shared" ca="1" si="0"/>
        <v>2</v>
      </c>
      <c r="J5" s="468">
        <f t="shared" ref="J5" ca="1" si="2">I5+H5</f>
        <v>4</v>
      </c>
      <c r="K5" s="502" t="s">
        <v>235</v>
      </c>
      <c r="M5" s="318">
        <v>1</v>
      </c>
    </row>
    <row r="6" spans="1:13" ht="16.2" thickBot="1" x14ac:dyDescent="0.35">
      <c r="A6" s="224" t="s">
        <v>200</v>
      </c>
      <c r="B6" s="225" t="s">
        <v>118</v>
      </c>
      <c r="C6" s="367" t="str">
        <f>'Personal File'!$C$10</f>
        <v>+1</v>
      </c>
      <c r="D6" s="368" t="s">
        <v>56</v>
      </c>
      <c r="E6" s="368" t="s">
        <v>98</v>
      </c>
      <c r="F6" s="369" t="s">
        <v>99</v>
      </c>
      <c r="G6" s="172">
        <v>1</v>
      </c>
      <c r="H6" s="370" t="str">
        <f>CONCATENATE("+",'Personal File'!$B$8+'Personal File'!$C$10+D6)</f>
        <v>+2</v>
      </c>
      <c r="I6" s="463">
        <v>19</v>
      </c>
      <c r="J6" s="469">
        <v>19</v>
      </c>
      <c r="K6" s="466"/>
      <c r="M6" s="252">
        <v>4</v>
      </c>
    </row>
    <row r="7" spans="1:13" ht="16.8" thickTop="1" thickBot="1" x14ac:dyDescent="0.35">
      <c r="M7" s="217"/>
    </row>
    <row r="8" spans="1:13" ht="16.8" thickTop="1" thickBot="1" x14ac:dyDescent="0.35">
      <c r="A8" s="145" t="s">
        <v>4</v>
      </c>
      <c r="B8" s="146" t="s">
        <v>5</v>
      </c>
      <c r="C8" s="146" t="s">
        <v>19</v>
      </c>
      <c r="D8" s="146" t="s">
        <v>20</v>
      </c>
      <c r="E8" s="147" t="s">
        <v>58</v>
      </c>
      <c r="F8" s="146" t="s">
        <v>6</v>
      </c>
      <c r="G8" s="146" t="s">
        <v>21</v>
      </c>
      <c r="H8" s="148" t="s">
        <v>87</v>
      </c>
      <c r="I8" s="149" t="s">
        <v>101</v>
      </c>
      <c r="J8" s="148" t="s">
        <v>78</v>
      </c>
      <c r="K8" s="150" t="s">
        <v>76</v>
      </c>
      <c r="M8" s="253" t="s">
        <v>105</v>
      </c>
    </row>
    <row r="9" spans="1:13" x14ac:dyDescent="0.3">
      <c r="A9" s="269" t="s">
        <v>233</v>
      </c>
      <c r="B9" s="270" t="s">
        <v>110</v>
      </c>
      <c r="C9" s="270" t="str">
        <f>'Personal File'!C10</f>
        <v>+1</v>
      </c>
      <c r="D9" s="271" t="s">
        <v>234</v>
      </c>
      <c r="E9" s="270" t="s">
        <v>98</v>
      </c>
      <c r="F9" s="271" t="s">
        <v>162</v>
      </c>
      <c r="G9" s="272">
        <v>3</v>
      </c>
      <c r="H9" s="334" t="str">
        <f>CONCATENATE("+",'Personal File'!$B$8+'Personal File'!$C$11+D9)</f>
        <v>+5</v>
      </c>
      <c r="I9" s="335">
        <f t="shared" ref="I9:I10" ca="1" si="3">RANDBETWEEN(1,20)</f>
        <v>14</v>
      </c>
      <c r="J9" s="336">
        <f t="shared" ref="J9" ca="1" si="4">I9+H9</f>
        <v>19</v>
      </c>
      <c r="K9" s="347"/>
      <c r="M9" s="254">
        <v>500</v>
      </c>
    </row>
    <row r="10" spans="1:13" ht="16.2" thickBot="1" x14ac:dyDescent="0.35">
      <c r="A10" s="258" t="s">
        <v>108</v>
      </c>
      <c r="B10" s="259" t="s">
        <v>100</v>
      </c>
      <c r="C10" s="260" t="s">
        <v>100</v>
      </c>
      <c r="D10" s="260" t="s">
        <v>56</v>
      </c>
      <c r="E10" s="259" t="s">
        <v>100</v>
      </c>
      <c r="F10" s="260" t="s">
        <v>100</v>
      </c>
      <c r="G10" s="261" t="s">
        <v>100</v>
      </c>
      <c r="H10" s="338" t="str">
        <f>CONCATENATE("+",'Personal File'!$B$8+'Personal File'!$C$11+D10)</f>
        <v>+4</v>
      </c>
      <c r="I10" s="339">
        <f t="shared" ca="1" si="3"/>
        <v>1</v>
      </c>
      <c r="J10" s="338">
        <f t="shared" ref="J10" ca="1" si="5">I10+H10</f>
        <v>5</v>
      </c>
      <c r="K10" s="262"/>
      <c r="M10" s="257" t="s">
        <v>100</v>
      </c>
    </row>
    <row r="11" spans="1:13" ht="16.8" thickTop="1" thickBot="1" x14ac:dyDescent="0.35">
      <c r="D11" s="152"/>
      <c r="E11" s="152"/>
      <c r="G11" s="153"/>
      <c r="H11" s="153"/>
      <c r="I11" s="153"/>
      <c r="J11" s="153"/>
      <c r="M11" s="217"/>
    </row>
    <row r="12" spans="1:13" ht="16.8" thickTop="1" thickBot="1" x14ac:dyDescent="0.35">
      <c r="A12" s="145" t="s">
        <v>63</v>
      </c>
      <c r="B12" s="146" t="s">
        <v>9</v>
      </c>
      <c r="C12" s="146" t="s">
        <v>28</v>
      </c>
      <c r="D12" s="146" t="s">
        <v>78</v>
      </c>
      <c r="E12" s="146" t="s">
        <v>79</v>
      </c>
      <c r="F12" s="146" t="s">
        <v>80</v>
      </c>
      <c r="G12" s="146" t="s">
        <v>21</v>
      </c>
      <c r="H12" s="154" t="s">
        <v>76</v>
      </c>
      <c r="I12" s="155"/>
      <c r="J12" s="155"/>
      <c r="K12" s="156"/>
      <c r="M12" s="253" t="s">
        <v>105</v>
      </c>
    </row>
    <row r="13" spans="1:13" x14ac:dyDescent="0.3">
      <c r="A13" s="280" t="s">
        <v>196</v>
      </c>
      <c r="B13" s="3">
        <v>3</v>
      </c>
      <c r="C13" s="157">
        <v>5</v>
      </c>
      <c r="D13" s="3">
        <v>0</v>
      </c>
      <c r="E13" s="498">
        <v>0.15</v>
      </c>
      <c r="F13" s="276" t="s">
        <v>103</v>
      </c>
      <c r="G13" s="4">
        <v>20</v>
      </c>
      <c r="H13" s="158"/>
      <c r="I13" s="159"/>
      <c r="J13" s="159"/>
      <c r="K13" s="452"/>
      <c r="L13" s="140"/>
      <c r="M13" s="256">
        <v>175</v>
      </c>
    </row>
    <row r="14" spans="1:13" ht="16.2" thickBot="1" x14ac:dyDescent="0.35">
      <c r="A14" s="224" t="s">
        <v>197</v>
      </c>
      <c r="B14" s="225">
        <v>1</v>
      </c>
      <c r="C14" s="226" t="s">
        <v>100</v>
      </c>
      <c r="D14" s="225">
        <v>0</v>
      </c>
      <c r="E14" s="227" t="s">
        <v>100</v>
      </c>
      <c r="F14" s="225" t="s">
        <v>100</v>
      </c>
      <c r="G14" s="172">
        <v>5</v>
      </c>
      <c r="H14" s="495" t="s">
        <v>217</v>
      </c>
      <c r="I14" s="496"/>
      <c r="J14" s="496"/>
      <c r="K14" s="497"/>
      <c r="L14" s="140"/>
      <c r="M14" s="252">
        <v>166</v>
      </c>
    </row>
    <row r="15" spans="1:13" ht="16.8" thickTop="1" thickBot="1" x14ac:dyDescent="0.35">
      <c r="M15" s="217"/>
    </row>
    <row r="16" spans="1:13" ht="16.8" thickTop="1" thickBot="1" x14ac:dyDescent="0.35">
      <c r="D16" s="160" t="s">
        <v>64</v>
      </c>
      <c r="E16" s="161"/>
      <c r="F16" s="154" t="s">
        <v>3</v>
      </c>
      <c r="G16" s="146" t="s">
        <v>21</v>
      </c>
      <c r="H16" s="148" t="s">
        <v>87</v>
      </c>
      <c r="I16" s="154" t="s">
        <v>76</v>
      </c>
      <c r="J16" s="155"/>
      <c r="K16" s="156"/>
      <c r="M16" s="253" t="s">
        <v>105</v>
      </c>
    </row>
    <row r="17" spans="1:13" x14ac:dyDescent="0.3">
      <c r="D17" s="162" t="s">
        <v>198</v>
      </c>
      <c r="E17" s="163"/>
      <c r="F17" s="164">
        <v>20</v>
      </c>
      <c r="G17" s="4">
        <f t="shared" ref="G17:G18" si="6">F17*3/20</f>
        <v>3</v>
      </c>
      <c r="H17" s="165" t="s">
        <v>56</v>
      </c>
      <c r="I17" s="166"/>
      <c r="J17" s="167"/>
      <c r="K17" s="168"/>
      <c r="M17" s="256">
        <f t="shared" ref="M17" si="7">F17/10</f>
        <v>2</v>
      </c>
    </row>
    <row r="18" spans="1:13" x14ac:dyDescent="0.3">
      <c r="D18" s="340"/>
      <c r="E18" s="341"/>
      <c r="F18" s="342"/>
      <c r="G18" s="317">
        <f t="shared" si="6"/>
        <v>0</v>
      </c>
      <c r="H18" s="343" t="s">
        <v>56</v>
      </c>
      <c r="I18" s="344"/>
      <c r="J18" s="345"/>
      <c r="K18" s="346"/>
      <c r="M18" s="318">
        <f>F18/10+(2*F18)</f>
        <v>0</v>
      </c>
    </row>
    <row r="19" spans="1:13" ht="16.2" thickBot="1" x14ac:dyDescent="0.35">
      <c r="D19" s="169"/>
      <c r="E19" s="170"/>
      <c r="F19" s="171"/>
      <c r="G19" s="172">
        <f t="shared" ref="G19" si="8">F19*3/20</f>
        <v>0</v>
      </c>
      <c r="H19" s="173" t="s">
        <v>56</v>
      </c>
      <c r="I19" s="174"/>
      <c r="J19" s="175"/>
      <c r="K19" s="176"/>
      <c r="M19" s="252">
        <f>F19/5</f>
        <v>0</v>
      </c>
    </row>
    <row r="20" spans="1:13" ht="16.8" thickTop="1" thickBot="1" x14ac:dyDescent="0.35">
      <c r="M20" s="217"/>
    </row>
    <row r="21" spans="1:13" ht="16.8" thickTop="1" thickBot="1" x14ac:dyDescent="0.35">
      <c r="D21" s="160" t="s">
        <v>106</v>
      </c>
      <c r="E21" s="155"/>
      <c r="F21" s="155"/>
      <c r="G21" s="155"/>
      <c r="H21" s="178" t="s">
        <v>3</v>
      </c>
      <c r="I21" s="178" t="s">
        <v>0</v>
      </c>
      <c r="J21" s="178" t="s">
        <v>107</v>
      </c>
      <c r="K21" s="156" t="s">
        <v>76</v>
      </c>
      <c r="L21" s="140"/>
      <c r="M21" s="253" t="s">
        <v>105</v>
      </c>
    </row>
    <row r="22" spans="1:13" x14ac:dyDescent="0.3">
      <c r="D22" s="209" t="s">
        <v>238</v>
      </c>
      <c r="E22" s="210"/>
      <c r="F22" s="210"/>
      <c r="G22" s="211"/>
      <c r="H22" s="212">
        <v>1</v>
      </c>
      <c r="I22" s="212">
        <v>1</v>
      </c>
      <c r="J22" s="212">
        <v>1</v>
      </c>
      <c r="K22" s="213" t="s">
        <v>239</v>
      </c>
      <c r="L22" s="140"/>
      <c r="M22" s="255">
        <f>15*LEFT(K22,2)*J22*I22*H22</f>
        <v>375</v>
      </c>
    </row>
    <row r="23" spans="1:13" x14ac:dyDescent="0.3">
      <c r="D23" s="209"/>
      <c r="E23" s="210"/>
      <c r="F23" s="210"/>
      <c r="G23" s="211"/>
      <c r="H23" s="212"/>
      <c r="I23" s="212"/>
      <c r="J23" s="212"/>
      <c r="K23" s="213"/>
      <c r="L23" s="140"/>
      <c r="M23" s="255"/>
    </row>
    <row r="24" spans="1:13" ht="16.2" thickBot="1" x14ac:dyDescent="0.35">
      <c r="D24" s="180"/>
      <c r="E24" s="214"/>
      <c r="F24" s="214"/>
      <c r="G24" s="215"/>
      <c r="H24" s="216"/>
      <c r="I24" s="216"/>
      <c r="J24" s="216"/>
      <c r="K24" s="181"/>
      <c r="L24" s="140"/>
      <c r="M24" s="252"/>
    </row>
    <row r="25" spans="1:13" ht="18.600000000000001" thickTop="1" x14ac:dyDescent="0.3">
      <c r="A25" s="177"/>
      <c r="B25" s="179"/>
    </row>
    <row r="26" spans="1:13" ht="18" x14ac:dyDescent="0.3">
      <c r="A26" s="177"/>
      <c r="B26" s="179"/>
    </row>
    <row r="27" spans="1:13" ht="18" x14ac:dyDescent="0.3">
      <c r="A27" s="177"/>
      <c r="B27" s="179"/>
    </row>
    <row r="28" spans="1:13" ht="18" x14ac:dyDescent="0.3">
      <c r="A28" s="177"/>
      <c r="B28" s="179"/>
    </row>
    <row r="29" spans="1:13" ht="18" x14ac:dyDescent="0.3">
      <c r="A29" s="177"/>
      <c r="B29" s="179"/>
    </row>
    <row r="30" spans="1:13" ht="18" x14ac:dyDescent="0.3">
      <c r="A30" s="177"/>
      <c r="B30" s="179"/>
    </row>
    <row r="31" spans="1:13" ht="18" x14ac:dyDescent="0.3">
      <c r="A31" s="177"/>
      <c r="B31" s="179"/>
    </row>
  </sheetData>
  <sortState xmlns:xlrd2="http://schemas.microsoft.com/office/spreadsheetml/2017/richdata2" ref="D21:M23">
    <sortCondition ref="D21:D23"/>
  </sortState>
  <phoneticPr fontId="0" type="noConversion"/>
  <conditionalFormatting sqref="B14">
    <cfRule type="cellIs" dxfId="8" priority="26" operator="equal">
      <formula>2</formula>
    </cfRule>
  </conditionalFormatting>
  <conditionalFormatting sqref="I3">
    <cfRule type="cellIs" dxfId="7" priority="22" operator="greaterThan">
      <formula>18</formula>
    </cfRule>
  </conditionalFormatting>
  <conditionalFormatting sqref="I3:I6">
    <cfRule type="cellIs" dxfId="6" priority="6" operator="equal">
      <formula>1</formula>
    </cfRule>
  </conditionalFormatting>
  <conditionalFormatting sqref="I4:I5">
    <cfRule type="cellIs" dxfId="5" priority="5" operator="greaterThan">
      <formula>19</formula>
    </cfRule>
  </conditionalFormatting>
  <conditionalFormatting sqref="I6">
    <cfRule type="cellIs" dxfId="4" priority="13" operator="greaterThan">
      <formula>18</formula>
    </cfRule>
  </conditionalFormatting>
  <conditionalFormatting sqref="I9:I10">
    <cfRule type="cellIs" dxfId="3" priority="9" operator="greaterThan">
      <formula>19</formula>
    </cfRule>
    <cfRule type="cellIs" dxfId="2"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4"/>
  <sheetViews>
    <sheetView showGridLines="0" zoomScaleNormal="100" workbookViewId="0"/>
  </sheetViews>
  <sheetFormatPr defaultColWidth="13" defaultRowHeight="15.6" x14ac:dyDescent="0.3"/>
  <cols>
    <col min="1" max="1" width="27.3984375" style="144" bestFit="1" customWidth="1"/>
    <col min="2" max="2" width="4.69921875" style="144" bestFit="1" customWidth="1"/>
    <col min="3" max="3" width="4.3984375" style="153" bestFit="1" customWidth="1"/>
    <col min="4" max="5" width="28" style="14" customWidth="1"/>
    <col min="6" max="6" width="2.8984375" style="144" customWidth="1"/>
    <col min="7" max="7" width="8.296875" style="217" bestFit="1" customWidth="1"/>
    <col min="8" max="16384" width="13" style="14"/>
  </cols>
  <sheetData>
    <row r="1" spans="1:8" ht="23.4" thickBot="1" x14ac:dyDescent="0.35">
      <c r="A1" s="143" t="s">
        <v>73</v>
      </c>
      <c r="B1" s="143"/>
      <c r="C1" s="182"/>
      <c r="D1" s="143"/>
      <c r="E1" s="143"/>
    </row>
    <row r="2" spans="1:8" s="144" customFormat="1" ht="16.8" thickTop="1" thickBot="1" x14ac:dyDescent="0.35">
      <c r="A2" s="183" t="s">
        <v>74</v>
      </c>
      <c r="B2" s="183" t="s">
        <v>3</v>
      </c>
      <c r="C2" s="184" t="s">
        <v>21</v>
      </c>
      <c r="D2" s="185" t="s">
        <v>75</v>
      </c>
      <c r="E2" s="186" t="s">
        <v>76</v>
      </c>
      <c r="G2" s="218" t="s">
        <v>105</v>
      </c>
    </row>
    <row r="3" spans="1:8" x14ac:dyDescent="0.3">
      <c r="A3" s="486" t="s">
        <v>202</v>
      </c>
      <c r="B3" s="190">
        <v>2</v>
      </c>
      <c r="C3" s="191">
        <f>0.1*B3</f>
        <v>0.2</v>
      </c>
      <c r="D3" s="192"/>
      <c r="E3" s="193"/>
      <c r="G3" s="222">
        <f>2*B3</f>
        <v>4</v>
      </c>
      <c r="H3" s="140"/>
    </row>
    <row r="4" spans="1:8" x14ac:dyDescent="0.3">
      <c r="A4" s="487" t="s">
        <v>201</v>
      </c>
      <c r="B4" s="195">
        <v>1</v>
      </c>
      <c r="C4" s="191">
        <v>2</v>
      </c>
      <c r="D4" s="192"/>
      <c r="E4" s="193"/>
      <c r="G4" s="307">
        <v>5</v>
      </c>
      <c r="H4" s="140"/>
    </row>
    <row r="5" spans="1:8" x14ac:dyDescent="0.3">
      <c r="A5" s="241" t="s">
        <v>236</v>
      </c>
      <c r="B5" s="190">
        <v>1</v>
      </c>
      <c r="C5" s="238">
        <v>1</v>
      </c>
      <c r="D5" s="239"/>
      <c r="E5" s="240"/>
      <c r="G5" s="307">
        <v>25</v>
      </c>
      <c r="H5" s="140"/>
    </row>
    <row r="6" spans="1:8" x14ac:dyDescent="0.3">
      <c r="A6" s="312" t="s">
        <v>104</v>
      </c>
      <c r="B6" s="459">
        <v>1</v>
      </c>
      <c r="C6" s="460" t="s">
        <v>100</v>
      </c>
      <c r="D6" s="239"/>
      <c r="E6" s="240"/>
      <c r="G6" s="315">
        <v>1</v>
      </c>
      <c r="H6" s="140"/>
    </row>
    <row r="7" spans="1:8" ht="16.2" thickBot="1" x14ac:dyDescent="0.35">
      <c r="A7" s="488" t="s">
        <v>211</v>
      </c>
      <c r="B7" s="489">
        <v>1</v>
      </c>
      <c r="C7" s="480" t="s">
        <v>100</v>
      </c>
      <c r="D7" s="491"/>
      <c r="E7" s="492"/>
      <c r="G7" s="490">
        <v>0</v>
      </c>
    </row>
    <row r="8" spans="1:8" ht="24" thickTop="1" thickBot="1" x14ac:dyDescent="0.35">
      <c r="A8" s="143" t="s">
        <v>77</v>
      </c>
      <c r="B8" s="143"/>
      <c r="C8" s="200"/>
      <c r="D8" s="143"/>
      <c r="E8" s="201"/>
      <c r="G8" s="220"/>
    </row>
    <row r="9" spans="1:8" ht="16.8" thickTop="1" thickBot="1" x14ac:dyDescent="0.35">
      <c r="A9" s="183" t="s">
        <v>74</v>
      </c>
      <c r="B9" s="183" t="s">
        <v>3</v>
      </c>
      <c r="C9" s="184" t="s">
        <v>21</v>
      </c>
      <c r="D9" s="185" t="s">
        <v>75</v>
      </c>
      <c r="E9" s="186" t="s">
        <v>76</v>
      </c>
      <c r="G9" s="218" t="s">
        <v>105</v>
      </c>
    </row>
    <row r="10" spans="1:8" x14ac:dyDescent="0.3">
      <c r="A10" s="470" t="s">
        <v>205</v>
      </c>
      <c r="B10" s="459">
        <v>1</v>
      </c>
      <c r="C10" s="238">
        <v>1</v>
      </c>
      <c r="D10" s="239"/>
      <c r="E10" s="240"/>
      <c r="F10" s="188"/>
      <c r="G10" s="315">
        <v>1</v>
      </c>
      <c r="H10" s="140"/>
    </row>
    <row r="11" spans="1:8" x14ac:dyDescent="0.3">
      <c r="A11" s="471" t="s">
        <v>207</v>
      </c>
      <c r="B11" s="459">
        <v>1</v>
      </c>
      <c r="C11" s="238">
        <v>0.5</v>
      </c>
      <c r="D11" s="461"/>
      <c r="E11" s="240"/>
      <c r="F11" s="188"/>
      <c r="G11" s="316">
        <v>0.05</v>
      </c>
      <c r="H11" s="140"/>
    </row>
    <row r="12" spans="1:8" x14ac:dyDescent="0.3">
      <c r="A12" s="493" t="s">
        <v>237</v>
      </c>
      <c r="B12" s="313">
        <v>1</v>
      </c>
      <c r="C12" s="274">
        <v>1</v>
      </c>
      <c r="D12" s="314"/>
      <c r="E12" s="275"/>
      <c r="F12"/>
      <c r="G12" s="315">
        <v>50</v>
      </c>
      <c r="H12" s="140"/>
    </row>
    <row r="13" spans="1:8" x14ac:dyDescent="0.3">
      <c r="A13" s="493" t="s">
        <v>208</v>
      </c>
      <c r="B13" s="313">
        <v>2</v>
      </c>
      <c r="C13" s="274">
        <v>0</v>
      </c>
      <c r="D13" s="314"/>
      <c r="E13" s="275"/>
      <c r="F13"/>
      <c r="G13" s="315">
        <v>8</v>
      </c>
      <c r="H13" s="140"/>
    </row>
    <row r="14" spans="1:8" x14ac:dyDescent="0.3">
      <c r="A14" s="494" t="s">
        <v>161</v>
      </c>
      <c r="B14" s="305">
        <v>0</v>
      </c>
      <c r="C14" s="279">
        <f>B14/100</f>
        <v>0</v>
      </c>
      <c r="D14" s="306"/>
      <c r="E14" s="275"/>
      <c r="F14"/>
      <c r="G14" s="316">
        <f>0.02*B14</f>
        <v>0</v>
      </c>
      <c r="H14" s="140"/>
    </row>
    <row r="15" spans="1:8" x14ac:dyDescent="0.3">
      <c r="A15" s="472" t="s">
        <v>206</v>
      </c>
      <c r="B15" s="313">
        <v>2</v>
      </c>
      <c r="C15" s="274">
        <v>0</v>
      </c>
      <c r="D15" s="314"/>
      <c r="E15" s="275"/>
      <c r="F15"/>
      <c r="G15" s="316">
        <v>0.01</v>
      </c>
      <c r="H15" s="140"/>
    </row>
    <row r="16" spans="1:8" x14ac:dyDescent="0.3">
      <c r="A16" s="472" t="s">
        <v>241</v>
      </c>
      <c r="B16" s="313">
        <v>10</v>
      </c>
      <c r="C16" s="274">
        <v>0</v>
      </c>
      <c r="D16" s="314"/>
      <c r="E16" s="275"/>
      <c r="F16"/>
      <c r="G16" s="307">
        <f>B16</f>
        <v>10</v>
      </c>
      <c r="H16" s="140"/>
    </row>
    <row r="17" spans="1:8" x14ac:dyDescent="0.3">
      <c r="A17" s="472" t="s">
        <v>159</v>
      </c>
      <c r="B17" s="313">
        <v>10</v>
      </c>
      <c r="C17" s="274">
        <v>0</v>
      </c>
      <c r="D17" s="314"/>
      <c r="E17" s="275"/>
      <c r="F17"/>
      <c r="G17" s="316">
        <v>0.8</v>
      </c>
      <c r="H17" s="140"/>
    </row>
    <row r="18" spans="1:8" x14ac:dyDescent="0.3">
      <c r="A18" s="472" t="s">
        <v>158</v>
      </c>
      <c r="B18" s="313">
        <v>1</v>
      </c>
      <c r="C18" s="274">
        <v>0</v>
      </c>
      <c r="D18" s="314"/>
      <c r="E18" s="282"/>
      <c r="F18"/>
      <c r="G18" s="307">
        <f>B18</f>
        <v>1</v>
      </c>
      <c r="H18" s="140"/>
    </row>
    <row r="19" spans="1:8" ht="16.2" thickBot="1" x14ac:dyDescent="0.35">
      <c r="A19" s="473" t="s">
        <v>203</v>
      </c>
      <c r="B19" s="196">
        <v>1</v>
      </c>
      <c r="C19" s="197">
        <v>4</v>
      </c>
      <c r="D19" s="205"/>
      <c r="E19" s="199"/>
      <c r="G19" s="219" t="s">
        <v>204</v>
      </c>
    </row>
    <row r="20" spans="1:8" ht="22.8" thickTop="1" thickBot="1" x14ac:dyDescent="0.35">
      <c r="A20" s="301"/>
      <c r="B20" s="302" t="s">
        <v>157</v>
      </c>
      <c r="C20" s="302"/>
      <c r="D20" s="302"/>
      <c r="E20" s="303"/>
      <c r="F20" s="188"/>
      <c r="G20" s="188" t="s">
        <v>195</v>
      </c>
    </row>
    <row r="21" spans="1:8" ht="16.8" thickTop="1" thickBot="1" x14ac:dyDescent="0.35">
      <c r="A21" s="183" t="s">
        <v>74</v>
      </c>
      <c r="B21" s="183" t="s">
        <v>3</v>
      </c>
      <c r="C21" s="184" t="s">
        <v>21</v>
      </c>
      <c r="D21" s="185" t="s">
        <v>75</v>
      </c>
      <c r="E21" s="186" t="s">
        <v>76</v>
      </c>
      <c r="F21" s="188"/>
      <c r="G21" s="304" t="s">
        <v>105</v>
      </c>
    </row>
    <row r="22" spans="1:8" x14ac:dyDescent="0.3">
      <c r="A22" s="474"/>
      <c r="B22" s="475"/>
      <c r="C22" s="460"/>
      <c r="D22" s="476"/>
      <c r="E22" s="477"/>
      <c r="F22"/>
      <c r="G22" s="483"/>
    </row>
    <row r="23" spans="1:8" x14ac:dyDescent="0.3">
      <c r="A23" s="474"/>
      <c r="B23" s="475"/>
      <c r="C23" s="460"/>
      <c r="D23" s="476"/>
      <c r="E23" s="477"/>
      <c r="F23"/>
      <c r="G23" s="484"/>
    </row>
    <row r="24" spans="1:8" x14ac:dyDescent="0.3">
      <c r="A24" s="474"/>
      <c r="B24" s="475"/>
      <c r="C24" s="460"/>
      <c r="D24" s="476"/>
      <c r="E24" s="477"/>
      <c r="F24"/>
      <c r="G24" s="484"/>
    </row>
    <row r="25" spans="1:8" ht="16.2" thickBot="1" x14ac:dyDescent="0.35">
      <c r="A25" s="478"/>
      <c r="B25" s="479"/>
      <c r="C25" s="480"/>
      <c r="D25" s="481"/>
      <c r="E25" s="482"/>
      <c r="F25" s="188"/>
      <c r="G25" s="485"/>
    </row>
    <row r="26" spans="1:8" ht="24" thickTop="1" thickBot="1" x14ac:dyDescent="0.45">
      <c r="A26" s="55" t="s">
        <v>156</v>
      </c>
      <c r="B26" s="308">
        <f>C26/500</f>
        <v>0</v>
      </c>
      <c r="C26" s="309">
        <f>SUM(C22:C25)</f>
        <v>0</v>
      </c>
      <c r="D26" s="310" t="s">
        <v>155</v>
      </c>
      <c r="E26" s="143"/>
      <c r="G26" s="311"/>
    </row>
    <row r="27" spans="1:8" s="144" customFormat="1" ht="16.8" thickTop="1" thickBot="1" x14ac:dyDescent="0.35">
      <c r="A27" s="183" t="s">
        <v>74</v>
      </c>
      <c r="B27" s="183" t="s">
        <v>3</v>
      </c>
      <c r="C27" s="184" t="s">
        <v>21</v>
      </c>
      <c r="D27" s="183" t="s">
        <v>125</v>
      </c>
      <c r="E27" s="186" t="s">
        <v>76</v>
      </c>
      <c r="G27" s="218" t="s">
        <v>105</v>
      </c>
    </row>
    <row r="28" spans="1:8" x14ac:dyDescent="0.3">
      <c r="A28" s="202"/>
      <c r="B28" s="203"/>
      <c r="C28" s="187"/>
      <c r="D28" s="281"/>
      <c r="E28" s="282"/>
      <c r="G28" s="222"/>
    </row>
    <row r="29" spans="1:8" x14ac:dyDescent="0.3">
      <c r="A29" s="189"/>
      <c r="B29" s="190"/>
      <c r="C29" s="191"/>
      <c r="D29" s="208"/>
      <c r="E29" s="193"/>
      <c r="G29" s="221"/>
    </row>
    <row r="30" spans="1:8" x14ac:dyDescent="0.3">
      <c r="A30" s="194"/>
      <c r="B30" s="195"/>
      <c r="C30" s="191"/>
      <c r="D30" s="192"/>
      <c r="E30" s="193"/>
      <c r="G30" s="221"/>
    </row>
    <row r="31" spans="1:8" ht="16.2" thickBot="1" x14ac:dyDescent="0.35">
      <c r="A31" s="206"/>
      <c r="B31" s="207"/>
      <c r="C31" s="204"/>
      <c r="D31" s="198"/>
      <c r="E31" s="199"/>
      <c r="G31" s="223"/>
    </row>
    <row r="32" spans="1:8" ht="16.2" thickTop="1" x14ac:dyDescent="0.3"/>
    <row r="33" spans="5:7" x14ac:dyDescent="0.3">
      <c r="E33" s="55" t="s">
        <v>120</v>
      </c>
      <c r="F33" s="140"/>
      <c r="G33" s="247">
        <f>SUM(Martial!M3:M24,Equipment!G3:G31)</f>
        <v>1978.86</v>
      </c>
    </row>
    <row r="34" spans="5:7" x14ac:dyDescent="0.3">
      <c r="E34" s="55" t="s">
        <v>164</v>
      </c>
      <c r="F34" s="188"/>
      <c r="G34" s="247">
        <v>2000</v>
      </c>
    </row>
  </sheetData>
  <sortState xmlns:xlrd2="http://schemas.microsoft.com/office/spreadsheetml/2017/richdata2" ref="A5:G13">
    <sortCondition ref="A5:A13"/>
  </sortState>
  <phoneticPr fontId="0" type="noConversion"/>
  <conditionalFormatting sqref="B26">
    <cfRule type="cellIs" dxfId="1" priority="1" operator="greaterThan">
      <formula>0.99</formula>
    </cfRule>
  </conditionalFormatting>
  <conditionalFormatting sqref="G33">
    <cfRule type="cellIs" dxfId="0" priority="2"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Werehunters PC file</dc:title>
  <dc:creator>© Alexis A. Álvarez 2007</dc:creator>
  <cp:lastModifiedBy>Alexis Álvarez</cp:lastModifiedBy>
  <cp:lastPrinted>2020-07-26T21:33:55Z</cp:lastPrinted>
  <dcterms:created xsi:type="dcterms:W3CDTF">2000-10-24T15:39:59Z</dcterms:created>
  <dcterms:modified xsi:type="dcterms:W3CDTF">2024-07-16T13:46:14Z</dcterms:modified>
  <cp:category>D&amp;D 3.5</cp:category>
</cp:coreProperties>
</file>