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MN\PCs\"/>
    </mc:Choice>
  </mc:AlternateContent>
  <xr:revisionPtr revIDLastSave="0" documentId="13_ncr:1_{A8F06237-3F4F-4B10-A7F3-BF78C60982EE}"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2" r:id="rId3"/>
    <sheet name="Feats" sheetId="20" r:id="rId4"/>
    <sheet name="Martial" sheetId="6" r:id="rId5"/>
    <sheet name="Equipment" sheetId="19" r:id="rId6"/>
    <sheet name="Mount" sheetId="21" r:id="rId7"/>
  </sheets>
  <definedNames>
    <definedName name="NoShade">#REF!</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6">Mount!$A$1:$H$12</definedName>
    <definedName name="_xlnm.Print_Area" localSheetId="0">'Personal File'!$A$1:$H$69</definedName>
    <definedName name="_xlnm.Print_Area" localSheetId="1">Skills!$A$1:$K$30</definedName>
    <definedName name="_xlnm.Print_Area" localSheetId="2">Spells!$A$1:$I$7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9" l="1"/>
  <c r="C10" i="19"/>
  <c r="H44" i="15" l="1"/>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D25" i="15"/>
  <c r="G25" i="15" s="1"/>
  <c r="E48" i="15"/>
  <c r="I25" i="15" l="1"/>
  <c r="E25" i="15"/>
  <c r="G5" i="20"/>
  <c r="K5" i="20"/>
  <c r="J5" i="20"/>
  <c r="F5" i="20"/>
  <c r="F18" i="20"/>
  <c r="G18" i="20" s="1"/>
  <c r="F15" i="20"/>
  <c r="F16" i="20" s="1"/>
  <c r="F19" i="20" l="1"/>
  <c r="F20" i="20" s="1"/>
  <c r="F21" i="20" s="1"/>
  <c r="G19" i="20" l="1"/>
  <c r="G20" i="20"/>
  <c r="F22" i="20"/>
  <c r="G21" i="20"/>
  <c r="H21" i="20" s="1"/>
  <c r="F23" i="20" l="1"/>
  <c r="G22" i="20"/>
  <c r="H22" i="20" s="1"/>
  <c r="F24" i="20" l="1"/>
  <c r="G23" i="20"/>
  <c r="H23" i="20" s="1"/>
  <c r="G24" i="20" l="1"/>
  <c r="H24" i="20" s="1"/>
  <c r="F25" i="20"/>
  <c r="F26" i="20" l="1"/>
  <c r="G25" i="20"/>
  <c r="H25" i="20" s="1"/>
  <c r="I25" i="20" s="1"/>
  <c r="G26" i="20" l="1"/>
  <c r="H26" i="20" s="1"/>
  <c r="I26" i="20" s="1"/>
  <c r="F27" i="20"/>
  <c r="F33" i="20" l="1"/>
  <c r="G33" i="20" s="1"/>
  <c r="H33" i="20" s="1"/>
  <c r="I33" i="20" s="1"/>
  <c r="J33" i="20" s="1"/>
  <c r="K33" i="20" s="1"/>
  <c r="F28" i="20"/>
  <c r="G27" i="20"/>
  <c r="H27" i="20" s="1"/>
  <c r="I27" i="20" s="1"/>
  <c r="G28" i="20" l="1"/>
  <c r="H28" i="20" s="1"/>
  <c r="I28" i="20" s="1"/>
  <c r="F29" i="20"/>
  <c r="F30" i="20" l="1"/>
  <c r="G29" i="20"/>
  <c r="H29" i="20" s="1"/>
  <c r="I29" i="20" s="1"/>
  <c r="J29" i="20" s="1"/>
  <c r="G30" i="20" l="1"/>
  <c r="H30" i="20" s="1"/>
  <c r="I30" i="20" s="1"/>
  <c r="J30" i="20" s="1"/>
  <c r="F31" i="20"/>
  <c r="F32" i="20" l="1"/>
  <c r="G32" i="20" s="1"/>
  <c r="H32" i="20" s="1"/>
  <c r="I32" i="20" s="1"/>
  <c r="J32" i="20" s="1"/>
  <c r="G31" i="20"/>
  <c r="H31" i="20" s="1"/>
  <c r="I31" i="20" s="1"/>
  <c r="J31" i="20" s="1"/>
  <c r="B5" i="15" l="1"/>
  <c r="B4" i="15"/>
  <c r="B3" i="15"/>
  <c r="B8" i="4"/>
  <c r="E12" i="4"/>
  <c r="C13" i="20"/>
  <c r="C5" i="6" l="1"/>
  <c r="C6" i="6"/>
  <c r="C15" i="6"/>
  <c r="C12" i="6"/>
  <c r="F23" i="15"/>
  <c r="E5" i="21"/>
  <c r="G5" i="21"/>
  <c r="I9" i="6"/>
  <c r="H9" i="6"/>
  <c r="C9" i="6"/>
  <c r="F7" i="15"/>
  <c r="G14" i="19"/>
  <c r="G15" i="19"/>
  <c r="G19" i="19"/>
  <c r="H5" i="6"/>
  <c r="I5" i="6"/>
  <c r="I6" i="6"/>
  <c r="H6" i="6"/>
  <c r="C4" i="6"/>
  <c r="C7" i="6"/>
  <c r="C8" i="6"/>
  <c r="C10" i="6"/>
  <c r="C11" i="6"/>
  <c r="C3" i="6"/>
  <c r="C9" i="21"/>
  <c r="C8" i="21"/>
  <c r="C7" i="21"/>
  <c r="C6" i="21"/>
  <c r="C5" i="21"/>
  <c r="C4" i="21"/>
  <c r="J9" i="6" l="1"/>
  <c r="J5" i="6"/>
  <c r="J6" i="6"/>
  <c r="G23" i="19"/>
  <c r="H9" i="15"/>
  <c r="H8" i="15"/>
  <c r="B14" i="4"/>
  <c r="F13" i="15"/>
  <c r="F43" i="15" l="1"/>
  <c r="F37" i="15"/>
  <c r="F29" i="15"/>
  <c r="F21" i="15"/>
  <c r="F16" i="15"/>
  <c r="F9" i="15"/>
  <c r="I8" i="6" l="1"/>
  <c r="I7" i="6"/>
  <c r="H7" i="15" l="1"/>
  <c r="H3" i="15" l="1"/>
  <c r="H4" i="15"/>
  <c r="H5" i="15"/>
  <c r="I3" i="6" l="1"/>
  <c r="I4" i="6"/>
  <c r="I16" i="6" l="1"/>
  <c r="I11" i="6"/>
  <c r="I10" i="6" l="1"/>
  <c r="C20" i="19" l="1"/>
  <c r="I15" i="6" l="1"/>
  <c r="B46" i="15" l="1"/>
  <c r="E11" i="4" l="1"/>
  <c r="H45" i="15" l="1"/>
  <c r="H6" i="15" l="1"/>
  <c r="C10" i="4" l="1"/>
  <c r="D9" i="15" l="1"/>
  <c r="E9" i="15" s="1"/>
  <c r="D42" i="15"/>
  <c r="E42" i="15" s="1"/>
  <c r="D23" i="15"/>
  <c r="E23" i="15" s="1"/>
  <c r="H7" i="6"/>
  <c r="J7" i="6" s="1"/>
  <c r="H8" i="6"/>
  <c r="J8" i="6" s="1"/>
  <c r="H4" i="6"/>
  <c r="J4" i="6" s="1"/>
  <c r="H3" i="6"/>
  <c r="J3" i="6" s="1"/>
  <c r="H11" i="6"/>
  <c r="J11" i="6" s="1"/>
  <c r="H10" i="6"/>
  <c r="J10" i="6" s="1"/>
  <c r="H12" i="6"/>
  <c r="I12" i="6"/>
  <c r="J12" i="6" l="1"/>
  <c r="G23" i="15"/>
  <c r="I23" i="15" s="1"/>
  <c r="G9" i="15"/>
  <c r="I9" i="15" s="1"/>
  <c r="C15" i="4"/>
  <c r="D32" i="15" s="1"/>
  <c r="C14" i="4"/>
  <c r="C13" i="4"/>
  <c r="D26" i="15" s="1"/>
  <c r="C12" i="4"/>
  <c r="C11" i="4"/>
  <c r="B9" i="4" s="1"/>
  <c r="G26" i="15" l="1"/>
  <c r="I26" i="15" s="1"/>
  <c r="E26" i="15"/>
  <c r="G32" i="15"/>
  <c r="I32" i="15" s="1"/>
  <c r="E32" i="15"/>
  <c r="E47" i="15"/>
  <c r="E46" i="15" s="1"/>
  <c r="D5" i="15"/>
  <c r="D36" i="15"/>
  <c r="E36" i="15" s="1"/>
  <c r="D20" i="15"/>
  <c r="E20" i="15" s="1"/>
  <c r="D40" i="15"/>
  <c r="E40" i="15" s="1"/>
  <c r="D28" i="15"/>
  <c r="E28" i="15" s="1"/>
  <c r="D41" i="15"/>
  <c r="E41" i="15" s="1"/>
  <c r="D33" i="15"/>
  <c r="E33" i="15" s="1"/>
  <c r="D14" i="15"/>
  <c r="E14" i="15" s="1"/>
  <c r="D6" i="15"/>
  <c r="E6" i="15" s="1"/>
  <c r="D17" i="15"/>
  <c r="E17" i="15" s="1"/>
  <c r="D24" i="15"/>
  <c r="E24" i="15" s="1"/>
  <c r="D38" i="15"/>
  <c r="E38" i="15" s="1"/>
  <c r="D39" i="15"/>
  <c r="E39" i="15" s="1"/>
  <c r="D12" i="15"/>
  <c r="E12" i="15" s="1"/>
  <c r="D35" i="15"/>
  <c r="E35" i="15" s="1"/>
  <c r="D11" i="15"/>
  <c r="E11" i="15" s="1"/>
  <c r="D27" i="15"/>
  <c r="E27" i="15" s="1"/>
  <c r="D3" i="15"/>
  <c r="D10" i="15"/>
  <c r="E10" i="15" s="1"/>
  <c r="D7" i="15"/>
  <c r="E7" i="15" s="1"/>
  <c r="D21" i="15"/>
  <c r="E21" i="15" s="1"/>
  <c r="D29" i="15"/>
  <c r="E29" i="15" s="1"/>
  <c r="D45" i="15"/>
  <c r="E45" i="15" s="1"/>
  <c r="D43" i="15"/>
  <c r="E43" i="15" s="1"/>
  <c r="D4" i="15"/>
  <c r="D16" i="15"/>
  <c r="E16" i="15" s="1"/>
  <c r="D30" i="15"/>
  <c r="E30" i="15" s="1"/>
  <c r="D37" i="15"/>
  <c r="E37" i="15" s="1"/>
  <c r="D34" i="15"/>
  <c r="E34" i="15" s="1"/>
  <c r="E13" i="4"/>
  <c r="E15" i="4" s="1"/>
  <c r="E14" i="4" s="1"/>
  <c r="H16" i="6"/>
  <c r="J16" i="6" s="1"/>
  <c r="H15" i="6"/>
  <c r="J15" i="6" s="1"/>
  <c r="D13" i="15"/>
  <c r="E13" i="15" s="1"/>
  <c r="D31" i="15"/>
  <c r="E31" i="15" s="1"/>
  <c r="D44" i="15"/>
  <c r="E44" i="15" s="1"/>
  <c r="D18" i="15"/>
  <c r="E18" i="15" s="1"/>
  <c r="D22" i="15"/>
  <c r="E22" i="15" s="1"/>
  <c r="D15" i="15"/>
  <c r="E15" i="15" s="1"/>
  <c r="D19" i="15"/>
  <c r="E19" i="15" s="1"/>
  <c r="D8" i="15"/>
  <c r="E8" i="15" s="1"/>
  <c r="E5" i="15" l="1"/>
  <c r="G5" i="15"/>
  <c r="I5" i="15" s="1"/>
  <c r="E3" i="15"/>
  <c r="G3" i="15"/>
  <c r="I3" i="15" s="1"/>
  <c r="E4" i="15"/>
  <c r="G4" i="15"/>
  <c r="I4" i="15" s="1"/>
  <c r="G24" i="15"/>
  <c r="I24" i="15" s="1"/>
  <c r="G27" i="15"/>
  <c r="I27" i="15" s="1"/>
  <c r="G18" i="15"/>
  <c r="I18" i="15" s="1"/>
  <c r="G21" i="15"/>
  <c r="I21" i="15" s="1"/>
  <c r="G22" i="15"/>
  <c r="I22" i="15" s="1"/>
  <c r="G15" i="15"/>
  <c r="I15" i="15" s="1"/>
  <c r="G20" i="15"/>
  <c r="I20" i="15" s="1"/>
  <c r="G38" i="15"/>
  <c r="I38" i="15" s="1"/>
  <c r="G14" i="15"/>
  <c r="I14" i="15" s="1"/>
  <c r="G10" i="15"/>
  <c r="I10" i="15" s="1"/>
  <c r="G13" i="15"/>
  <c r="I13" i="15" s="1"/>
  <c r="G8" i="15"/>
  <c r="I8" i="15" s="1"/>
  <c r="G7" i="15"/>
  <c r="I7" i="15" s="1"/>
  <c r="G17" i="15"/>
  <c r="I17" i="15" s="1"/>
  <c r="G19" i="15"/>
  <c r="I19" i="15" s="1"/>
  <c r="G16" i="15"/>
  <c r="I16" i="15" s="1"/>
  <c r="G12" i="15"/>
  <c r="I12" i="15" s="1"/>
  <c r="G11" i="15"/>
  <c r="I11" i="15" s="1"/>
  <c r="G6" i="15"/>
  <c r="I6" i="15" s="1"/>
  <c r="G33" i="15" l="1"/>
  <c r="G39" i="15"/>
  <c r="I39" i="15" s="1"/>
  <c r="G44" i="15"/>
  <c r="I44" i="15" s="1"/>
  <c r="I33" i="15" l="1"/>
  <c r="G28" i="15"/>
  <c r="G31" i="15"/>
  <c r="G36" i="15"/>
  <c r="G30" i="15"/>
  <c r="G35" i="15"/>
  <c r="G40" i="15"/>
  <c r="G41" i="15"/>
  <c r="G29" i="15"/>
  <c r="G34" i="15"/>
  <c r="G45" i="15"/>
  <c r="G37" i="15"/>
  <c r="G42" i="15"/>
  <c r="G43" i="15"/>
  <c r="I43" i="15" l="1"/>
  <c r="I42" i="15"/>
  <c r="I37" i="15"/>
  <c r="I45" i="15"/>
  <c r="I34" i="15"/>
  <c r="I29" i="15"/>
  <c r="I41" i="15"/>
  <c r="I40" i="15"/>
  <c r="I35" i="15"/>
  <c r="I30" i="15"/>
  <c r="I36" i="15"/>
  <c r="I31" i="15"/>
  <c r="I2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D6D85C6E-C794-44F3-978C-168B0422EECD}">
      <text>
        <r>
          <rPr>
            <i/>
            <sz val="12"/>
            <color indexed="81"/>
            <rFont val="Times New Roman"/>
            <family val="1"/>
          </rPr>
          <t>Improved Initiative +4
Thug +2</t>
        </r>
      </text>
    </comment>
    <comment ref="E9" authorId="0" shapeId="0" xr:uid="{852738BC-A8A5-408D-BC4B-715902B109FA}">
      <text>
        <r>
          <rPr>
            <sz val="12"/>
            <color indexed="81"/>
            <rFont val="Times New Roman"/>
            <family val="1"/>
          </rPr>
          <t>Slow ½’</t>
        </r>
      </text>
    </comment>
    <comment ref="E10" authorId="0" shapeId="0" xr:uid="{67B76651-C953-4AB7-B509-9D0BB8AAF2E6}">
      <text>
        <r>
          <rPr>
            <sz val="12"/>
            <color indexed="81"/>
            <rFont val="Times New Roman"/>
            <family val="1"/>
          </rPr>
          <t>See PHB 162</t>
        </r>
      </text>
    </comment>
    <comment ref="E12" authorId="0" shapeId="0" xr:uid="{00000000-0006-0000-0000-000005000000}">
      <text>
        <r>
          <rPr>
            <sz val="12"/>
            <color indexed="81"/>
            <rFont val="Times New Roman"/>
            <family val="1"/>
          </rPr>
          <t>[(1 * 8 Marshal) * 75%] 
[(1 * 8 Duskblade) * 75%] 
+ (1 * [1 +1 Slow] Con)</t>
        </r>
      </text>
    </comment>
    <comment ref="B14" authorId="0" shapeId="0" xr:uid="{C4E6C3EC-365F-4204-B208-AF339609C926}">
      <text>
        <r>
          <rPr>
            <i/>
            <sz val="12"/>
            <color indexed="81"/>
            <rFont val="Times New Roman"/>
            <family val="1"/>
          </rPr>
          <t>Pathetic - 2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2647E7DD-AC97-4A70-82CD-ADBE58E8AFE4}">
      <text>
        <r>
          <rPr>
            <sz val="12"/>
            <color indexed="81"/>
            <rFont val="Times New Roman"/>
            <family val="1"/>
          </rPr>
          <t>Discipline +1</t>
        </r>
      </text>
    </comment>
    <comment ref="F7" authorId="0" shapeId="0" xr:uid="{4BE3C7C3-1ED4-4C9F-8EA0-B9E59284BBAA}">
      <text>
        <r>
          <rPr>
            <sz val="12"/>
            <color indexed="81"/>
            <rFont val="Times New Roman"/>
            <family val="1"/>
          </rPr>
          <t>Armor Penalty</t>
        </r>
      </text>
    </comment>
    <comment ref="F9" authorId="0" shapeId="0" xr:uid="{00000000-0006-0000-0100-000005000000}">
      <text>
        <r>
          <rPr>
            <sz val="12"/>
            <color indexed="81"/>
            <rFont val="Times New Roman"/>
            <family val="1"/>
          </rPr>
          <t>Armor Penalty</t>
        </r>
      </text>
    </comment>
    <comment ref="F10" authorId="0" shapeId="0" xr:uid="{2DB15B25-8060-472A-9DFA-0DECAE4AE310}">
      <text>
        <r>
          <rPr>
            <sz val="12"/>
            <color indexed="81"/>
            <rFont val="Times New Roman"/>
            <family val="1"/>
          </rPr>
          <t>Discipline +2</t>
        </r>
      </text>
    </comment>
    <comment ref="F13" authorId="0" shapeId="0" xr:uid="{00000000-0006-0000-0100-000006000000}">
      <text>
        <r>
          <rPr>
            <sz val="12"/>
            <color indexed="81"/>
            <rFont val="Times New Roman"/>
            <family val="1"/>
          </rPr>
          <t>Half-elf +2
Skill Focus +3</t>
        </r>
      </text>
    </comment>
    <comment ref="F16" authorId="0" shapeId="0" xr:uid="{00000000-0006-0000-0100-000007000000}">
      <text>
        <r>
          <rPr>
            <sz val="12"/>
            <color indexed="81"/>
            <rFont val="Times New Roman"/>
            <family val="1"/>
          </rPr>
          <t>Armor Penalty</t>
        </r>
      </text>
    </comment>
    <comment ref="F18" authorId="0" shapeId="0" xr:uid="{A95E3746-200B-451D-B12D-FB4EEF715EE2}">
      <text>
        <r>
          <rPr>
            <sz val="12"/>
            <color indexed="81"/>
            <rFont val="Times New Roman"/>
            <family val="1"/>
          </rPr>
          <t>Half-elf +2</t>
        </r>
      </text>
    </comment>
    <comment ref="F19" authorId="0" shapeId="0" xr:uid="{30F528EB-1DCE-4E86-9C48-648326723A9F}">
      <text>
        <r>
          <rPr>
            <sz val="12"/>
            <color indexed="81"/>
            <rFont val="Times New Roman"/>
            <family val="1"/>
          </rPr>
          <t>Saddleborn -1</t>
        </r>
      </text>
    </comment>
    <comment ref="F21" authorId="0" shapeId="0" xr:uid="{00000000-0006-0000-0100-000008000000}">
      <text>
        <r>
          <rPr>
            <sz val="12"/>
            <color indexed="81"/>
            <rFont val="Times New Roman"/>
            <family val="1"/>
          </rPr>
          <t>Armor Penalty</t>
        </r>
      </text>
    </comment>
    <comment ref="F23" authorId="0" shapeId="0" xr:uid="{00000000-0006-0000-0100-00000A000000}">
      <text>
        <r>
          <rPr>
            <sz val="12"/>
            <color indexed="81"/>
            <rFont val="Times New Roman"/>
            <family val="1"/>
          </rPr>
          <t>Very Slow
Armor Penalty</t>
        </r>
      </text>
    </comment>
    <comment ref="F28" authorId="0" shapeId="0" xr:uid="{92EF35EC-5156-4981-994A-FD01864B53C6}">
      <text>
        <r>
          <rPr>
            <sz val="12"/>
            <color indexed="81"/>
            <rFont val="Times New Roman"/>
            <family val="1"/>
          </rPr>
          <t>Half-elf +1</t>
        </r>
      </text>
    </comment>
    <comment ref="F29" authorId="0" shapeId="0" xr:uid="{00000000-0006-0000-0100-00000B000000}">
      <text>
        <r>
          <rPr>
            <sz val="12"/>
            <color indexed="81"/>
            <rFont val="Times New Roman"/>
            <family val="1"/>
          </rPr>
          <t>Armor Penalty</t>
        </r>
      </text>
    </comment>
    <comment ref="F31" authorId="0" shapeId="0" xr:uid="{574C7CC9-4F29-41EA-80E1-A3A8AAA6A414}">
      <text>
        <r>
          <rPr>
            <sz val="12"/>
            <color indexed="81"/>
            <rFont val="Times New Roman"/>
            <family val="1"/>
          </rPr>
          <t>MW Instrument +2</t>
        </r>
      </text>
    </comment>
    <comment ref="F32" authorId="0" shapeId="0" xr:uid="{E5A48E33-60BF-4AC6-8E66-295F74454FA1}">
      <text>
        <r>
          <rPr>
            <sz val="12"/>
            <color indexed="81"/>
            <rFont val="Times New Roman"/>
            <family val="1"/>
          </rPr>
          <t>MW Instrument +2</t>
        </r>
      </text>
    </comment>
    <comment ref="F34" authorId="0" shapeId="0" xr:uid="{BFA063C0-921F-4F44-8DA3-186E3D35A24F}">
      <text>
        <r>
          <rPr>
            <sz val="12"/>
            <color indexed="81"/>
            <rFont val="Times New Roman"/>
            <family val="1"/>
          </rPr>
          <t>Saddleborn +1</t>
        </r>
      </text>
    </comment>
    <comment ref="F35" authorId="0" shapeId="0" xr:uid="{FE23DFA4-4E9D-4256-A864-CA615F9AA9B6}">
      <text>
        <r>
          <rPr>
            <sz val="12"/>
            <color indexed="81"/>
            <rFont val="Times New Roman"/>
            <family val="1"/>
          </rPr>
          <t>Half-elf +1</t>
        </r>
      </text>
    </comment>
    <comment ref="F37" authorId="0" shapeId="0" xr:uid="{00000000-0006-0000-0100-00000D000000}">
      <text>
        <r>
          <rPr>
            <sz val="12"/>
            <color indexed="81"/>
            <rFont val="Times New Roman"/>
            <family val="1"/>
          </rPr>
          <t>Armor Penalty</t>
        </r>
      </text>
    </comment>
    <comment ref="F40" authorId="0" shapeId="0" xr:uid="{D17DBF8B-884E-436F-9B99-8238CF10A2DA}">
      <text>
        <r>
          <rPr>
            <sz val="12"/>
            <color indexed="81"/>
            <rFont val="Times New Roman"/>
            <family val="1"/>
          </rPr>
          <t>Half-elf +1</t>
        </r>
      </text>
    </comment>
    <comment ref="F43" authorId="0" shapeId="0" xr:uid="{00000000-0006-0000-0100-00000E000000}">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779F0CB7-F1DC-4154-B57D-072A3F3B6A73}">
      <text>
        <r>
          <rPr>
            <sz val="12"/>
            <color indexed="81"/>
            <rFont val="Times New Roman"/>
            <family val="1"/>
          </rPr>
          <t>Drop of sweat</t>
        </r>
      </text>
    </comment>
    <comment ref="D7" authorId="0" shapeId="0" xr:uid="{FF695C21-A740-4434-A1E8-6BD8FE69BDD3}">
      <text>
        <r>
          <rPr>
            <sz val="12"/>
            <color indexed="81"/>
            <rFont val="Times New Roman"/>
            <family val="1"/>
          </rPr>
          <t>Imbued weapon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40017F1-394F-4A09-AEEF-08361EE01076}">
      <text>
        <r>
          <rPr>
            <sz val="12"/>
            <color indexed="81"/>
            <rFont val="Times New Roman"/>
            <family val="1"/>
          </rPr>
          <t xml:space="preserve">Your people are admired for their single-minded determination and clarity of purpose. You are difficult to distract by spell or blow.
</t>
        </r>
        <r>
          <rPr>
            <b/>
            <sz val="12"/>
            <color indexed="81"/>
            <rFont val="Times New Roman"/>
            <family val="1"/>
          </rPr>
          <t xml:space="preserve">Benefit: </t>
        </r>
        <r>
          <rPr>
            <sz val="12"/>
            <color indexed="81"/>
            <rFont val="Times New Roman"/>
            <family val="1"/>
          </rPr>
          <t>You gain a +1 bonus on Will saves and a +2 bonus on Concentration checks.
FRCS 35</t>
        </r>
      </text>
    </comment>
    <comment ref="A3" authorId="0" shapeId="0" xr:uid="{753269B4-F8EA-4FF0-9BA6-4403F10E68D8}">
      <text>
        <r>
          <rPr>
            <sz val="12"/>
            <color indexed="81"/>
            <rFont val="Times New Roman"/>
            <family val="1"/>
          </rPr>
          <t xml:space="preserve">You have cultivated an unshakable belief in your selfworth.
Your sense of self and purpose are so strong that they bolster your willpower.
</t>
        </r>
        <r>
          <rPr>
            <b/>
            <sz val="12"/>
            <color indexed="81"/>
            <rFont val="Times New Roman"/>
            <family val="1"/>
          </rPr>
          <t xml:space="preserve">Prerequisite: </t>
        </r>
        <r>
          <rPr>
            <sz val="12"/>
            <color indexed="81"/>
            <rFont val="Times New Roman"/>
            <family val="1"/>
          </rPr>
          <t xml:space="preserve">Cha 13.
</t>
        </r>
        <r>
          <rPr>
            <b/>
            <sz val="12"/>
            <color indexed="81"/>
            <rFont val="Times New Roman"/>
            <family val="1"/>
          </rPr>
          <t xml:space="preserve">Benefit: </t>
        </r>
        <r>
          <rPr>
            <sz val="12"/>
            <color indexed="81"/>
            <rFont val="Times New Roman"/>
            <family val="1"/>
          </rPr>
          <t>You add your Charisma modifier (instead of your Wisdom modifier) to Will saves against mind-affecting spells and abilities.
Complete Adventurer 109</t>
        </r>
      </text>
    </comment>
    <comment ref="A4" authorId="0" shapeId="0" xr:uid="{9155277A-6A3C-407C-B9B4-37DACD6C90C6}">
      <text>
        <r>
          <rPr>
            <sz val="12"/>
            <color indexed="81"/>
            <rFont val="Times New Roman"/>
            <family val="1"/>
          </rPr>
          <t xml:space="preserve">You are skilled in mounted combat.
</t>
        </r>
        <r>
          <rPr>
            <b/>
            <sz val="12"/>
            <color indexed="81"/>
            <rFont val="Times New Roman"/>
            <family val="1"/>
          </rPr>
          <t xml:space="preserve">Prerequisite:  </t>
        </r>
        <r>
          <rPr>
            <sz val="12"/>
            <color indexed="81"/>
            <rFont val="Times New Roman"/>
            <family val="1"/>
          </rPr>
          <t xml:space="preserve">Ride 1 rank.
</t>
        </r>
        <r>
          <rPr>
            <b/>
            <sz val="12"/>
            <color indexed="81"/>
            <rFont val="Times New Roman"/>
            <family val="1"/>
          </rPr>
          <t xml:space="preserve">Benefit:  </t>
        </r>
        <r>
          <rPr>
            <sz val="12"/>
            <color indexed="81"/>
            <rFont val="Times New Roman"/>
            <family val="1"/>
          </rPr>
          <t xml:space="preserve">Once per round when your mount is hit in combat, you may attempt a Ride check (as a reaction) to negate the hit.  The hit is negated if your Ride check result is greater than the opponent’s attack roll. (Essentially, the Ride check result becomes the mount’s Armor Class if it’s higher than the mount’s regular AC.)
</t>
        </r>
        <r>
          <rPr>
            <b/>
            <sz val="12"/>
            <color indexed="81"/>
            <rFont val="Times New Roman"/>
            <family val="1"/>
          </rPr>
          <t xml:space="preserve">Special:  </t>
        </r>
        <r>
          <rPr>
            <sz val="12"/>
            <color indexed="81"/>
            <rFont val="Times New Roman"/>
            <family val="1"/>
          </rPr>
          <t>A fighter may select Mounted Combat as one of his fighter bonus feats (see page 38).
PHB 98</t>
        </r>
      </text>
    </comment>
    <comment ref="A5" authorId="0" shapeId="0" xr:uid="{3417809A-408D-4641-B919-828E573EECAF}">
      <text>
        <r>
          <rPr>
            <sz val="12"/>
            <color indexed="81"/>
            <rFont val="Times New Roman"/>
            <family val="1"/>
          </rPr>
          <t>Because a marshal has a way with people, he gains this feat as a bonus feat.  If the marshal already has the feat, he can choose a different one.
Miniatures Handbook 13</t>
        </r>
      </text>
    </comment>
    <comment ref="C13" authorId="0" shapeId="0" xr:uid="{57CAAE5A-9E41-447E-B5E9-DFCCDEB807CE}">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C15" authorId="0" shapeId="0" xr:uid="{885D0D91-177E-4EB4-BDED-1BB1E4227EC5}">
      <text>
        <r>
          <rPr>
            <sz val="12"/>
            <color indexed="81"/>
            <rFont val="Times New Roman"/>
            <family val="1"/>
          </rPr>
          <t>Avoid arcane spell failure so long as you stick to medium armor and light shields.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8" authorId="0" shapeId="0" xr:uid="{00000000-0006-0000-0300-000002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<sst xmlns="http://schemas.openxmlformats.org/spreadsheetml/2006/main" count="456" uniqueCount="272">
  <si>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</si>
  <si>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</si>
  <si>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</si>
  <si>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</si>
  <si>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</si>
  <si>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</si>
  <si>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</si>
  <si>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</si>
  <si>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</si>
  <si>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</si>
  <si>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</si>
  <si>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</si>
  <si>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</si>
  <si>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</si>
  <si>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</si>
  <si>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</si>
  <si>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</si>
  <si>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</si>
  <si>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</si>
  <si>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</si>
  <si>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</si>
  <si>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</si>
  <si>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</si>
  <si>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</si>
  <si>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</si>
  <si>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</si>
  <si>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</si>
  <si>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</si>
  <si>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</si>
  <si>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</si>
  <si>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</si>
  <si>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</si>
  <si>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</si>
  <si>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</si>
  <si>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</si>
  <si>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</si>
  <si>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</si>
  <si>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</si>
  <si>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</si>
  <si>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</si>
  <si>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</si>
  <si>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</si>
  <si>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</si>
  <si>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</si>
  <si>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</si>
  <si>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</si>
  <si>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</si>
  <si>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</si>
  <si>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</si>
  <si>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</si>
  <si>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</si>
  <si>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</si>
  <si>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</si>
  <si>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</si>
  <si>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</si>
  <si>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</si>
  <si>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</si>
  <si>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</si>
  <si>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</si>
  <si>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</si>
  <si>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</si>
  <si>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</si>
  <si>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</si>
  <si>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</si>
  <si>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</si>
  <si>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</si>
  <si>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</si>
  <si>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</si>
  <si>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</si>
  <si>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Atk</t>
  </si>
  <si>
    <t>Feats</t>
  </si>
  <si>
    <t>Simple &amp; Martial Weapons</t>
  </si>
  <si>
    <t>2</t>
  </si>
  <si>
    <t>1</t>
  </si>
  <si>
    <t>Slashing</t>
  </si>
  <si>
    <t>Backpack</t>
  </si>
  <si>
    <t>Trail Rations</t>
  </si>
  <si>
    <t>Roll</t>
  </si>
  <si>
    <t>Waterskin</t>
  </si>
  <si>
    <t>1d6</t>
  </si>
  <si>
    <t>Value</t>
  </si>
  <si>
    <t>Level</t>
  </si>
  <si>
    <t>-</t>
  </si>
  <si>
    <t>Speak Language</t>
  </si>
  <si>
    <t>Craft:  [type]</t>
  </si>
  <si>
    <t>x3</t>
  </si>
  <si>
    <t>60’</t>
  </si>
  <si>
    <t>Proficiencies</t>
  </si>
  <si>
    <t>Shields (not tower)</t>
  </si>
  <si>
    <t>Armor (all)</t>
  </si>
  <si>
    <t>Grapple</t>
  </si>
  <si>
    <t>Total Equity:</t>
  </si>
  <si>
    <t>Unarmed Punch/Kick</t>
  </si>
  <si>
    <t>1d4</t>
  </si>
  <si>
    <t>x2</t>
  </si>
  <si>
    <t>Bludgeon</t>
  </si>
  <si>
    <r>
      <t xml:space="preserve">Unarmed, </t>
    </r>
    <r>
      <rPr>
        <i/>
        <sz val="12"/>
        <rFont val="Times New Roman"/>
        <family val="1"/>
      </rPr>
      <t>haste</t>
    </r>
  </si>
  <si>
    <t>Scrolls and Potions</t>
  </si>
  <si>
    <t>CLev</t>
  </si>
  <si>
    <t>19-20, x2</t>
  </si>
  <si>
    <t>Prcg/Slash</t>
  </si>
  <si>
    <t>Skill/Save</t>
  </si>
  <si>
    <t>Race</t>
  </si>
  <si>
    <t>Class</t>
  </si>
  <si>
    <t>Region</t>
  </si>
  <si>
    <t>Deity</t>
  </si>
  <si>
    <t>Alignment</t>
  </si>
  <si>
    <t>Attack Bonus</t>
  </si>
  <si>
    <t>Initiative</t>
  </si>
  <si>
    <t>Strength</t>
  </si>
  <si>
    <t>Dexterity</t>
  </si>
  <si>
    <t>Constitution</t>
  </si>
  <si>
    <t>Intelligence</t>
  </si>
  <si>
    <t>Wisdom</t>
  </si>
  <si>
    <t>Charisma</t>
  </si>
  <si>
    <t>Sex</t>
  </si>
  <si>
    <t>Age</t>
  </si>
  <si>
    <t>Height</t>
  </si>
  <si>
    <t>Weight</t>
  </si>
  <si>
    <t>Base Speed</t>
  </si>
  <si>
    <t>Actual Speed</t>
  </si>
  <si>
    <t>Lb. Capacity</t>
  </si>
  <si>
    <t>Lb. Carried</t>
  </si>
  <si>
    <t>Hit Points</t>
  </si>
  <si>
    <t>Touch AC</t>
  </si>
  <si>
    <t>FF AC</t>
  </si>
  <si>
    <t>Marshal</t>
  </si>
  <si>
    <t>Marshal 1</t>
  </si>
  <si>
    <t>Profession:  [type]</t>
  </si>
  <si>
    <t>Marshal Features</t>
  </si>
  <si>
    <t>AC</t>
  </si>
  <si>
    <r>
      <t xml:space="preserve">Longsword, </t>
    </r>
    <r>
      <rPr>
        <i/>
        <sz val="12"/>
        <rFont val="Times New Roman"/>
        <family val="1"/>
      </rPr>
      <t>haste</t>
    </r>
  </si>
  <si>
    <t>Knowledge:  Arcana</t>
  </si>
  <si>
    <t>Knowledge:  Nature</t>
  </si>
  <si>
    <t>Knowledge:  Religion</t>
  </si>
  <si>
    <t>1d8+1</t>
  </si>
  <si>
    <t>Melissa</t>
  </si>
  <si>
    <t>Played by Ernest Hakey</t>
  </si>
  <si>
    <t>5’ 0”</t>
  </si>
  <si>
    <t>101 lbs.</t>
  </si>
  <si>
    <t>Female</t>
  </si>
  <si>
    <t>Chaotic Neutral</t>
  </si>
  <si>
    <t>Aglarond (Velprintalar)</t>
  </si>
  <si>
    <t>Tymora</t>
  </si>
  <si>
    <t>Half-Elf (Moon)</t>
  </si>
  <si>
    <t>Common, Elven, Aglarondan, Draconic, Sylvan,</t>
  </si>
  <si>
    <r>
      <rPr>
        <b/>
        <sz val="13"/>
        <rFont val="Times New Roman"/>
        <family val="1"/>
      </rPr>
      <t xml:space="preserve">From Skills:  </t>
    </r>
    <r>
      <rPr>
        <sz val="13"/>
        <rFont val="Times New Roman"/>
        <family val="1"/>
      </rPr>
      <t>Damaran, Orcish, Mulhorandi</t>
    </r>
  </si>
  <si>
    <t>Flaws</t>
  </si>
  <si>
    <t>Traits</t>
  </si>
  <si>
    <t>Saddleborn</t>
  </si>
  <si>
    <t>Slow</t>
  </si>
  <si>
    <t>1st:  Force of Personality</t>
  </si>
  <si>
    <t>Flaw 1:  Mounted Combat</t>
  </si>
  <si>
    <t>Regional:  Discipline</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</si>
  <si>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</si>
  <si>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Bonus:  Skill Focus:  Diplomacy</t>
  </si>
  <si>
    <t>Minor Aura +1</t>
  </si>
  <si>
    <t>Minor Aura:  Motivate Charisma</t>
  </si>
  <si>
    <t>Pathetic (Wisdom)</t>
  </si>
  <si>
    <t>Perform: Wind Instruments</t>
  </si>
  <si>
    <t>Perform: String Instruments</t>
  </si>
  <si>
    <t>Total = 5 vs. Mind-affecting</t>
  </si>
  <si>
    <t>Race:</t>
  </si>
  <si>
    <t>Sex:</t>
  </si>
  <si>
    <t>Initiative:</t>
  </si>
  <si>
    <t>Size:</t>
  </si>
  <si>
    <t>Medium</t>
  </si>
  <si>
    <t>Speed:</t>
  </si>
  <si>
    <t>Strength:</t>
  </si>
  <si>
    <t>Hit Points:</t>
  </si>
  <si>
    <t>Dexterity:</t>
  </si>
  <si>
    <t>AC:</t>
  </si>
  <si>
    <t>Constitution:</t>
  </si>
  <si>
    <t>BAB:</t>
  </si>
  <si>
    <t>Intelligence:</t>
  </si>
  <si>
    <t>Fort:</t>
  </si>
  <si>
    <t>Wisdom:</t>
  </si>
  <si>
    <t>Ref:</t>
  </si>
  <si>
    <t>4</t>
  </si>
  <si>
    <t>Charisma:</t>
  </si>
  <si>
    <t>Will:</t>
  </si>
  <si>
    <t>Mount</t>
  </si>
  <si>
    <t>Nibbles</t>
  </si>
  <si>
    <t>Light Warhorse</t>
  </si>
  <si>
    <t>10</t>
  </si>
  <si>
    <t>Touch</t>
  </si>
  <si>
    <t>Flat Footed</t>
  </si>
  <si>
    <t>Horse &amp; Gear</t>
  </si>
  <si>
    <t>Chain Shirt</t>
  </si>
  <si>
    <t>Light Steel Shield</t>
  </si>
  <si>
    <t>Silvered Light Mace</t>
  </si>
  <si>
    <r>
      <t xml:space="preserve">Light Mace, </t>
    </r>
    <r>
      <rPr>
        <i/>
        <sz val="12"/>
        <rFont val="Times New Roman"/>
        <family val="1"/>
      </rPr>
      <t>haste</t>
    </r>
  </si>
  <si>
    <t>Darts, 6</t>
  </si>
  <si>
    <t>Traveler’s Outfit</t>
  </si>
  <si>
    <t>Entertainer’s Outfit</t>
  </si>
  <si>
    <t>Wooden Holy Symbol of Tymora</t>
  </si>
  <si>
    <t>Winter Blanket</t>
  </si>
  <si>
    <t>Belt Pouch</t>
  </si>
  <si>
    <t>Small Steel Mirror</t>
  </si>
  <si>
    <t>Bull’s Eye Lantern</t>
  </si>
  <si>
    <t>Oil Flasks</t>
  </si>
  <si>
    <t>Tindertwigs</t>
  </si>
  <si>
    <t>MW Horn</t>
  </si>
  <si>
    <t>MW Lyre</t>
  </si>
  <si>
    <t>Hammer</t>
  </si>
  <si>
    <t>Pitons</t>
  </si>
  <si>
    <t>free outfit</t>
  </si>
  <si>
    <t>“Slowfoot” of Aglarond</t>
  </si>
  <si>
    <t>20’ (10’)</t>
  </si>
  <si>
    <t>20’</t>
  </si>
  <si>
    <t>10’</t>
  </si>
  <si>
    <t>Dagger</t>
  </si>
  <si>
    <r>
      <t xml:space="preserve">Dagger, </t>
    </r>
    <r>
      <rPr>
        <i/>
        <sz val="12"/>
        <rFont val="Times New Roman"/>
        <family val="1"/>
      </rPr>
      <t>haste</t>
    </r>
  </si>
  <si>
    <t>1d3</t>
  </si>
  <si>
    <t>Nonlethal</t>
  </si>
  <si>
    <t>Cold Iron Longsword</t>
  </si>
  <si>
    <t>Duskblade</t>
  </si>
  <si>
    <t>Duskblade Features</t>
  </si>
  <si>
    <t>Detect Magic &amp; Read Magic</t>
  </si>
  <si>
    <t>Armored Mage (Light)</t>
  </si>
  <si>
    <r>
      <rPr>
        <b/>
        <i/>
        <sz val="18"/>
        <color rgb="FF9966FF"/>
        <rFont val="Times New Roman"/>
        <family val="1"/>
      </rPr>
      <t xml:space="preserve">Minimum </t>
    </r>
    <r>
      <rPr>
        <i/>
        <sz val="18"/>
        <color rgb="FF9966FF"/>
        <rFont val="Times New Roman"/>
        <family val="1"/>
      </rPr>
      <t>Duskblade Spells</t>
    </r>
  </si>
  <si>
    <t>1st</t>
  </si>
  <si>
    <t>2nd</t>
  </si>
  <si>
    <t>3rd</t>
  </si>
  <si>
    <t>4th</t>
  </si>
  <si>
    <t>5th</t>
  </si>
  <si>
    <t>Daily Duskblade Spells</t>
  </si>
  <si>
    <t>0th</t>
  </si>
  <si>
    <t>Duskblade Spells</t>
  </si>
  <si>
    <t>Intelligence Bonus</t>
  </si>
  <si>
    <t>Total Daily Spells</t>
  </si>
  <si>
    <t>DC</t>
  </si>
  <si>
    <t>Cast?</t>
  </si>
  <si>
    <t>Caster Class</t>
  </si>
  <si>
    <t>CL</t>
  </si>
  <si>
    <t>Spell Effects</t>
  </si>
  <si>
    <t>Spells</t>
  </si>
  <si>
    <t>Spell</t>
  </si>
  <si>
    <t>School</t>
  </si>
  <si>
    <t>Components</t>
  </si>
  <si>
    <t>Casting</t>
  </si>
  <si>
    <t>Range</t>
  </si>
  <si>
    <t>Duration</t>
  </si>
  <si>
    <t>Reference</t>
  </si>
  <si>
    <t>Page</t>
  </si>
  <si>
    <t>ü</t>
  </si>
  <si>
    <t>Acid Splash</t>
  </si>
  <si>
    <t>Conjuration</t>
  </si>
  <si>
    <t>V S</t>
  </si>
  <si>
    <t>1 SA</t>
  </si>
  <si>
    <t>25’ + 2½’/lvl</t>
  </si>
  <si>
    <t>Instant</t>
  </si>
  <si>
    <t>PHB</t>
  </si>
  <si>
    <t>V S M</t>
  </si>
  <si>
    <t>Disrupt Undead</t>
  </si>
  <si>
    <t>Necromancy</t>
  </si>
  <si>
    <t>1 min/lvl</t>
  </si>
  <si>
    <t>Touch of Fatigue</t>
  </si>
  <si>
    <t>1 rnd/lvl</t>
  </si>
  <si>
    <t>Transmutation</t>
  </si>
  <si>
    <t>V S F/DF</t>
  </si>
  <si>
    <t>Ray of Frost</t>
  </si>
  <si>
    <t>Ray of Enfeeblement</t>
  </si>
  <si>
    <t>Magic Weapon</t>
  </si>
  <si>
    <t>not yet known</t>
  </si>
  <si>
    <t>Duskblade 1</t>
  </si>
  <si>
    <t>Knowledge:  Dungeoneering</t>
  </si>
  <si>
    <r>
      <t xml:space="preserve">Wand of </t>
    </r>
    <r>
      <rPr>
        <i/>
        <sz val="12"/>
        <rFont val="Times New Roman"/>
        <family val="1"/>
      </rPr>
      <t xml:space="preserve">Burning Hands </t>
    </r>
  </si>
  <si>
    <t>Flask of Holy Water</t>
  </si>
  <si>
    <t>Soft Equity Ceiling:</t>
  </si>
  <si>
    <t>Gold Coins</t>
  </si>
  <si>
    <t>9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</si>
</sst>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 [$₲-474]"/>
  </numFmts>
  <fonts count="76"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indexed="81"/>
      <name val="Times New Roman"/>
      <family val="1"/>
    </font>
    <font>
      <i/>
      <sz val="16"/>
      <color indexed="53"/>
      <name val="Times New Roman"/>
      <family val="1"/>
    </font>
    <font>
      <i/>
      <sz val="16"/>
      <color indexed="10"/>
      <name val="Times New Roman"/>
      <family val="1"/>
    </font>
    <font>
      <i/>
      <sz val="16"/>
      <color indexed="57"/>
      <name val="Times New Roman"/>
      <family val="1"/>
    </font>
    <font>
      <sz val="12"/>
      <name val="Times New Roman"/>
      <family val="1"/>
    </font>
    <font>
      <sz val="13"/>
      <color rgb="FF0000FF"/>
      <name val="Times New Roman"/>
      <family val="1"/>
    </font>
    <font>
      <b/>
      <sz val="12"/>
      <color rgb="FFFF0000"/>
      <name val="Times New Roman"/>
      <family val="1"/>
    </font>
    <font>
      <i/>
      <sz val="12"/>
      <name val="Times New Roman"/>
      <family val="1"/>
    </font>
    <font>
      <i/>
      <sz val="12"/>
      <color rgb="FF00FFFF"/>
      <name val="Times New Roman"/>
      <family val="1"/>
    </font>
    <font>
      <i/>
      <sz val="16"/>
      <color rgb="FFFF0000"/>
      <name val="Times New Roman"/>
      <family val="1"/>
    </font>
    <font>
      <b/>
      <sz val="13"/>
      <color rgb="FF00B0F0"/>
      <name val="Times New Roman"/>
      <family val="1"/>
    </font>
    <font>
      <i/>
      <sz val="22"/>
      <color rgb="FFFFC000"/>
      <name val="Times New Roman"/>
      <family val="1"/>
    </font>
    <font>
      <i/>
      <sz val="20"/>
      <color theme="7" tint="0.39997558519241921"/>
      <name val="Times New Roman"/>
      <family val="1"/>
    </font>
    <font>
      <i/>
      <sz val="12"/>
      <color indexed="9"/>
      <name val="Times New Roman"/>
      <family val="1"/>
    </font>
    <font>
      <i/>
      <sz val="10"/>
      <name val="Times New Roman"/>
      <family val="1"/>
    </font>
    <font>
      <b/>
      <sz val="13"/>
      <color indexed="20"/>
      <name val="Times New Roman"/>
      <family val="1"/>
    </font>
    <font>
      <b/>
      <sz val="13"/>
      <color rgb="FF008000"/>
      <name val="Times New Roman"/>
      <family val="1"/>
    </font>
    <font>
      <b/>
      <sz val="12"/>
      <color theme="1"/>
      <name val="Times New Roman"/>
      <family val="1"/>
    </font>
    <font>
      <i/>
      <sz val="11"/>
      <name val="Times New Roman"/>
      <family val="1"/>
    </font>
    <font>
      <i/>
      <sz val="16"/>
      <color rgb="FF9966FF"/>
      <name val="Times New Roman"/>
      <family val="1"/>
    </font>
    <font>
      <i/>
      <sz val="18"/>
      <color rgb="FF9966FF"/>
      <name val="Times New Roman"/>
      <family val="1"/>
    </font>
    <font>
      <b/>
      <i/>
      <sz val="18"/>
      <color rgb="FF9966FF"/>
      <name val="Times New Roman"/>
      <family val="1"/>
    </font>
    <font>
      <i/>
      <sz val="18"/>
      <color rgb="FF0000FF"/>
      <name val="Times New Roman"/>
      <family val="1"/>
    </font>
    <font>
      <sz val="12"/>
      <color rgb="FF9966FF"/>
      <name val="Times New Roman"/>
      <family val="1"/>
    </font>
    <font>
      <b/>
      <sz val="12"/>
      <color theme="0"/>
      <name val="Times New Roman"/>
      <family val="1"/>
    </font>
    <font>
      <b/>
      <sz val="12"/>
      <color rgb="FF9966FF"/>
      <name val="Times New Roman"/>
      <family val="1"/>
    </font>
    <font>
      <i/>
      <sz val="18"/>
      <color rgb="FF7030A0"/>
      <name val="Times New Roman"/>
      <family val="1"/>
    </font>
    <font>
      <sz val="12"/>
      <name val="Wingdings"/>
      <charset val="2"/>
    </font>
    <font>
      <sz val="13"/>
      <color rgb="FF7030A0"/>
      <name val="Times New Roman"/>
      <family val="1"/>
    </font>
  </fonts>
  <fills count="1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0.34998626667073579"/>
        <bgColor indexed="64"/>
      </patternFill>
    </fill>
    <fill>
      <patternFill patternType="solid">
        <fgColor rgb="FF9966FF"/>
        <bgColor indexed="64"/>
      </patternFill>
    </fill>
  </fills>
  <borders count="14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style="hair">
        <color indexed="64"/>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thin">
        <color indexed="64"/>
      </left>
      <right style="double">
        <color indexed="64"/>
      </right>
      <top/>
      <bottom style="hair">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thin">
        <color indexed="64"/>
      </right>
      <top style="thin">
        <color indexed="9"/>
      </top>
      <bottom style="thin">
        <color indexed="9"/>
      </bottom>
      <diagonal/>
    </border>
    <border>
      <left/>
      <right style="double">
        <color indexed="64"/>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s>
  <cellStyleXfs count="15">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6" fillId="0" borderId="0"/>
    <xf numFmtId="9" fontId="2" fillId="0" borderId="0" applyFont="0" applyFill="0" applyBorder="0" applyAlignment="0" applyProtection="0"/>
    <xf numFmtId="0" fontId="2" fillId="0" borderId="0"/>
    <xf numFmtId="43" fontId="51" fillId="0" borderId="0" applyFont="0" applyFill="0" applyBorder="0" applyAlignment="0" applyProtection="0"/>
    <xf numFmtId="0" fontId="2" fillId="0" borderId="0"/>
    <xf numFmtId="0" fontId="1" fillId="0" borderId="0"/>
    <xf numFmtId="0" fontId="2" fillId="0" borderId="0"/>
    <xf numFmtId="0" fontId="2" fillId="0" borderId="0"/>
    <xf numFmtId="0" fontId="35" fillId="0" borderId="0"/>
  </cellStyleXfs>
  <cellXfs count="535">
    <xf numFmtId="0" fontId="0" fillId="0" borderId="0" xfId="0"/>
    <xf numFmtId="0" fontId="12" fillId="3" borderId="58" xfId="0" applyFont="1" applyFill="1" applyBorder="1" applyAlignment="1">
      <alignment horizontal="centerContinuous" vertical="center"/>
    </xf>
    <xf numFmtId="0" fontId="12" fillId="3" borderId="33"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59" xfId="0" applyFont="1" applyFill="1" applyBorder="1" applyAlignment="1">
      <alignment horizontal="center" vertical="center"/>
    </xf>
    <xf numFmtId="1" fontId="2" fillId="0" borderId="68" xfId="0" applyNumberFormat="1" applyFont="1" applyBorder="1" applyAlignment="1">
      <alignment horizontal="center" vertical="center"/>
    </xf>
    <xf numFmtId="0" fontId="2" fillId="0" borderId="68" xfId="0" applyFont="1" applyBorder="1" applyAlignment="1">
      <alignment horizontal="center" vertical="center"/>
    </xf>
    <xf numFmtId="0" fontId="2" fillId="0" borderId="68" xfId="0" quotePrefix="1" applyFont="1" applyBorder="1" applyAlignment="1">
      <alignment horizontal="center" vertical="center" wrapText="1"/>
    </xf>
    <xf numFmtId="49" fontId="2" fillId="0" borderId="68" xfId="2" applyNumberFormat="1" applyFont="1" applyFill="1" applyBorder="1" applyAlignment="1">
      <alignment horizontal="center" vertical="center"/>
    </xf>
    <xf numFmtId="0" fontId="2" fillId="0" borderId="68" xfId="0" applyFont="1" applyBorder="1" applyAlignment="1">
      <alignment horizontal="center" vertical="center" shrinkToFit="1"/>
    </xf>
    <xf numFmtId="164" fontId="2" fillId="0" borderId="68" xfId="0" applyNumberFormat="1" applyFont="1" applyBorder="1" applyAlignment="1">
      <alignment horizontal="center" vertical="center"/>
    </xf>
    <xf numFmtId="1" fontId="46" fillId="9" borderId="70" xfId="0" applyNumberFormat="1" applyFont="1" applyFill="1" applyBorder="1" applyAlignment="1">
      <alignment horizontal="center" vertical="center"/>
    </xf>
    <xf numFmtId="0" fontId="44" fillId="9" borderId="32" xfId="0" applyFont="1" applyFill="1" applyBorder="1" applyAlignment="1">
      <alignment horizontal="center" vertical="center" wrapText="1"/>
    </xf>
    <xf numFmtId="164" fontId="5" fillId="0" borderId="70" xfId="0" applyNumberFormat="1" applyFont="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7" fillId="0" borderId="2" xfId="0" applyFont="1" applyBorder="1" applyAlignment="1">
      <alignment horizontal="left" vertical="center"/>
    </xf>
    <xf numFmtId="0" fontId="6" fillId="4" borderId="63" xfId="0" applyFont="1" applyFill="1" applyBorder="1" applyAlignment="1">
      <alignment horizontal="right" vertical="center"/>
    </xf>
    <xf numFmtId="0" fontId="6" fillId="4" borderId="77" xfId="0" applyFont="1" applyFill="1" applyBorder="1" applyAlignment="1">
      <alignment horizontal="right" vertical="center"/>
    </xf>
    <xf numFmtId="49" fontId="7" fillId="0" borderId="66" xfId="0" applyNumberFormat="1" applyFont="1" applyBorder="1" applyAlignment="1">
      <alignment horizontal="center" vertical="center"/>
    </xf>
    <xf numFmtId="0" fontId="7" fillId="0" borderId="0" xfId="0" applyFont="1" applyAlignment="1">
      <alignment horizontal="left" vertical="center"/>
    </xf>
    <xf numFmtId="0" fontId="8" fillId="2" borderId="14" xfId="0" applyFont="1" applyFill="1" applyBorder="1" applyAlignment="1">
      <alignment horizontal="right" vertical="center"/>
    </xf>
    <xf numFmtId="0" fontId="26" fillId="0" borderId="15" xfId="0" applyFont="1" applyBorder="1" applyAlignment="1">
      <alignment horizontal="center" vertical="center"/>
    </xf>
    <xf numFmtId="0" fontId="8" fillId="4" borderId="55"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5"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5" borderId="27"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7" fillId="2" borderId="4" xfId="0" applyFont="1" applyFill="1" applyBorder="1" applyAlignment="1">
      <alignment horizontal="right" vertical="center"/>
    </xf>
    <xf numFmtId="0" fontId="11"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49" fontId="26" fillId="0" borderId="22" xfId="0" applyNumberFormat="1" applyFont="1" applyBorder="1" applyAlignment="1">
      <alignment horizontal="center" vertical="center"/>
    </xf>
    <xf numFmtId="0" fontId="11" fillId="4" borderId="54"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1" xfId="0" applyFont="1" applyBorder="1" applyAlignment="1">
      <alignment horizontal="centerContinuous" vertical="center"/>
    </xf>
    <xf numFmtId="0" fontId="16" fillId="0" borderId="0" xfId="0" applyFont="1" applyAlignment="1">
      <alignment horizontal="centerContinuous" vertical="center"/>
    </xf>
    <xf numFmtId="0" fontId="40" fillId="0" borderId="1" xfId="0" applyFont="1" applyBorder="1" applyAlignment="1">
      <alignment vertical="center"/>
    </xf>
    <xf numFmtId="0" fontId="7" fillId="0" borderId="23" xfId="0" applyFont="1" applyBorder="1" applyAlignment="1">
      <alignment horizontal="center" vertical="center"/>
    </xf>
    <xf numFmtId="0" fontId="41" fillId="0" borderId="23" xfId="0" applyFont="1" applyBorder="1" applyAlignment="1">
      <alignment horizontal="center" vertical="center" wrapText="1"/>
    </xf>
    <xf numFmtId="1" fontId="7" fillId="0" borderId="23" xfId="0" applyNumberFormat="1" applyFont="1" applyBorder="1" applyAlignment="1">
      <alignment horizontal="center" vertical="center" wrapText="1"/>
    </xf>
    <xf numFmtId="0" fontId="42" fillId="9" borderId="24" xfId="0" applyFont="1" applyFill="1" applyBorder="1" applyAlignment="1">
      <alignment horizontal="center" vertical="center"/>
    </xf>
    <xf numFmtId="49" fontId="7" fillId="0" borderId="23" xfId="0" applyNumberFormat="1" applyFont="1" applyBorder="1" applyAlignment="1">
      <alignment horizontal="center" vertical="center" wrapText="1"/>
    </xf>
    <xf numFmtId="0" fontId="43" fillId="0" borderId="1" xfId="0" applyFont="1" applyBorder="1" applyAlignment="1">
      <alignment vertical="center"/>
    </xf>
    <xf numFmtId="0" fontId="13" fillId="0" borderId="24" xfId="0" applyFont="1" applyBorder="1" applyAlignment="1">
      <alignment horizontal="center" vertical="center"/>
    </xf>
    <xf numFmtId="0" fontId="7" fillId="0" borderId="2" xfId="0" quotePrefix="1" applyFont="1" applyBorder="1" applyAlignment="1">
      <alignment horizontal="center" vertical="center"/>
    </xf>
    <xf numFmtId="0" fontId="41" fillId="0" borderId="60" xfId="0" applyFont="1" applyBorder="1" applyAlignment="1">
      <alignment vertical="center"/>
    </xf>
    <xf numFmtId="0" fontId="7" fillId="0" borderId="61" xfId="0" applyFont="1" applyBorder="1" applyAlignment="1">
      <alignment horizontal="center" vertical="center"/>
    </xf>
    <xf numFmtId="0" fontId="44" fillId="0" borderId="61" xfId="0" applyFont="1" applyBorder="1" applyAlignment="1">
      <alignment horizontal="center" vertical="center" wrapText="1"/>
    </xf>
    <xf numFmtId="1" fontId="7" fillId="0" borderId="61" xfId="0" applyNumberFormat="1" applyFont="1" applyBorder="1" applyAlignment="1">
      <alignment horizontal="center" vertical="center" wrapText="1"/>
    </xf>
    <xf numFmtId="0" fontId="42" fillId="9" borderId="61" xfId="0" applyFont="1" applyFill="1" applyBorder="1" applyAlignment="1">
      <alignment horizontal="center" vertical="center"/>
    </xf>
    <xf numFmtId="49" fontId="7" fillId="0" borderId="61" xfId="0" applyNumberFormat="1" applyFont="1" applyBorder="1" applyAlignment="1">
      <alignment horizontal="center" vertical="center" wrapText="1"/>
    </xf>
    <xf numFmtId="0" fontId="11" fillId="0" borderId="1" xfId="0" applyFont="1" applyBorder="1" applyAlignment="1">
      <alignment vertical="center"/>
    </xf>
    <xf numFmtId="49" fontId="17" fillId="0" borderId="23" xfId="0" applyNumberFormat="1" applyFont="1" applyBorder="1" applyAlignment="1">
      <alignment horizontal="center" vertical="center"/>
    </xf>
    <xf numFmtId="0" fontId="17" fillId="0" borderId="24" xfId="0" applyFont="1" applyBorder="1" applyAlignment="1">
      <alignment horizontal="center" vertical="center"/>
    </xf>
    <xf numFmtId="0" fontId="11" fillId="0" borderId="24" xfId="0" applyFont="1" applyBorder="1" applyAlignment="1">
      <alignment horizontal="center" vertical="center"/>
    </xf>
    <xf numFmtId="49"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3" xfId="0" applyNumberFormat="1" applyFont="1" applyBorder="1" applyAlignment="1">
      <alignment horizontal="center" vertical="center"/>
    </xf>
    <xf numFmtId="0" fontId="24" fillId="0" borderId="24" xfId="0" applyFont="1" applyBorder="1" applyAlignment="1">
      <alignment horizontal="center" vertical="center"/>
    </xf>
    <xf numFmtId="0" fontId="42" fillId="9" borderId="23" xfId="0" applyFont="1" applyFill="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3" xfId="0" applyNumberFormat="1" applyFont="1" applyBorder="1" applyAlignment="1">
      <alignment horizontal="center" vertical="center"/>
    </xf>
    <xf numFmtId="0" fontId="23" fillId="0" borderId="24" xfId="0" applyFont="1" applyBorder="1" applyAlignment="1">
      <alignment horizontal="center" vertical="center"/>
    </xf>
    <xf numFmtId="0" fontId="14" fillId="0" borderId="24" xfId="0" applyFont="1" applyBorder="1" applyAlignment="1">
      <alignment horizontal="center" vertical="center"/>
    </xf>
    <xf numFmtId="0" fontId="30" fillId="0" borderId="0" xfId="0" applyFont="1" applyAlignment="1">
      <alignment vertical="center"/>
    </xf>
    <xf numFmtId="0" fontId="8" fillId="6" borderId="1" xfId="0" applyFont="1" applyFill="1" applyBorder="1" applyAlignment="1">
      <alignment vertical="center"/>
    </xf>
    <xf numFmtId="0" fontId="7" fillId="6" borderId="23" xfId="0" applyFont="1" applyFill="1" applyBorder="1" applyAlignment="1">
      <alignment horizontal="center" vertical="center"/>
    </xf>
    <xf numFmtId="49" fontId="18" fillId="6" borderId="23" xfId="0" applyNumberFormat="1" applyFont="1" applyFill="1" applyBorder="1" applyAlignment="1">
      <alignment horizontal="center" vertical="center"/>
    </xf>
    <xf numFmtId="0" fontId="18" fillId="6" borderId="24" xfId="0" applyFont="1" applyFill="1" applyBorder="1" applyAlignment="1">
      <alignment horizontal="center" vertical="center"/>
    </xf>
    <xf numFmtId="0" fontId="8" fillId="6" borderId="24" xfId="0" applyFont="1" applyFill="1" applyBorder="1" applyAlignment="1">
      <alignment horizontal="center" vertical="center"/>
    </xf>
    <xf numFmtId="49" fontId="7" fillId="6" borderId="24" xfId="0" applyNumberFormat="1" applyFont="1" applyFill="1" applyBorder="1" applyAlignment="1">
      <alignment horizontal="center" vertical="center"/>
    </xf>
    <xf numFmtId="0" fontId="7" fillId="6" borderId="25" xfId="0" applyFont="1" applyFill="1" applyBorder="1" applyAlignment="1">
      <alignment horizontal="center" vertical="center"/>
    </xf>
    <xf numFmtId="0" fontId="29" fillId="0" borderId="0" xfId="0" applyFont="1" applyAlignment="1">
      <alignment vertical="center"/>
    </xf>
    <xf numFmtId="0" fontId="11" fillId="6" borderId="1" xfId="0" applyFont="1" applyFill="1" applyBorder="1" applyAlignment="1">
      <alignment vertical="center"/>
    </xf>
    <xf numFmtId="49" fontId="17" fillId="6" borderId="23" xfId="0" applyNumberFormat="1" applyFont="1" applyFill="1" applyBorder="1" applyAlignment="1">
      <alignment horizontal="center" vertical="center"/>
    </xf>
    <xf numFmtId="0" fontId="17" fillId="6" borderId="24" xfId="0" applyFont="1" applyFill="1" applyBorder="1" applyAlignment="1">
      <alignment horizontal="center" vertical="center"/>
    </xf>
    <xf numFmtId="0" fontId="11" fillId="6" borderId="24" xfId="0" applyFont="1" applyFill="1" applyBorder="1" applyAlignment="1">
      <alignment horizontal="center" vertical="center"/>
    </xf>
    <xf numFmtId="0" fontId="11" fillId="8" borderId="1" xfId="0" applyFont="1" applyFill="1" applyBorder="1" applyAlignment="1">
      <alignment vertical="center"/>
    </xf>
    <xf numFmtId="0" fontId="7" fillId="8" borderId="23" xfId="0" applyFont="1" applyFill="1" applyBorder="1" applyAlignment="1">
      <alignment horizontal="center" vertical="center"/>
    </xf>
    <xf numFmtId="49" fontId="17" fillId="8" borderId="23" xfId="0" applyNumberFormat="1" applyFont="1" applyFill="1" applyBorder="1" applyAlignment="1">
      <alignment horizontal="center" vertical="center"/>
    </xf>
    <xf numFmtId="0" fontId="17" fillId="8" borderId="24" xfId="0" applyFont="1" applyFill="1" applyBorder="1" applyAlignment="1">
      <alignment horizontal="center" vertical="center"/>
    </xf>
    <xf numFmtId="0" fontId="11" fillId="8" borderId="24" xfId="0" applyFont="1" applyFill="1" applyBorder="1" applyAlignment="1">
      <alignment horizontal="center" vertical="center"/>
    </xf>
    <xf numFmtId="49" fontId="7" fillId="8" borderId="24" xfId="0" applyNumberFormat="1" applyFont="1" applyFill="1" applyBorder="1" applyAlignment="1">
      <alignment horizontal="center" vertical="center"/>
    </xf>
    <xf numFmtId="0" fontId="7" fillId="8" borderId="25" xfId="0" applyFont="1" applyFill="1" applyBorder="1" applyAlignment="1">
      <alignment horizontal="center" vertical="center"/>
    </xf>
    <xf numFmtId="0" fontId="31" fillId="0" borderId="0" xfId="0" applyFont="1" applyAlignment="1">
      <alignment vertical="center"/>
    </xf>
    <xf numFmtId="0" fontId="13" fillId="8" borderId="1" xfId="0" applyFont="1" applyFill="1" applyBorder="1" applyAlignment="1">
      <alignment vertical="center"/>
    </xf>
    <xf numFmtId="49" fontId="24" fillId="8" borderId="23" xfId="0" applyNumberFormat="1" applyFont="1" applyFill="1" applyBorder="1" applyAlignment="1">
      <alignment horizontal="center" vertical="center"/>
    </xf>
    <xf numFmtId="0" fontId="24" fillId="8" borderId="24" xfId="0" applyFont="1" applyFill="1" applyBorder="1" applyAlignment="1">
      <alignment horizontal="center" vertical="center"/>
    </xf>
    <xf numFmtId="0" fontId="13" fillId="8" borderId="24" xfId="0" applyFont="1" applyFill="1" applyBorder="1" applyAlignment="1">
      <alignment horizontal="center" vertical="center"/>
    </xf>
    <xf numFmtId="0" fontId="14" fillId="8" borderId="1" xfId="0" applyFont="1" applyFill="1" applyBorder="1" applyAlignment="1">
      <alignment vertical="center"/>
    </xf>
    <xf numFmtId="0" fontId="13" fillId="6" borderId="1" xfId="0" applyFont="1" applyFill="1" applyBorder="1" applyAlignment="1">
      <alignment vertical="center"/>
    </xf>
    <xf numFmtId="49" fontId="24" fillId="6" borderId="23" xfId="0" applyNumberFormat="1" applyFont="1" applyFill="1" applyBorder="1" applyAlignment="1">
      <alignment horizontal="center" vertical="center"/>
    </xf>
    <xf numFmtId="0" fontId="24" fillId="6" borderId="24" xfId="0" applyFont="1" applyFill="1" applyBorder="1" applyAlignment="1">
      <alignment horizontal="center" vertical="center"/>
    </xf>
    <xf numFmtId="0" fontId="13" fillId="6" borderId="24" xfId="0" applyFont="1" applyFill="1" applyBorder="1" applyAlignment="1">
      <alignment horizontal="center" vertical="center"/>
    </xf>
    <xf numFmtId="0" fontId="22" fillId="0" borderId="1" xfId="0" applyFont="1" applyBorder="1" applyAlignment="1">
      <alignment vertical="center"/>
    </xf>
    <xf numFmtId="49" fontId="28" fillId="0" borderId="23" xfId="0" applyNumberFormat="1" applyFont="1" applyBorder="1" applyAlignment="1">
      <alignment horizontal="center" vertical="center"/>
    </xf>
    <xf numFmtId="0" fontId="28" fillId="0" borderId="24" xfId="0" applyFont="1" applyBorder="1" applyAlignment="1">
      <alignment horizontal="center" vertical="center"/>
    </xf>
    <xf numFmtId="0" fontId="22" fillId="0" borderId="24" xfId="0" applyFont="1" applyBorder="1" applyAlignment="1">
      <alignment horizontal="center" vertical="center"/>
    </xf>
    <xf numFmtId="0" fontId="42" fillId="9" borderId="49"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vertical="center" wrapText="1"/>
    </xf>
    <xf numFmtId="0" fontId="38" fillId="0" borderId="31" xfId="0" applyFont="1" applyBorder="1" applyAlignment="1">
      <alignment horizontal="centerContinuous" vertical="center"/>
    </xf>
    <xf numFmtId="0" fontId="7" fillId="0" borderId="0" xfId="0" applyFont="1" applyAlignment="1">
      <alignment horizontal="left" vertical="center" wrapText="1"/>
    </xf>
    <xf numFmtId="0" fontId="3" fillId="0" borderId="0" xfId="0" applyFont="1" applyAlignment="1">
      <alignment horizontal="centerContinuous"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0" xfId="0" applyFont="1" applyFill="1" applyBorder="1" applyAlignment="1">
      <alignment horizontal="center" vertical="center"/>
    </xf>
    <xf numFmtId="0" fontId="45" fillId="9" borderId="20"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28" xfId="0" applyFont="1" applyFill="1" applyBorder="1" applyAlignment="1">
      <alignment horizontal="center" vertical="center"/>
    </xf>
    <xf numFmtId="1" fontId="2" fillId="0" borderId="50"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7" borderId="20"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164" fontId="5" fillId="0" borderId="12" xfId="0" applyNumberFormat="1" applyFont="1" applyBorder="1" applyAlignment="1">
      <alignment horizontal="center" vertical="center"/>
    </xf>
    <xf numFmtId="164" fontId="3" fillId="0" borderId="0" xfId="0" applyNumberFormat="1" applyFont="1" applyAlignment="1">
      <alignment horizontal="centerContinuous" vertical="center"/>
    </xf>
    <xf numFmtId="0" fontId="21" fillId="3" borderId="32"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1" fillId="3" borderId="32" xfId="0" applyFont="1" applyFill="1" applyBorder="1" applyAlignment="1">
      <alignment horizontal="right" vertical="center"/>
    </xf>
    <xf numFmtId="0" fontId="21" fillId="3" borderId="34" xfId="0" applyFont="1" applyFill="1" applyBorder="1" applyAlignment="1">
      <alignment vertical="center"/>
    </xf>
    <xf numFmtId="164" fontId="21" fillId="3" borderId="28" xfId="0" applyNumberFormat="1" applyFont="1" applyFill="1" applyBorder="1" applyAlignment="1">
      <alignment horizontal="center" vertical="center"/>
    </xf>
    <xf numFmtId="0" fontId="2" fillId="0" borderId="35" xfId="0" applyFont="1" applyBorder="1" applyAlignment="1">
      <alignment horizontal="center" vertical="center" shrinkToFit="1"/>
    </xf>
    <xf numFmtId="1" fontId="2" fillId="0" borderId="36" xfId="0" applyNumberFormat="1" applyFont="1" applyBorder="1" applyAlignment="1">
      <alignment horizontal="center" vertical="center" shrinkToFit="1"/>
    </xf>
    <xf numFmtId="164" fontId="2" fillId="0" borderId="36" xfId="0" applyNumberFormat="1" applyFont="1" applyBorder="1" applyAlignment="1">
      <alignment horizontal="center" vertical="center" shrinkToFit="1"/>
    </xf>
    <xf numFmtId="0" fontId="5" fillId="0" borderId="37" xfId="0" applyFont="1" applyBorder="1" applyAlignment="1">
      <alignment horizontal="left" vertical="center"/>
    </xf>
    <xf numFmtId="0" fontId="5" fillId="0" borderId="38" xfId="0" applyFont="1" applyBorder="1" applyAlignment="1">
      <alignment horizontal="left" vertical="center" shrinkToFit="1"/>
    </xf>
    <xf numFmtId="0" fontId="2" fillId="0" borderId="43" xfId="0" applyFont="1" applyBorder="1" applyAlignment="1">
      <alignment horizontal="center" vertical="center" shrinkToFit="1"/>
    </xf>
    <xf numFmtId="1" fontId="5" fillId="0" borderId="44" xfId="0" applyNumberFormat="1"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46"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39" xfId="0" applyFont="1" applyBorder="1" applyAlignment="1">
      <alignment horizontal="center" vertical="center" shrinkToFit="1"/>
    </xf>
    <xf numFmtId="1" fontId="2" fillId="0" borderId="40" xfId="0" applyNumberFormat="1" applyFont="1" applyBorder="1" applyAlignment="1">
      <alignment horizontal="center" vertical="center" shrinkToFit="1"/>
    </xf>
    <xf numFmtId="164" fontId="2" fillId="0" borderId="40" xfId="0" applyNumberFormat="1" applyFont="1" applyBorder="1" applyAlignment="1">
      <alignment horizontal="center" vertical="center" shrinkToFit="1"/>
    </xf>
    <xf numFmtId="0" fontId="2" fillId="0" borderId="41" xfId="0" applyFont="1" applyBorder="1" applyAlignment="1">
      <alignment horizontal="left" vertical="center"/>
    </xf>
    <xf numFmtId="0" fontId="5" fillId="0" borderId="42" xfId="0" applyFont="1" applyBorder="1" applyAlignment="1">
      <alignment horizontal="left" vertical="center" shrinkToFit="1"/>
    </xf>
    <xf numFmtId="0" fontId="2" fillId="0" borderId="45" xfId="0" applyFont="1" applyBorder="1" applyAlignment="1">
      <alignment horizontal="left" vertical="center"/>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1" fontId="5" fillId="0" borderId="0" xfId="0" applyNumberFormat="1" applyFont="1" applyAlignment="1">
      <alignment vertical="center"/>
    </xf>
    <xf numFmtId="0" fontId="7" fillId="0" borderId="25" xfId="0" quotePrefix="1" applyFont="1" applyBorder="1" applyAlignment="1">
      <alignment horizontal="center" vertical="center"/>
    </xf>
    <xf numFmtId="0" fontId="13" fillId="0" borderId="8" xfId="0" applyFont="1" applyBorder="1" applyAlignment="1">
      <alignment vertical="center"/>
    </xf>
    <xf numFmtId="0" fontId="7" fillId="0" borderId="49" xfId="0" applyFont="1" applyBorder="1" applyAlignment="1">
      <alignment horizontal="center" vertical="center"/>
    </xf>
    <xf numFmtId="49" fontId="24" fillId="0" borderId="49" xfId="0" applyNumberFormat="1" applyFont="1" applyBorder="1" applyAlignment="1">
      <alignment horizontal="center" vertical="center"/>
    </xf>
    <xf numFmtId="0" fontId="24" fillId="0" borderId="50" xfId="0" applyFont="1" applyBorder="1" applyAlignment="1">
      <alignment horizontal="center" vertical="center"/>
    </xf>
    <xf numFmtId="0" fontId="13" fillId="0" borderId="50" xfId="0" applyFont="1" applyBorder="1" applyAlignment="1">
      <alignment horizontal="center" vertical="center"/>
    </xf>
    <xf numFmtId="49" fontId="7" fillId="0" borderId="50" xfId="0" applyNumberFormat="1" applyFont="1" applyBorder="1" applyAlignment="1">
      <alignment horizontal="center" vertical="center"/>
    </xf>
    <xf numFmtId="0" fontId="7" fillId="0" borderId="30" xfId="0" applyFont="1" applyBorder="1" applyAlignment="1">
      <alignment horizontal="center" vertical="center"/>
    </xf>
    <xf numFmtId="49" fontId="23" fillId="8" borderId="23" xfId="0" applyNumberFormat="1" applyFont="1" applyFill="1" applyBorder="1" applyAlignment="1">
      <alignment horizontal="center" vertical="center"/>
    </xf>
    <xf numFmtId="0" fontId="23" fillId="8" borderId="24" xfId="0" applyFont="1" applyFill="1" applyBorder="1" applyAlignment="1">
      <alignment horizontal="center" vertical="center"/>
    </xf>
    <xf numFmtId="0" fontId="14" fillId="8" borderId="24" xfId="0" applyFont="1" applyFill="1" applyBorder="1" applyAlignment="1">
      <alignment horizontal="center" vertical="center"/>
    </xf>
    <xf numFmtId="0" fontId="7" fillId="0" borderId="57" xfId="0" applyFont="1" applyBorder="1" applyAlignment="1">
      <alignment horizontal="centerContinuous"/>
    </xf>
    <xf numFmtId="0" fontId="7" fillId="0" borderId="62" xfId="0" quotePrefix="1" applyFont="1" applyBorder="1" applyAlignment="1">
      <alignment horizontal="center" vertical="center"/>
    </xf>
    <xf numFmtId="0" fontId="5" fillId="0" borderId="79" xfId="0" applyFont="1" applyBorder="1" applyAlignment="1">
      <alignment horizontal="center" vertical="center"/>
    </xf>
    <xf numFmtId="0" fontId="21" fillId="7" borderId="63" xfId="0" applyFont="1" applyFill="1" applyBorder="1" applyAlignment="1">
      <alignment horizontal="centerContinuous" vertical="center"/>
    </xf>
    <xf numFmtId="0" fontId="21" fillId="7" borderId="64" xfId="0" applyFont="1" applyFill="1" applyBorder="1" applyAlignment="1">
      <alignment horizontal="centerContinuous" vertical="center"/>
    </xf>
    <xf numFmtId="0" fontId="21" fillId="7" borderId="64" xfId="0" applyFont="1" applyFill="1" applyBorder="1" applyAlignment="1">
      <alignment horizontal="center" vertical="center"/>
    </xf>
    <xf numFmtId="0" fontId="5" fillId="0" borderId="12" xfId="0" applyFont="1" applyBorder="1" applyAlignment="1">
      <alignment horizontal="centerContinuous" vertical="center"/>
    </xf>
    <xf numFmtId="49" fontId="2" fillId="0" borderId="12" xfId="0" applyNumberFormat="1" applyFont="1" applyBorder="1" applyAlignment="1">
      <alignment horizontal="center" vertical="center"/>
    </xf>
    <xf numFmtId="0" fontId="21" fillId="7" borderId="80" xfId="0" applyFont="1" applyFill="1" applyBorder="1" applyAlignment="1">
      <alignment horizontal="centerContinuous" vertical="center"/>
    </xf>
    <xf numFmtId="0" fontId="21" fillId="7" borderId="81" xfId="0" applyFont="1" applyFill="1" applyBorder="1" applyAlignment="1">
      <alignment horizontal="centerContinuous" vertical="center"/>
    </xf>
    <xf numFmtId="0" fontId="21" fillId="7" borderId="82" xfId="0" applyFont="1" applyFill="1" applyBorder="1" applyAlignment="1">
      <alignment horizontal="center" vertical="center"/>
    </xf>
    <xf numFmtId="164" fontId="2" fillId="0" borderId="22" xfId="0" applyNumberFormat="1" applyFont="1" applyBorder="1" applyAlignment="1">
      <alignment horizontal="centerContinuous" vertical="center"/>
    </xf>
    <xf numFmtId="164" fontId="5" fillId="0" borderId="83" xfId="0" applyNumberFormat="1" applyFont="1" applyBorder="1" applyAlignment="1">
      <alignment horizontal="centerContinuous" vertical="center"/>
    </xf>
    <xf numFmtId="0" fontId="7" fillId="0" borderId="78" xfId="0" applyFont="1" applyBorder="1" applyAlignment="1">
      <alignment horizontal="centerContinuous"/>
    </xf>
    <xf numFmtId="0" fontId="7" fillId="0" borderId="56" xfId="0" applyFont="1" applyBorder="1" applyAlignment="1">
      <alignment horizontal="centerContinuous"/>
    </xf>
    <xf numFmtId="1" fontId="7" fillId="0" borderId="13" xfId="0" applyNumberFormat="1" applyFont="1" applyBorder="1" applyAlignment="1">
      <alignment horizontal="center" vertical="center"/>
    </xf>
    <xf numFmtId="0" fontId="7" fillId="0" borderId="0" xfId="0" applyFont="1" applyAlignment="1">
      <alignment horizontal="centerContinuous" vertical="center"/>
    </xf>
    <xf numFmtId="0" fontId="14" fillId="6" borderId="1" xfId="0" applyFont="1" applyFill="1" applyBorder="1" applyAlignment="1">
      <alignment vertical="center"/>
    </xf>
    <xf numFmtId="0" fontId="2" fillId="0" borderId="69" xfId="0" applyFont="1" applyBorder="1" applyAlignment="1">
      <alignment horizontal="center" vertical="center"/>
    </xf>
    <xf numFmtId="0" fontId="2" fillId="0" borderId="16" xfId="0" applyFont="1" applyBorder="1" applyAlignment="1">
      <alignment horizontal="center" vertical="center"/>
    </xf>
    <xf numFmtId="0" fontId="2" fillId="0" borderId="49" xfId="0" applyFont="1" applyBorder="1" applyAlignment="1">
      <alignment horizontal="center" vertical="center"/>
    </xf>
    <xf numFmtId="164" fontId="2" fillId="0" borderId="49" xfId="0" applyNumberFormat="1" applyFont="1" applyBorder="1" applyAlignment="1">
      <alignment horizontal="center" vertical="center"/>
    </xf>
    <xf numFmtId="1" fontId="46" fillId="9" borderId="50" xfId="0" applyNumberFormat="1" applyFont="1" applyFill="1" applyBorder="1" applyAlignment="1">
      <alignment horizontal="center" vertical="center"/>
    </xf>
    <xf numFmtId="0" fontId="7" fillId="0" borderId="3" xfId="0" applyFont="1" applyBorder="1" applyAlignment="1">
      <alignment horizontal="center" vertical="center"/>
    </xf>
    <xf numFmtId="1" fontId="4" fillId="0" borderId="0" xfId="0" applyNumberFormat="1" applyFont="1" applyAlignment="1">
      <alignment horizontal="center" vertical="center"/>
    </xf>
    <xf numFmtId="1" fontId="2" fillId="0" borderId="56" xfId="0" applyNumberFormat="1" applyFont="1" applyBorder="1" applyAlignment="1">
      <alignment horizontal="center" vertical="center"/>
    </xf>
    <xf numFmtId="1" fontId="2" fillId="0" borderId="78" xfId="0" applyNumberFormat="1" applyFont="1" applyBorder="1" applyAlignment="1">
      <alignment horizontal="center" vertical="center"/>
    </xf>
    <xf numFmtId="1" fontId="2" fillId="0" borderId="51" xfId="0" applyNumberFormat="1" applyFont="1" applyBorder="1" applyAlignment="1">
      <alignment horizontal="center" vertical="center"/>
    </xf>
    <xf numFmtId="1" fontId="2" fillId="0" borderId="31" xfId="0" applyNumberFormat="1" applyFont="1" applyBorder="1" applyAlignment="1">
      <alignment horizontal="center" vertical="center"/>
    </xf>
    <xf numFmtId="165" fontId="2" fillId="0" borderId="0" xfId="0" applyNumberFormat="1" applyFont="1" applyAlignment="1">
      <alignment horizontal="center" vertical="center"/>
    </xf>
    <xf numFmtId="0" fontId="2" fillId="0" borderId="0" xfId="0" applyFont="1" applyAlignment="1">
      <alignment vertical="center"/>
    </xf>
    <xf numFmtId="0" fontId="48" fillId="0" borderId="28" xfId="0" applyFont="1" applyBorder="1" applyAlignment="1">
      <alignment horizontal="centerContinuous" vertical="center"/>
    </xf>
    <xf numFmtId="0" fontId="49" fillId="0" borderId="28" xfId="0" applyFont="1" applyBorder="1" applyAlignment="1">
      <alignment horizontal="centerContinuous" vertical="center" wrapText="1"/>
    </xf>
    <xf numFmtId="0" fontId="50" fillId="0" borderId="28" xfId="0" applyFont="1" applyBorder="1" applyAlignment="1">
      <alignment horizontal="centerContinuous" vertical="center" wrapText="1"/>
    </xf>
    <xf numFmtId="1" fontId="2" fillId="0" borderId="78" xfId="0" applyNumberFormat="1" applyFont="1" applyBorder="1" applyAlignment="1">
      <alignment horizontal="center" vertical="center" shrinkToFit="1"/>
    </xf>
    <xf numFmtId="1" fontId="2" fillId="0" borderId="57" xfId="0" applyNumberFormat="1" applyFont="1" applyBorder="1" applyAlignment="1">
      <alignment horizontal="center" vertical="center" shrinkToFit="1"/>
    </xf>
    <xf numFmtId="1" fontId="2" fillId="0" borderId="31"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0" fontId="2" fillId="0" borderId="88" xfId="0" applyFont="1" applyBorder="1" applyAlignment="1">
      <alignment horizontal="center" vertical="center"/>
    </xf>
    <xf numFmtId="0" fontId="2" fillId="0" borderId="88" xfId="0" quotePrefix="1" applyFont="1" applyBorder="1" applyAlignment="1">
      <alignment horizontal="center" vertical="center"/>
    </xf>
    <xf numFmtId="164" fontId="2" fillId="0" borderId="88" xfId="0" applyNumberFormat="1" applyFont="1" applyBorder="1" applyAlignment="1">
      <alignment horizontal="center" vertical="center"/>
    </xf>
    <xf numFmtId="0" fontId="2" fillId="0" borderId="68" xfId="0" quotePrefix="1" applyFont="1" applyBorder="1" applyAlignment="1">
      <alignment horizontal="center" vertical="center"/>
    </xf>
    <xf numFmtId="0" fontId="5" fillId="0" borderId="68" xfId="0" applyFont="1" applyBorder="1" applyAlignment="1">
      <alignment horizontal="center" vertical="center"/>
    </xf>
    <xf numFmtId="9" fontId="5" fillId="0" borderId="68" xfId="0" applyNumberFormat="1" applyFont="1" applyBorder="1" applyAlignment="1">
      <alignment horizontal="center" vertical="center"/>
    </xf>
    <xf numFmtId="164" fontId="5" fillId="0" borderId="68" xfId="0" applyNumberFormat="1" applyFont="1" applyBorder="1" applyAlignment="1">
      <alignment horizontal="center" vertical="center"/>
    </xf>
    <xf numFmtId="164" fontId="5" fillId="0" borderId="70" xfId="0" applyNumberFormat="1" applyFont="1" applyBorder="1" applyAlignment="1">
      <alignment horizontal="centerContinuous" vertical="center"/>
    </xf>
    <xf numFmtId="164" fontId="2" fillId="0" borderId="90" xfId="0" applyNumberFormat="1" applyFont="1" applyBorder="1" applyAlignment="1">
      <alignment horizontal="centerContinuous" vertical="center"/>
    </xf>
    <xf numFmtId="0" fontId="5" fillId="0" borderId="91" xfId="0" quotePrefix="1" applyFont="1" applyBorder="1" applyAlignment="1">
      <alignment horizontal="centerContinuous"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3" xfId="0" quotePrefix="1" applyFont="1" applyBorder="1" applyAlignment="1">
      <alignment horizontal="center" vertical="center" wrapText="1"/>
    </xf>
    <xf numFmtId="49" fontId="2" fillId="0" borderId="93" xfId="2" applyNumberFormat="1" applyFont="1" applyFill="1" applyBorder="1" applyAlignment="1">
      <alignment horizontal="center" vertical="center"/>
    </xf>
    <xf numFmtId="164" fontId="2" fillId="8" borderId="93" xfId="0" applyNumberFormat="1" applyFont="1" applyFill="1" applyBorder="1" applyAlignment="1">
      <alignment horizontal="center" vertical="center"/>
    </xf>
    <xf numFmtId="0" fontId="5" fillId="0" borderId="49" xfId="0" quotePrefix="1" applyFont="1" applyBorder="1" applyAlignment="1">
      <alignment horizontal="center" vertical="center" wrapText="1"/>
    </xf>
    <xf numFmtId="49" fontId="2" fillId="0" borderId="49" xfId="2" applyNumberFormat="1" applyFont="1" applyBorder="1" applyAlignment="1">
      <alignment horizontal="center" vertical="center"/>
    </xf>
    <xf numFmtId="0" fontId="2" fillId="0" borderId="49" xfId="0" applyFont="1" applyBorder="1" applyAlignment="1">
      <alignment horizontal="center" vertical="center" shrinkToFit="1"/>
    </xf>
    <xf numFmtId="164" fontId="5" fillId="0" borderId="50" xfId="0" applyNumberFormat="1" applyFont="1" applyBorder="1" applyAlignment="1">
      <alignment horizontal="center" vertical="center"/>
    </xf>
    <xf numFmtId="0" fontId="4" fillId="0" borderId="30" xfId="0" applyFont="1" applyBorder="1" applyAlignment="1">
      <alignment horizontal="center" vertical="center"/>
    </xf>
    <xf numFmtId="0" fontId="2" fillId="0" borderId="93" xfId="0" quotePrefix="1" applyFont="1" applyBorder="1" applyAlignment="1">
      <alignment horizontal="center" vertical="center"/>
    </xf>
    <xf numFmtId="164" fontId="5" fillId="0" borderId="93" xfId="0" applyNumberFormat="1" applyFont="1" applyBorder="1" applyAlignment="1">
      <alignment horizontal="center" vertical="center"/>
    </xf>
    <xf numFmtId="164" fontId="5" fillId="0" borderId="89" xfId="0" applyNumberFormat="1" applyFont="1" applyBorder="1" applyAlignment="1">
      <alignment horizontal="center" vertical="center"/>
    </xf>
    <xf numFmtId="1" fontId="46" fillId="9" borderId="89"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0" fontId="2" fillId="0" borderId="87" xfId="0" applyFont="1" applyBorder="1" applyAlignment="1">
      <alignment horizontal="center" vertical="center"/>
    </xf>
    <xf numFmtId="0" fontId="2" fillId="0" borderId="88" xfId="0" quotePrefix="1" applyFont="1" applyBorder="1" applyAlignment="1">
      <alignment horizontal="center" vertical="center" wrapText="1"/>
    </xf>
    <xf numFmtId="49" fontId="2" fillId="0" borderId="88" xfId="2" applyNumberFormat="1" applyFont="1" applyFill="1" applyBorder="1" applyAlignment="1">
      <alignment horizontal="center" vertical="center"/>
    </xf>
    <xf numFmtId="1" fontId="2" fillId="0" borderId="96" xfId="0" applyNumberFormat="1" applyFont="1" applyBorder="1" applyAlignment="1">
      <alignment horizontal="center" vertical="center"/>
    </xf>
    <xf numFmtId="1" fontId="2" fillId="0" borderId="57" xfId="0" applyNumberFormat="1" applyFont="1" applyBorder="1" applyAlignment="1">
      <alignment horizontal="center" vertical="center"/>
    </xf>
    <xf numFmtId="0" fontId="2" fillId="0" borderId="71" xfId="0" quotePrefix="1"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71" xfId="0" applyFont="1" applyBorder="1" applyAlignment="1">
      <alignment horizontal="center" vertical="center"/>
    </xf>
    <xf numFmtId="0" fontId="5" fillId="0" borderId="30"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49" fontId="2" fillId="0" borderId="73" xfId="0" applyNumberFormat="1" applyFont="1" applyBorder="1" applyAlignment="1">
      <alignment horizontal="center" vertical="center"/>
    </xf>
    <xf numFmtId="164" fontId="2" fillId="8" borderId="73" xfId="0" applyNumberFormat="1" applyFont="1" applyFill="1" applyBorder="1" applyAlignment="1">
      <alignment horizontal="center" vertical="center"/>
    </xf>
    <xf numFmtId="164" fontId="2" fillId="0" borderId="74" xfId="0" applyNumberFormat="1" applyFont="1" applyBorder="1" applyAlignment="1">
      <alignment horizontal="center" vertical="center"/>
    </xf>
    <xf numFmtId="1" fontId="46" fillId="9" borderId="74" xfId="0" applyNumberFormat="1" applyFont="1" applyFill="1" applyBorder="1" applyAlignment="1">
      <alignment horizontal="center" vertical="center"/>
    </xf>
    <xf numFmtId="1" fontId="2" fillId="0" borderId="73"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2" fillId="0" borderId="40" xfId="0" applyFont="1" applyBorder="1" applyAlignment="1">
      <alignment horizontal="center" vertical="center" shrinkToFit="1"/>
    </xf>
    <xf numFmtId="0" fontId="2" fillId="0" borderId="40" xfId="0" applyFont="1" applyBorder="1" applyAlignment="1">
      <alignment horizontal="left" vertical="center"/>
    </xf>
    <xf numFmtId="0" fontId="2" fillId="0" borderId="42" xfId="0" applyFont="1" applyBorder="1" applyAlignment="1">
      <alignment horizontal="left" vertical="center" shrinkToFit="1"/>
    </xf>
    <xf numFmtId="0" fontId="21" fillId="7" borderId="98" xfId="0" applyFont="1" applyFill="1" applyBorder="1" applyAlignment="1">
      <alignment horizontal="centerContinuous" vertical="center"/>
    </xf>
    <xf numFmtId="0" fontId="21" fillId="7" borderId="99" xfId="0" applyFont="1" applyFill="1" applyBorder="1" applyAlignment="1">
      <alignment horizontal="center" vertical="center"/>
    </xf>
    <xf numFmtId="1" fontId="21" fillId="7" borderId="28" xfId="0" applyNumberFormat="1" applyFont="1" applyFill="1" applyBorder="1" applyAlignment="1">
      <alignment horizontal="center" vertical="center"/>
    </xf>
    <xf numFmtId="0" fontId="2" fillId="0" borderId="35" xfId="0" applyFont="1" applyBorder="1" applyAlignment="1">
      <alignment horizontal="centerContinuous" vertical="center" shrinkToFit="1"/>
    </xf>
    <xf numFmtId="0" fontId="21" fillId="0" borderId="90" xfId="0" applyFont="1" applyBorder="1" applyAlignment="1">
      <alignment horizontal="centerContinuous" vertical="center"/>
    </xf>
    <xf numFmtId="0" fontId="21" fillId="0" borderId="85" xfId="0" applyFont="1" applyBorder="1" applyAlignment="1">
      <alignment horizontal="centerContinuous"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91" xfId="0" applyFont="1" applyBorder="1" applyAlignment="1">
      <alignment horizontal="centerContinuous" vertical="center"/>
    </xf>
    <xf numFmtId="1" fontId="2" fillId="0" borderId="84" xfId="0" applyNumberFormat="1" applyFont="1" applyBorder="1" applyAlignment="1">
      <alignment horizontal="center" vertical="center"/>
    </xf>
    <xf numFmtId="0" fontId="2" fillId="0" borderId="43" xfId="0" applyFont="1" applyBorder="1" applyAlignment="1">
      <alignment horizontal="centerContinuous" vertical="center" shrinkToFit="1"/>
    </xf>
    <xf numFmtId="0" fontId="2" fillId="0" borderId="75" xfId="0" applyFont="1" applyBorder="1" applyAlignment="1">
      <alignment horizontal="centerContinuous" vertical="center"/>
    </xf>
    <xf numFmtId="0" fontId="2" fillId="0" borderId="86" xfId="0" applyFont="1" applyBorder="1" applyAlignment="1">
      <alignment horizontal="centerContinuous" vertical="center"/>
    </xf>
    <xf numFmtId="49" fontId="2" fillId="0" borderId="45" xfId="0" applyNumberFormat="1" applyFont="1" applyBorder="1" applyAlignment="1">
      <alignment horizontal="center" vertical="center"/>
    </xf>
    <xf numFmtId="49" fontId="2" fillId="0" borderId="44" xfId="0" applyNumberFormat="1" applyFont="1" applyBorder="1" applyAlignment="1">
      <alignment horizontal="center" vertical="center"/>
    </xf>
    <xf numFmtId="0" fontId="2" fillId="0" borderId="76" xfId="0" applyFont="1" applyBorder="1" applyAlignment="1">
      <alignment horizontal="centerContinuous" vertical="center"/>
    </xf>
    <xf numFmtId="1" fontId="46" fillId="9" borderId="100" xfId="0" applyNumberFormat="1" applyFont="1" applyFill="1" applyBorder="1" applyAlignment="1">
      <alignment horizontal="center" vertical="center"/>
    </xf>
    <xf numFmtId="1" fontId="2" fillId="0" borderId="93" xfId="0" applyNumberFormat="1" applyFont="1" applyBorder="1" applyAlignment="1">
      <alignment horizontal="center" vertical="center"/>
    </xf>
    <xf numFmtId="0" fontId="2" fillId="0" borderId="101" xfId="0" applyFont="1" applyBorder="1" applyAlignment="1">
      <alignment horizontal="center" vertical="center"/>
    </xf>
    <xf numFmtId="164" fontId="5" fillId="0" borderId="100" xfId="0" applyNumberFormat="1" applyFont="1" applyBorder="1" applyAlignment="1">
      <alignment horizontal="center" vertical="center"/>
    </xf>
    <xf numFmtId="0" fontId="7" fillId="0" borderId="25" xfId="0" applyFont="1" applyBorder="1" applyAlignment="1">
      <alignment horizontal="center"/>
    </xf>
    <xf numFmtId="1" fontId="7" fillId="0" borderId="64" xfId="0" applyNumberFormat="1" applyFont="1" applyBorder="1" applyAlignment="1">
      <alignment horizontal="centerContinuous" vertical="center"/>
    </xf>
    <xf numFmtId="1" fontId="2" fillId="0" borderId="65" xfId="0" applyNumberFormat="1" applyFont="1" applyBorder="1" applyAlignment="1">
      <alignment horizontal="centerContinuous" vertical="center"/>
    </xf>
    <xf numFmtId="49" fontId="7" fillId="0" borderId="26" xfId="0" applyNumberFormat="1" applyFont="1" applyBorder="1" applyAlignment="1">
      <alignment horizontal="center" vertical="center"/>
    </xf>
    <xf numFmtId="0" fontId="7" fillId="0" borderId="15" xfId="0" applyFont="1" applyBorder="1" applyAlignment="1">
      <alignment horizontal="center" vertical="center"/>
    </xf>
    <xf numFmtId="0" fontId="6" fillId="0" borderId="26" xfId="0" applyFont="1" applyBorder="1" applyAlignment="1">
      <alignment horizontal="center" vertical="center"/>
    </xf>
    <xf numFmtId="49" fontId="17" fillId="0" borderId="29" xfId="0" applyNumberFormat="1" applyFont="1" applyBorder="1" applyAlignment="1">
      <alignment horizontal="center" shrinkToFit="1"/>
    </xf>
    <xf numFmtId="49" fontId="23" fillId="6" borderId="23" xfId="0" applyNumberFormat="1" applyFont="1" applyFill="1" applyBorder="1" applyAlignment="1">
      <alignment horizontal="center" vertical="center"/>
    </xf>
    <xf numFmtId="0" fontId="23" fillId="6" borderId="24" xfId="0" applyFont="1" applyFill="1" applyBorder="1" applyAlignment="1">
      <alignment horizontal="center" vertical="center"/>
    </xf>
    <xf numFmtId="0" fontId="14" fillId="6" borderId="24" xfId="0" applyFont="1" applyFill="1" applyBorder="1" applyAlignment="1">
      <alignment horizontal="center" vertical="center"/>
    </xf>
    <xf numFmtId="0" fontId="7" fillId="6" borderId="25" xfId="0" applyFont="1" applyFill="1" applyBorder="1" applyAlignment="1">
      <alignment horizontal="center"/>
    </xf>
    <xf numFmtId="0" fontId="2" fillId="0" borderId="72" xfId="0" applyFont="1" applyBorder="1" applyAlignment="1">
      <alignment horizontal="center" vertical="center" shrinkToFit="1"/>
    </xf>
    <xf numFmtId="0" fontId="2" fillId="0" borderId="73" xfId="0" quotePrefix="1" applyFont="1" applyBorder="1" applyAlignment="1">
      <alignment horizontal="center" vertical="center"/>
    </xf>
    <xf numFmtId="9" fontId="2" fillId="0" borderId="73" xfId="0" applyNumberFormat="1" applyFont="1" applyBorder="1" applyAlignment="1">
      <alignment horizontal="center" vertical="center"/>
    </xf>
    <xf numFmtId="164" fontId="2" fillId="0" borderId="73" xfId="0" applyNumberFormat="1" applyFont="1" applyBorder="1" applyAlignment="1">
      <alignment horizontal="center" vertical="center"/>
    </xf>
    <xf numFmtId="164" fontId="2" fillId="0" borderId="74" xfId="0" applyNumberFormat="1" applyFont="1" applyBorder="1" applyAlignment="1">
      <alignment horizontal="centerContinuous" vertical="center"/>
    </xf>
    <xf numFmtId="164" fontId="5" fillId="0" borderId="75" xfId="0" applyNumberFormat="1" applyFont="1" applyBorder="1" applyAlignment="1">
      <alignment horizontal="centerContinuous" vertical="center"/>
    </xf>
    <xf numFmtId="0" fontId="5" fillId="0" borderId="76" xfId="0" applyFont="1" applyBorder="1" applyAlignment="1">
      <alignment horizontal="centerContinuous" vertical="center"/>
    </xf>
    <xf numFmtId="0" fontId="56" fillId="0" borderId="28" xfId="0" applyFont="1" applyBorder="1" applyAlignment="1">
      <alignment horizontal="centerContinuous"/>
    </xf>
    <xf numFmtId="37" fontId="7" fillId="0" borderId="22" xfId="9" applyNumberFormat="1" applyFont="1" applyBorder="1" applyAlignment="1">
      <alignment horizontal="centerContinuous" vertical="center"/>
    </xf>
    <xf numFmtId="0" fontId="7" fillId="0" borderId="102" xfId="0" applyFont="1" applyBorder="1" applyAlignment="1">
      <alignment horizontal="centerContinuous" vertical="center"/>
    </xf>
    <xf numFmtId="49" fontId="28" fillId="8" borderId="23" xfId="0" applyNumberFormat="1" applyFont="1" applyFill="1" applyBorder="1" applyAlignment="1">
      <alignment horizontal="center" vertical="center"/>
    </xf>
    <xf numFmtId="0" fontId="28" fillId="8" borderId="24" xfId="0" applyFont="1" applyFill="1" applyBorder="1" applyAlignment="1">
      <alignment horizontal="center" vertical="center"/>
    </xf>
    <xf numFmtId="0" fontId="22" fillId="8" borderId="24" xfId="0" applyFont="1" applyFill="1" applyBorder="1" applyAlignment="1">
      <alignment horizontal="center" vertical="center"/>
    </xf>
    <xf numFmtId="0" fontId="52" fillId="0" borderId="31" xfId="0" applyFont="1" applyBorder="1" applyAlignment="1">
      <alignment horizontal="centerContinuous" shrinkToFit="1"/>
    </xf>
    <xf numFmtId="0" fontId="52" fillId="0" borderId="51" xfId="0" quotePrefix="1" applyFont="1" applyBorder="1" applyAlignment="1">
      <alignment horizontal="center" shrinkToFit="1"/>
    </xf>
    <xf numFmtId="0" fontId="52" fillId="0" borderId="31" xfId="0" applyFont="1" applyBorder="1" applyAlignment="1">
      <alignment horizontal="centerContinuous" vertical="center"/>
    </xf>
    <xf numFmtId="0" fontId="7" fillId="0" borderId="24" xfId="0" applyFont="1" applyBorder="1" applyAlignment="1">
      <alignment horizontal="center" vertical="center"/>
    </xf>
    <xf numFmtId="9" fontId="2" fillId="0" borderId="68" xfId="0" applyNumberFormat="1" applyFont="1" applyBorder="1" applyAlignment="1">
      <alignment horizontal="center" vertical="center"/>
    </xf>
    <xf numFmtId="0" fontId="2" fillId="0" borderId="93" xfId="0" applyFont="1" applyBorder="1" applyAlignment="1">
      <alignment horizontal="center" vertical="center" shrinkToFit="1"/>
    </xf>
    <xf numFmtId="0" fontId="2" fillId="0" borderId="103" xfId="0" applyFont="1" applyBorder="1" applyAlignment="1">
      <alignment horizontal="center" vertical="center" shrinkToFit="1"/>
    </xf>
    <xf numFmtId="1" fontId="7" fillId="0" borderId="26" xfId="0" applyNumberFormat="1"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105" xfId="0" quotePrefix="1" applyFont="1" applyBorder="1" applyAlignment="1">
      <alignment horizontal="center" vertical="center" wrapText="1"/>
    </xf>
    <xf numFmtId="49" fontId="2" fillId="0" borderId="105" xfId="2" applyNumberFormat="1" applyFont="1" applyFill="1" applyBorder="1" applyAlignment="1">
      <alignment horizontal="center" vertical="center"/>
    </xf>
    <xf numFmtId="0" fontId="2" fillId="0" borderId="105" xfId="0" applyFont="1" applyBorder="1" applyAlignment="1">
      <alignment horizontal="center" vertical="center" shrinkToFit="1"/>
    </xf>
    <xf numFmtId="164" fontId="2" fillId="0" borderId="105" xfId="0" applyNumberFormat="1" applyFont="1" applyBorder="1" applyAlignment="1">
      <alignment horizontal="center" vertical="center"/>
    </xf>
    <xf numFmtId="164" fontId="5" fillId="0" borderId="106" xfId="0" applyNumberFormat="1" applyFont="1" applyBorder="1" applyAlignment="1">
      <alignment horizontal="center" vertical="center"/>
    </xf>
    <xf numFmtId="1" fontId="46" fillId="9" borderId="106" xfId="0" applyNumberFormat="1" applyFont="1" applyFill="1" applyBorder="1" applyAlignment="1">
      <alignment horizontal="center" vertical="center"/>
    </xf>
    <xf numFmtId="1" fontId="2" fillId="0" borderId="105" xfId="0" applyNumberFormat="1" applyFont="1" applyBorder="1" applyAlignment="1">
      <alignment horizontal="center" vertical="center"/>
    </xf>
    <xf numFmtId="0" fontId="2" fillId="0" borderId="94" xfId="0" quotePrefix="1" applyFont="1" applyBorder="1" applyAlignment="1">
      <alignment horizontal="center" vertical="center"/>
    </xf>
    <xf numFmtId="0" fontId="52" fillId="0" borderId="51" xfId="0" applyFont="1" applyBorder="1" applyAlignment="1">
      <alignment horizontal="center" vertical="center" shrinkToFit="1"/>
    </xf>
    <xf numFmtId="0" fontId="57" fillId="2" borderId="4" xfId="0" applyFont="1" applyFill="1" applyBorder="1" applyAlignment="1">
      <alignment horizontal="right" vertical="center"/>
    </xf>
    <xf numFmtId="0" fontId="20" fillId="2" borderId="108" xfId="0" applyFont="1" applyFill="1" applyBorder="1" applyAlignment="1">
      <alignment horizontal="left" vertical="center"/>
    </xf>
    <xf numFmtId="0" fontId="4" fillId="2" borderId="108" xfId="0" applyFont="1" applyFill="1" applyBorder="1" applyAlignment="1">
      <alignment horizontal="centerContinuous" vertical="center"/>
    </xf>
    <xf numFmtId="0" fontId="53" fillId="2" borderId="108" xfId="0" applyFont="1" applyFill="1" applyBorder="1" applyAlignment="1">
      <alignment horizontal="center" vertical="center"/>
    </xf>
    <xf numFmtId="0" fontId="55" fillId="2" borderId="109" xfId="1" applyFont="1" applyFill="1" applyBorder="1" applyAlignment="1" applyProtection="1">
      <alignment horizontal="right" vertical="center"/>
    </xf>
    <xf numFmtId="0" fontId="58" fillId="2" borderId="107" xfId="0" applyFont="1" applyFill="1" applyBorder="1" applyAlignment="1">
      <alignment horizontal="right" vertical="center"/>
    </xf>
    <xf numFmtId="0" fontId="58" fillId="2" borderId="108" xfId="0" applyFont="1" applyFill="1" applyBorder="1" applyAlignment="1">
      <alignment horizontal="left" vertical="center"/>
    </xf>
    <xf numFmtId="0" fontId="6" fillId="4" borderId="11" xfId="0" applyFont="1" applyFill="1" applyBorder="1" applyAlignment="1">
      <alignment horizontal="right" vertical="center"/>
    </xf>
    <xf numFmtId="0" fontId="6" fillId="4" borderId="97" xfId="0" applyFont="1" applyFill="1" applyBorder="1" applyAlignment="1">
      <alignment horizontal="right" vertical="center"/>
    </xf>
    <xf numFmtId="0" fontId="7" fillId="0" borderId="22" xfId="0" quotePrefix="1" applyFont="1" applyBorder="1" applyAlignment="1">
      <alignment horizontal="center" vertical="center"/>
    </xf>
    <xf numFmtId="0" fontId="49" fillId="0" borderId="28" xfId="0" applyFont="1" applyBorder="1" applyAlignment="1">
      <alignment horizontal="center" vertical="center"/>
    </xf>
    <xf numFmtId="0" fontId="7" fillId="0" borderId="56" xfId="0" applyFont="1" applyBorder="1" applyAlignment="1">
      <alignment horizontal="center" vertical="center"/>
    </xf>
    <xf numFmtId="0" fontId="50" fillId="0" borderId="28" xfId="0" applyFont="1" applyBorder="1" applyAlignment="1">
      <alignment horizontal="center" vertical="center"/>
    </xf>
    <xf numFmtId="0" fontId="7" fillId="6" borderId="24" xfId="0" applyFont="1" applyFill="1" applyBorder="1" applyAlignment="1">
      <alignment horizontal="center" vertical="center"/>
    </xf>
    <xf numFmtId="0" fontId="8" fillId="0" borderId="1" xfId="0" applyFont="1" applyBorder="1" applyAlignment="1">
      <alignment vertical="center"/>
    </xf>
    <xf numFmtId="49" fontId="18" fillId="0" borderId="23" xfId="0" applyNumberFormat="1" applyFont="1" applyBorder="1" applyAlignment="1">
      <alignment horizontal="center" vertical="center"/>
    </xf>
    <xf numFmtId="0" fontId="18" fillId="0" borderId="24" xfId="0" applyFont="1" applyBorder="1" applyAlignment="1">
      <alignment horizontal="center" vertical="center"/>
    </xf>
    <xf numFmtId="0" fontId="8" fillId="0" borderId="24" xfId="0" applyFont="1" applyBorder="1" applyAlignment="1">
      <alignment horizontal="center" vertical="center"/>
    </xf>
    <xf numFmtId="0" fontId="7" fillId="6" borderId="25" xfId="0" quotePrefix="1" applyFont="1" applyFill="1" applyBorder="1" applyAlignment="1">
      <alignment horizontal="center" vertical="center"/>
    </xf>
    <xf numFmtId="0" fontId="59" fillId="2" borderId="110" xfId="8" applyFont="1" applyFill="1" applyBorder="1" applyAlignment="1">
      <alignment horizontal="right" vertical="center"/>
    </xf>
    <xf numFmtId="0" fontId="20" fillId="2" borderId="111" xfId="8" applyFont="1" applyFill="1" applyBorder="1" applyAlignment="1">
      <alignment horizontal="left" vertical="center"/>
    </xf>
    <xf numFmtId="0" fontId="2" fillId="2" borderId="111" xfId="8" applyFill="1" applyBorder="1" applyAlignment="1">
      <alignment horizontal="left" vertical="center"/>
    </xf>
    <xf numFmtId="0" fontId="4" fillId="2" borderId="111" xfId="8" applyFont="1" applyFill="1" applyBorder="1" applyAlignment="1">
      <alignment horizontal="centerContinuous" vertical="center"/>
    </xf>
    <xf numFmtId="0" fontId="60" fillId="2" borderId="112" xfId="8" applyFont="1" applyFill="1" applyBorder="1" applyAlignment="1">
      <alignment horizontal="right" vertical="center"/>
    </xf>
    <xf numFmtId="0" fontId="2" fillId="0" borderId="0" xfId="8" applyAlignment="1">
      <alignment vertical="center"/>
    </xf>
    <xf numFmtId="0" fontId="6" fillId="0" borderId="1" xfId="8" applyFont="1" applyBorder="1" applyAlignment="1">
      <alignment horizontal="right" vertical="center"/>
    </xf>
    <xf numFmtId="0" fontId="7" fillId="0" borderId="0" xfId="8" applyFont="1" applyAlignment="1">
      <alignment horizontal="centerContinuous" vertical="center"/>
    </xf>
    <xf numFmtId="0" fontId="6" fillId="0" borderId="0" xfId="8" applyFont="1" applyAlignment="1">
      <alignment horizontal="right" vertical="center"/>
    </xf>
    <xf numFmtId="0" fontId="7" fillId="0" borderId="0" xfId="8" applyFont="1" applyAlignment="1">
      <alignment horizontal="center" vertical="center"/>
    </xf>
    <xf numFmtId="49" fontId="7" fillId="0" borderId="2" xfId="8" quotePrefix="1" applyNumberFormat="1" applyFont="1" applyBorder="1" applyAlignment="1">
      <alignment horizontal="center" vertical="center"/>
    </xf>
    <xf numFmtId="0" fontId="6" fillId="0" borderId="8" xfId="8" applyFont="1" applyBorder="1" applyAlignment="1">
      <alignment horizontal="right" vertical="center"/>
    </xf>
    <xf numFmtId="0" fontId="61" fillId="0" borderId="9" xfId="8" applyFont="1" applyBorder="1" applyAlignment="1">
      <alignment horizontal="centerContinuous" vertical="center"/>
    </xf>
    <xf numFmtId="0" fontId="7" fillId="0" borderId="9" xfId="8" applyFont="1" applyBorder="1" applyAlignment="1">
      <alignment horizontal="centerContinuous" vertical="center"/>
    </xf>
    <xf numFmtId="0" fontId="6" fillId="0" borderId="9" xfId="8" applyFont="1" applyBorder="1" applyAlignment="1">
      <alignment horizontal="right" vertical="center"/>
    </xf>
    <xf numFmtId="0" fontId="7" fillId="0" borderId="9" xfId="8" applyFont="1" applyBorder="1" applyAlignment="1">
      <alignment horizontal="center" vertical="center"/>
    </xf>
    <xf numFmtId="0" fontId="7" fillId="0" borderId="10" xfId="8" applyFont="1" applyBorder="1" applyAlignment="1">
      <alignment horizontal="center" vertical="center"/>
    </xf>
    <xf numFmtId="0" fontId="8" fillId="2" borderId="14" xfId="8" applyFont="1" applyFill="1" applyBorder="1" applyAlignment="1">
      <alignment horizontal="right" vertical="center"/>
    </xf>
    <xf numFmtId="0" fontId="7" fillId="0" borderId="15" xfId="8" applyFont="1" applyBorder="1" applyAlignment="1">
      <alignment horizontal="center" vertical="center"/>
    </xf>
    <xf numFmtId="0" fontId="26" fillId="0" borderId="64" xfId="8" applyFont="1" applyBorder="1" applyAlignment="1">
      <alignment horizontal="center" vertical="center"/>
    </xf>
    <xf numFmtId="0" fontId="8" fillId="4" borderId="113" xfId="8" applyFont="1" applyFill="1" applyBorder="1" applyAlignment="1">
      <alignment horizontal="right" vertical="center"/>
    </xf>
    <xf numFmtId="0" fontId="13" fillId="2" borderId="115" xfId="8" applyFont="1" applyFill="1" applyBorder="1" applyAlignment="1">
      <alignment horizontal="right" vertical="center"/>
    </xf>
    <xf numFmtId="0" fontId="7" fillId="0" borderId="116" xfId="8" applyFont="1" applyBorder="1" applyAlignment="1">
      <alignment horizontal="center" vertical="center"/>
    </xf>
    <xf numFmtId="0" fontId="26" fillId="0" borderId="117" xfId="8" applyFont="1" applyBorder="1" applyAlignment="1">
      <alignment horizontal="center" vertical="center"/>
    </xf>
    <xf numFmtId="49" fontId="7" fillId="0" borderId="114" xfId="8" applyNumberFormat="1" applyFont="1" applyBorder="1" applyAlignment="1">
      <alignment horizontal="center" vertical="center"/>
    </xf>
    <xf numFmtId="0" fontId="7" fillId="0" borderId="2" xfId="8" applyFont="1" applyBorder="1" applyAlignment="1">
      <alignment horizontal="center" vertical="center"/>
    </xf>
    <xf numFmtId="0" fontId="10" fillId="2" borderId="115" xfId="8" applyFont="1" applyFill="1" applyBorder="1" applyAlignment="1">
      <alignment horizontal="right" vertical="center"/>
    </xf>
    <xf numFmtId="0" fontId="7" fillId="0" borderId="114" xfId="8" applyFont="1" applyBorder="1" applyAlignment="1">
      <alignment horizontal="center" vertical="center"/>
    </xf>
    <xf numFmtId="0" fontId="8" fillId="0" borderId="1" xfId="8" applyFont="1" applyBorder="1" applyAlignment="1">
      <alignment horizontal="right" vertical="center"/>
    </xf>
    <xf numFmtId="0" fontId="11" fillId="2" borderId="115" xfId="8" applyFont="1" applyFill="1" applyBorder="1" applyAlignment="1">
      <alignment horizontal="right" vertical="center"/>
    </xf>
    <xf numFmtId="0" fontId="11" fillId="0" borderId="1" xfId="8" applyFont="1" applyBorder="1" applyAlignment="1">
      <alignment horizontal="right" vertical="center"/>
    </xf>
    <xf numFmtId="0" fontId="22" fillId="2" borderId="115" xfId="8" applyFont="1" applyFill="1" applyBorder="1" applyAlignment="1">
      <alignment horizontal="right" vertical="center"/>
    </xf>
    <xf numFmtId="0" fontId="26" fillId="0" borderId="116" xfId="8" applyFont="1" applyBorder="1" applyAlignment="1">
      <alignment horizontal="center" vertical="center"/>
    </xf>
    <xf numFmtId="0" fontId="62" fillId="4" borderId="118" xfId="8" applyFont="1" applyFill="1" applyBorder="1" applyAlignment="1">
      <alignment horizontal="right" vertical="center"/>
    </xf>
    <xf numFmtId="0" fontId="14" fillId="2" borderId="16" xfId="8" applyFont="1" applyFill="1" applyBorder="1" applyAlignment="1">
      <alignment horizontal="right" vertical="center"/>
    </xf>
    <xf numFmtId="0" fontId="7" fillId="0" borderId="22" xfId="8" applyFont="1" applyBorder="1" applyAlignment="1">
      <alignment horizontal="center" vertical="center"/>
    </xf>
    <xf numFmtId="0" fontId="26" fillId="0" borderId="22" xfId="8" applyFont="1" applyBorder="1" applyAlignment="1">
      <alignment horizontal="center" vertical="center"/>
    </xf>
    <xf numFmtId="0" fontId="10" fillId="4" borderId="119" xfId="8" applyFont="1" applyFill="1" applyBorder="1" applyAlignment="1">
      <alignment horizontal="right" vertical="center"/>
    </xf>
    <xf numFmtId="0" fontId="7" fillId="0" borderId="13" xfId="8" applyFont="1" applyBorder="1" applyAlignment="1">
      <alignment horizontal="center" vertical="center"/>
    </xf>
    <xf numFmtId="0" fontId="7" fillId="0" borderId="0" xfId="8" applyFont="1" applyAlignment="1">
      <alignment horizontal="left" vertical="center"/>
    </xf>
    <xf numFmtId="0" fontId="7" fillId="0" borderId="2" xfId="8" applyFont="1" applyBorder="1" applyAlignment="1">
      <alignment horizontal="left" vertical="center"/>
    </xf>
    <xf numFmtId="0" fontId="11" fillId="0" borderId="0" xfId="8" applyFont="1" applyAlignment="1">
      <alignment horizontal="right" vertical="center"/>
    </xf>
    <xf numFmtId="0" fontId="7" fillId="0" borderId="8" xfId="8" applyFont="1" applyBorder="1" applyAlignment="1">
      <alignment vertical="center"/>
    </xf>
    <xf numFmtId="0" fontId="7" fillId="0" borderId="9" xfId="8" applyFont="1" applyBorder="1" applyAlignment="1">
      <alignment vertical="center"/>
    </xf>
    <xf numFmtId="0" fontId="7" fillId="0" borderId="10" xfId="8" applyFont="1" applyBorder="1" applyAlignment="1">
      <alignment vertical="center"/>
    </xf>
    <xf numFmtId="0" fontId="4" fillId="0" borderId="0" xfId="8" applyFont="1" applyAlignment="1">
      <alignment horizontal="right" vertical="center"/>
    </xf>
    <xf numFmtId="0" fontId="2" fillId="0" borderId="0" xfId="8" applyAlignment="1">
      <alignment horizontal="left" vertical="center"/>
    </xf>
    <xf numFmtId="164" fontId="2" fillId="0" borderId="31" xfId="0" applyNumberFormat="1" applyFont="1" applyBorder="1" applyAlignment="1">
      <alignment horizontal="center" vertical="center" shrinkToFit="1"/>
    </xf>
    <xf numFmtId="1" fontId="7" fillId="0" borderId="120" xfId="8" applyNumberFormat="1" applyFont="1" applyBorder="1" applyAlignment="1">
      <alignment horizontal="center" vertical="center"/>
    </xf>
    <xf numFmtId="49" fontId="7" fillId="0" borderId="125" xfId="8" applyNumberFormat="1" applyFont="1" applyBorder="1" applyAlignment="1">
      <alignment horizontal="center" vertical="center"/>
    </xf>
    <xf numFmtId="0" fontId="7" fillId="0" borderId="124" xfId="8" applyFont="1" applyBorder="1" applyAlignment="1">
      <alignment horizontal="center" vertical="center"/>
    </xf>
    <xf numFmtId="0" fontId="63" fillId="4" borderId="113" xfId="8" applyFont="1" applyFill="1" applyBorder="1" applyAlignment="1">
      <alignment horizontal="right" vertical="center"/>
    </xf>
    <xf numFmtId="0" fontId="63" fillId="0" borderId="121" xfId="8" applyFont="1" applyBorder="1" applyAlignment="1">
      <alignment horizontal="center" vertical="center"/>
    </xf>
    <xf numFmtId="0" fontId="63" fillId="0" borderId="122" xfId="8"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23" xfId="0" quotePrefix="1" applyFont="1" applyBorder="1" applyAlignment="1">
      <alignment horizontal="center" vertical="center" wrapText="1"/>
    </xf>
    <xf numFmtId="49" fontId="2" fillId="0" borderId="23" xfId="2" applyNumberFormat="1" applyFont="1" applyFill="1" applyBorder="1" applyAlignment="1">
      <alignment horizontal="center" vertical="center"/>
    </xf>
    <xf numFmtId="0" fontId="2" fillId="0" borderId="23" xfId="0" applyFont="1" applyBorder="1" applyAlignment="1">
      <alignment horizontal="center" vertical="center" shrinkToFit="1"/>
    </xf>
    <xf numFmtId="164" fontId="2" fillId="8" borderId="23" xfId="0" applyNumberFormat="1" applyFont="1" applyFill="1" applyBorder="1" applyAlignment="1">
      <alignment horizontal="center" vertical="center"/>
    </xf>
    <xf numFmtId="164" fontId="5" fillId="0" borderId="24" xfId="0" applyNumberFormat="1" applyFont="1" applyBorder="1" applyAlignment="1">
      <alignment horizontal="center" vertical="center"/>
    </xf>
    <xf numFmtId="1" fontId="46" fillId="9" borderId="24" xfId="0" applyNumberFormat="1" applyFont="1" applyFill="1" applyBorder="1" applyAlignment="1">
      <alignment horizontal="center" vertical="center"/>
    </xf>
    <xf numFmtId="1" fontId="2" fillId="0" borderId="23" xfId="0" applyNumberFormat="1" applyFont="1" applyBorder="1" applyAlignment="1">
      <alignment horizontal="center" vertical="center"/>
    </xf>
    <xf numFmtId="0" fontId="2" fillId="0" borderId="25" xfId="0" applyFont="1" applyBorder="1" applyAlignment="1">
      <alignment horizontal="center" vertical="center"/>
    </xf>
    <xf numFmtId="1" fontId="2" fillId="0" borderId="126" xfId="0" applyNumberFormat="1" applyFont="1" applyBorder="1" applyAlignment="1">
      <alignment horizontal="center" vertical="center"/>
    </xf>
    <xf numFmtId="0" fontId="2" fillId="0" borderId="127" xfId="0" applyFont="1" applyBorder="1" applyAlignment="1">
      <alignment horizontal="centerContinuous" vertical="center"/>
    </xf>
    <xf numFmtId="0" fontId="5" fillId="0" borderId="97" xfId="0" applyFont="1" applyBorder="1" applyAlignment="1">
      <alignment horizontal="centerContinuous" vertical="center"/>
    </xf>
    <xf numFmtId="0" fontId="7" fillId="0" borderId="123" xfId="8" applyFont="1" applyBorder="1" applyAlignment="1">
      <alignment horizontal="center" vertical="center"/>
    </xf>
    <xf numFmtId="0" fontId="6" fillId="0" borderId="128" xfId="0" applyFont="1" applyBorder="1" applyAlignment="1">
      <alignment horizontal="centerContinuous" vertical="center" shrinkToFit="1"/>
    </xf>
    <xf numFmtId="0" fontId="65" fillId="0" borderId="129" xfId="0" applyFont="1" applyBorder="1" applyAlignment="1">
      <alignment horizontal="centerContinuous" vertical="top" shrinkToFit="1"/>
    </xf>
    <xf numFmtId="0" fontId="7" fillId="0" borderId="51" xfId="0" quotePrefix="1" applyFont="1" applyBorder="1" applyAlignment="1">
      <alignment horizontal="center" vertical="center" shrinkToFit="1"/>
    </xf>
    <xf numFmtId="0" fontId="66" fillId="0" borderId="28" xfId="0" applyFont="1" applyBorder="1" applyAlignment="1">
      <alignment horizontal="centerContinuous" vertical="center"/>
    </xf>
    <xf numFmtId="0" fontId="67" fillId="0" borderId="0" xfId="0" applyFont="1" applyAlignment="1">
      <alignment horizontal="centerContinuous" vertical="center" wrapText="1"/>
    </xf>
    <xf numFmtId="0" fontId="69" fillId="0" borderId="0" xfId="0" applyFont="1" applyAlignment="1">
      <alignment horizontal="centerContinuous" vertical="center" wrapText="1"/>
    </xf>
    <xf numFmtId="0" fontId="64" fillId="0" borderId="17" xfId="0" applyFont="1" applyBorder="1" applyAlignment="1">
      <alignment horizontal="center" vertical="center"/>
    </xf>
    <xf numFmtId="0" fontId="64" fillId="0" borderId="130" xfId="0" applyFont="1" applyBorder="1" applyAlignment="1">
      <alignment horizontal="center" vertical="center"/>
    </xf>
    <xf numFmtId="0" fontId="64" fillId="0" borderId="131" xfId="0" applyFont="1" applyBorder="1" applyAlignment="1">
      <alignment horizontal="center" vertical="center"/>
    </xf>
    <xf numFmtId="0" fontId="64" fillId="0" borderId="132" xfId="0" applyFont="1" applyBorder="1" applyAlignment="1">
      <alignment horizontal="center" vertical="center"/>
    </xf>
    <xf numFmtId="0" fontId="0" fillId="0" borderId="133" xfId="0" applyBorder="1" applyAlignment="1">
      <alignment horizontal="center" vertical="center"/>
    </xf>
    <xf numFmtId="1" fontId="0" fillId="0" borderId="134" xfId="0" applyNumberFormat="1" applyBorder="1" applyAlignment="1">
      <alignment horizontal="center" vertical="center"/>
    </xf>
    <xf numFmtId="1" fontId="0" fillId="0" borderId="36" xfId="0" applyNumberFormat="1" applyBorder="1" applyAlignment="1">
      <alignment horizontal="center" vertical="center"/>
    </xf>
    <xf numFmtId="0" fontId="0" fillId="8" borderId="48" xfId="0" applyFill="1" applyBorder="1" applyAlignment="1">
      <alignment horizontal="center" vertical="center"/>
    </xf>
    <xf numFmtId="0" fontId="0" fillId="8" borderId="47" xfId="0" applyFill="1" applyBorder="1" applyAlignment="1">
      <alignment horizontal="center" vertical="center"/>
    </xf>
    <xf numFmtId="0" fontId="0" fillId="0" borderId="135" xfId="0" applyBorder="1" applyAlignment="1">
      <alignment horizontal="center" vertical="center"/>
    </xf>
    <xf numFmtId="1" fontId="0" fillId="0" borderId="85" xfId="0" applyNumberFormat="1" applyBorder="1" applyAlignment="1">
      <alignment horizontal="center" vertical="center"/>
    </xf>
    <xf numFmtId="0" fontId="0" fillId="8" borderId="36" xfId="0" applyFill="1" applyBorder="1" applyAlignment="1">
      <alignment horizontal="center" vertical="center"/>
    </xf>
    <xf numFmtId="0" fontId="0" fillId="8" borderId="38" xfId="0" applyFill="1" applyBorder="1" applyAlignment="1">
      <alignment horizontal="center" vertical="center"/>
    </xf>
    <xf numFmtId="0" fontId="0" fillId="0" borderId="36" xfId="0" applyBorder="1" applyAlignment="1">
      <alignment horizontal="center" vertical="center"/>
    </xf>
    <xf numFmtId="0" fontId="70" fillId="8" borderId="42" xfId="0" applyFont="1" applyFill="1" applyBorder="1" applyAlignment="1">
      <alignment horizontal="center" vertical="center"/>
    </xf>
    <xf numFmtId="0" fontId="0" fillId="8" borderId="42" xfId="0" applyFill="1" applyBorder="1" applyAlignment="1">
      <alignment horizontal="center" vertical="center"/>
    </xf>
    <xf numFmtId="0" fontId="0" fillId="0" borderId="42" xfId="0" applyBorder="1" applyAlignment="1">
      <alignment horizontal="center" vertical="center"/>
    </xf>
    <xf numFmtId="0" fontId="0" fillId="0" borderId="136" xfId="0" applyBorder="1" applyAlignment="1">
      <alignment horizontal="center" vertical="center"/>
    </xf>
    <xf numFmtId="1" fontId="0" fillId="0" borderId="86" xfId="0" applyNumberFormat="1" applyBorder="1" applyAlignment="1">
      <alignment horizontal="center" vertical="center"/>
    </xf>
    <xf numFmtId="1" fontId="0" fillId="0" borderId="44" xfId="0" applyNumberFormat="1"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2" fillId="0" borderId="0" xfId="0" applyFont="1" applyAlignment="1">
      <alignment horizontal="center" vertical="center" wrapText="1"/>
    </xf>
    <xf numFmtId="0" fontId="4" fillId="0" borderId="137" xfId="0" applyFont="1" applyBorder="1" applyAlignment="1">
      <alignment horizontal="right" vertical="center"/>
    </xf>
    <xf numFmtId="0" fontId="2" fillId="0" borderId="138" xfId="0" applyFont="1" applyBorder="1" applyAlignment="1">
      <alignment horizontal="center" vertical="center" wrapText="1"/>
    </xf>
    <xf numFmtId="0" fontId="2" fillId="0" borderId="139" xfId="0" applyFont="1" applyBorder="1" applyAlignment="1">
      <alignment horizontal="center" vertical="center" wrapText="1"/>
    </xf>
    <xf numFmtId="0" fontId="2" fillId="10" borderId="139" xfId="0" applyFont="1" applyFill="1" applyBorder="1" applyAlignment="1">
      <alignment horizontal="center" vertical="center" wrapText="1"/>
    </xf>
    <xf numFmtId="0" fontId="2" fillId="10" borderId="140" xfId="0" applyFont="1" applyFill="1" applyBorder="1" applyAlignment="1">
      <alignment horizontal="center" vertical="center" wrapText="1"/>
    </xf>
    <xf numFmtId="0" fontId="4" fillId="0" borderId="31" xfId="0" applyFont="1" applyBorder="1" applyAlignment="1">
      <alignment horizontal="right" vertical="center"/>
    </xf>
    <xf numFmtId="0" fontId="2" fillId="0" borderId="85" xfId="0" applyFont="1" applyBorder="1" applyAlignment="1">
      <alignment horizontal="center" vertical="center" wrapText="1"/>
    </xf>
    <xf numFmtId="0" fontId="2" fillId="10" borderId="85"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4" fillId="0" borderId="141" xfId="0" applyFont="1" applyBorder="1" applyAlignment="1">
      <alignment horizontal="right" vertical="center"/>
    </xf>
    <xf numFmtId="0" fontId="71" fillId="11" borderId="142" xfId="0" applyFont="1" applyFill="1" applyBorder="1" applyAlignment="1">
      <alignment horizontal="center" vertical="center" wrapText="1"/>
    </xf>
    <xf numFmtId="0" fontId="71" fillId="10" borderId="142" xfId="0" applyFont="1" applyFill="1" applyBorder="1" applyAlignment="1">
      <alignment horizontal="center" vertical="center" wrapText="1"/>
    </xf>
    <xf numFmtId="0" fontId="71" fillId="10" borderId="143" xfId="0" applyFont="1" applyFill="1" applyBorder="1" applyAlignment="1">
      <alignment horizontal="center" vertical="center" wrapText="1"/>
    </xf>
    <xf numFmtId="0" fontId="4" fillId="0" borderId="57" xfId="0" applyFont="1" applyBorder="1" applyAlignment="1">
      <alignment horizontal="right" vertical="center"/>
    </xf>
    <xf numFmtId="49" fontId="2" fillId="0" borderId="134" xfId="0" applyNumberFormat="1" applyFont="1" applyBorder="1" applyAlignment="1">
      <alignment horizontal="center" vertical="center" wrapText="1"/>
    </xf>
    <xf numFmtId="49" fontId="2" fillId="10" borderId="134" xfId="0" applyNumberFormat="1" applyFont="1" applyFill="1" applyBorder="1" applyAlignment="1">
      <alignment horizontal="center" vertical="center" wrapText="1"/>
    </xf>
    <xf numFmtId="49" fontId="2" fillId="10" borderId="47" xfId="0" applyNumberFormat="1" applyFont="1" applyFill="1" applyBorder="1" applyAlignment="1">
      <alignment horizontal="center" vertical="center" wrapText="1"/>
    </xf>
    <xf numFmtId="0" fontId="4" fillId="0" borderId="51" xfId="0" applyFont="1" applyBorder="1" applyAlignment="1">
      <alignment horizontal="right" vertical="center"/>
    </xf>
    <xf numFmtId="0" fontId="71" fillId="10" borderId="86" xfId="0" applyFont="1" applyFill="1" applyBorder="1" applyAlignment="1">
      <alignment horizontal="center" vertical="center" wrapText="1"/>
    </xf>
    <xf numFmtId="0" fontId="71" fillId="10" borderId="46" xfId="0" applyFont="1" applyFill="1" applyBorder="1" applyAlignment="1">
      <alignment horizontal="center" vertical="center" wrapText="1"/>
    </xf>
    <xf numFmtId="0" fontId="2" fillId="0" borderId="0" xfId="0" applyFont="1" applyAlignment="1">
      <alignment vertical="center" wrapText="1"/>
    </xf>
    <xf numFmtId="0" fontId="4" fillId="0" borderId="16" xfId="0" applyFont="1" applyBorder="1" applyAlignment="1">
      <alignment horizontal="center" vertical="center"/>
    </xf>
    <xf numFmtId="0" fontId="2" fillId="0" borderId="9" xfId="0" applyFont="1" applyBorder="1" applyAlignment="1">
      <alignment horizontal="centerContinuous" vertical="center" wrapText="1"/>
    </xf>
    <xf numFmtId="0" fontId="4" fillId="0" borderId="50" xfId="0" applyFont="1" applyBorder="1" applyAlignment="1">
      <alignment horizontal="centerContinuous" vertical="center" wrapText="1"/>
    </xf>
    <xf numFmtId="0" fontId="2" fillId="0" borderId="10" xfId="0" applyFont="1" applyBorder="1" applyAlignment="1">
      <alignment horizontal="centerContinuous" vertical="center" wrapText="1"/>
    </xf>
    <xf numFmtId="0" fontId="71" fillId="11" borderId="86" xfId="0" applyFont="1" applyFill="1" applyBorder="1" applyAlignment="1">
      <alignment horizontal="center" vertical="center" wrapText="1"/>
    </xf>
    <xf numFmtId="0" fontId="71" fillId="11" borderId="63" xfId="0" applyFont="1" applyFill="1" applyBorder="1" applyAlignment="1">
      <alignment horizontal="center" vertical="center"/>
    </xf>
    <xf numFmtId="0" fontId="71" fillId="11" borderId="81" xfId="0" applyFont="1" applyFill="1" applyBorder="1" applyAlignment="1">
      <alignment horizontal="centerContinuous" vertical="center"/>
    </xf>
    <xf numFmtId="0" fontId="71" fillId="11" borderId="80" xfId="0" applyFont="1" applyFill="1" applyBorder="1" applyAlignment="1">
      <alignment horizontal="centerContinuous" vertical="center"/>
    </xf>
    <xf numFmtId="0" fontId="71" fillId="11" borderId="82" xfId="0" applyFont="1" applyFill="1" applyBorder="1" applyAlignment="1">
      <alignment horizontal="centerContinuous" vertical="center"/>
    </xf>
    <xf numFmtId="0" fontId="72" fillId="0" borderId="5" xfId="0" applyFont="1" applyBorder="1" applyAlignment="1">
      <alignment horizontal="centerContinuous" vertical="center"/>
    </xf>
    <xf numFmtId="0" fontId="72" fillId="0" borderId="6" xfId="0" applyFont="1" applyBorder="1" applyAlignment="1">
      <alignment horizontal="centerContinuous" vertical="center"/>
    </xf>
    <xf numFmtId="0" fontId="70" fillId="0" borderId="6" xfId="0" applyFont="1" applyBorder="1" applyAlignment="1">
      <alignment horizontal="centerContinuous" vertical="center" wrapText="1"/>
    </xf>
    <xf numFmtId="0" fontId="70" fillId="0" borderId="7" xfId="0" applyFont="1" applyBorder="1" applyAlignment="1">
      <alignment horizontal="centerContinuous" vertical="center" wrapText="1"/>
    </xf>
    <xf numFmtId="0" fontId="72" fillId="0" borderId="8" xfId="0" applyFont="1" applyBorder="1" applyAlignment="1">
      <alignment horizontal="center" vertical="center"/>
    </xf>
    <xf numFmtId="0" fontId="72" fillId="0" borderId="9" xfId="0" applyFont="1" applyBorder="1" applyAlignment="1">
      <alignment horizontal="center" vertical="center"/>
    </xf>
    <xf numFmtId="0" fontId="72" fillId="0" borderId="10" xfId="0" applyFont="1" applyBorder="1" applyAlignment="1">
      <alignment horizontal="center" vertical="center"/>
    </xf>
    <xf numFmtId="0" fontId="73" fillId="0" borderId="21" xfId="5" applyFont="1" applyBorder="1" applyAlignment="1">
      <alignment horizontal="centerContinuous" wrapText="1"/>
    </xf>
    <xf numFmtId="0" fontId="16" fillId="0" borderId="0" xfId="5" applyFont="1" applyAlignment="1">
      <alignment horizontal="centerContinuous" wrapText="1"/>
    </xf>
    <xf numFmtId="0" fontId="2" fillId="0" borderId="0" xfId="5" applyAlignment="1">
      <alignment wrapText="1"/>
    </xf>
    <xf numFmtId="0" fontId="12" fillId="9" borderId="144" xfId="5" applyFont="1" applyFill="1" applyBorder="1" applyAlignment="1">
      <alignment horizontal="centerContinuous" vertical="center" wrapText="1"/>
    </xf>
    <xf numFmtId="0" fontId="12" fillId="9" borderId="145" xfId="5" applyFont="1" applyFill="1" applyBorder="1" applyAlignment="1">
      <alignment horizontal="center" vertical="center" wrapText="1"/>
    </xf>
    <xf numFmtId="0" fontId="21" fillId="9" borderId="145" xfId="5" applyFont="1" applyFill="1" applyBorder="1" applyAlignment="1">
      <alignment horizontal="center" vertical="center" wrapText="1"/>
    </xf>
    <xf numFmtId="0" fontId="12" fillId="9" borderId="145" xfId="0" applyFont="1" applyFill="1" applyBorder="1" applyAlignment="1">
      <alignment horizontal="center" vertical="center" wrapText="1"/>
    </xf>
    <xf numFmtId="0" fontId="12" fillId="9" borderId="146" xfId="0" applyFont="1" applyFill="1" applyBorder="1" applyAlignment="1">
      <alignment horizontal="centerContinuous" vertical="center" wrapText="1"/>
    </xf>
    <xf numFmtId="0" fontId="74" fillId="0" borderId="0" xfId="0" applyFont="1" applyAlignment="1">
      <alignment vertical="center"/>
    </xf>
    <xf numFmtId="0" fontId="4" fillId="0" borderId="0" xfId="5" applyFont="1" applyAlignment="1">
      <alignment vertical="center" wrapText="1"/>
    </xf>
    <xf numFmtId="0" fontId="75" fillId="0" borderId="1" xfId="5" applyFont="1" applyBorder="1" applyAlignment="1">
      <alignment horizontal="center" shrinkToFit="1"/>
    </xf>
    <xf numFmtId="0" fontId="7" fillId="0" borderId="23" xfId="5" applyFont="1" applyBorder="1" applyAlignment="1">
      <alignment horizontal="center" wrapText="1"/>
    </xf>
    <xf numFmtId="0" fontId="7" fillId="0" borderId="23" xfId="0" applyFont="1" applyBorder="1" applyAlignment="1">
      <alignment horizontal="center" vertical="center" shrinkToFit="1"/>
    </xf>
    <xf numFmtId="9" fontId="7" fillId="0" borderId="24" xfId="2" applyFont="1" applyFill="1" applyBorder="1" applyAlignment="1">
      <alignment horizontal="center" vertical="center" shrinkToFit="1"/>
    </xf>
    <xf numFmtId="0" fontId="7" fillId="0" borderId="24" xfId="0" applyFont="1" applyBorder="1" applyAlignment="1">
      <alignment horizontal="center" vertical="center" shrinkToFit="1"/>
    </xf>
    <xf numFmtId="0" fontId="7" fillId="0" borderId="24" xfId="2" applyNumberFormat="1" applyFont="1" applyFill="1" applyBorder="1" applyAlignment="1">
      <alignment horizontal="center" vertical="center" shrinkToFit="1"/>
    </xf>
    <xf numFmtId="0" fontId="7" fillId="0" borderId="25" xfId="0" applyFont="1" applyBorder="1" applyAlignment="1">
      <alignment horizontal="center" vertical="center" wrapText="1"/>
    </xf>
    <xf numFmtId="0" fontId="4" fillId="0" borderId="0" xfId="5" applyFont="1" applyAlignment="1">
      <alignment wrapText="1"/>
    </xf>
    <xf numFmtId="9" fontId="7" fillId="0" borderId="23" xfId="2" applyFont="1" applyBorder="1" applyAlignment="1">
      <alignment horizontal="center" shrinkToFit="1"/>
    </xf>
    <xf numFmtId="0" fontId="7" fillId="0" borderId="24" xfId="2" applyNumberFormat="1" applyFont="1" applyBorder="1" applyAlignment="1">
      <alignment horizontal="center" shrinkToFit="1"/>
    </xf>
    <xf numFmtId="9" fontId="7" fillId="0" borderId="24" xfId="2" applyFont="1" applyBorder="1" applyAlignment="1">
      <alignment horizontal="center" shrinkToFit="1"/>
    </xf>
    <xf numFmtId="9" fontId="7" fillId="0" borderId="23" xfId="2" applyFont="1" applyFill="1" applyBorder="1" applyAlignment="1">
      <alignment horizontal="center" vertical="center" shrinkToFit="1"/>
    </xf>
    <xf numFmtId="0" fontId="7" fillId="0" borderId="25" xfId="0" applyFont="1" applyBorder="1" applyAlignment="1">
      <alignment horizontal="center" vertical="center" shrinkToFit="1"/>
    </xf>
    <xf numFmtId="0" fontId="75" fillId="10" borderId="1" xfId="5" applyFont="1" applyFill="1" applyBorder="1" applyAlignment="1">
      <alignment horizontal="center" shrinkToFit="1"/>
    </xf>
    <xf numFmtId="0" fontId="7" fillId="10" borderId="23" xfId="5" applyFont="1" applyFill="1" applyBorder="1" applyAlignment="1">
      <alignment horizontal="center" wrapText="1"/>
    </xf>
    <xf numFmtId="9" fontId="7" fillId="10" borderId="24" xfId="2" applyFont="1" applyFill="1" applyBorder="1" applyAlignment="1">
      <alignment horizontal="center" vertical="center" shrinkToFit="1"/>
    </xf>
    <xf numFmtId="0" fontId="7" fillId="10" borderId="24" xfId="0" applyFont="1" applyFill="1" applyBorder="1" applyAlignment="1">
      <alignment horizontal="center" vertical="center" shrinkToFit="1"/>
    </xf>
    <xf numFmtId="0" fontId="7" fillId="10" borderId="24" xfId="2" applyNumberFormat="1" applyFont="1" applyFill="1" applyBorder="1" applyAlignment="1">
      <alignment horizontal="center" vertical="center" shrinkToFit="1"/>
    </xf>
    <xf numFmtId="0" fontId="7" fillId="10" borderId="25" xfId="0" applyFont="1" applyFill="1" applyBorder="1" applyAlignment="1">
      <alignment horizontal="center" vertical="center" wrapText="1"/>
    </xf>
    <xf numFmtId="0" fontId="75" fillId="10" borderId="60" xfId="5" applyFont="1" applyFill="1" applyBorder="1" applyAlignment="1">
      <alignment horizontal="center" shrinkToFit="1"/>
    </xf>
    <xf numFmtId="0" fontId="7" fillId="10" borderId="61" xfId="5" applyFont="1" applyFill="1" applyBorder="1" applyAlignment="1">
      <alignment horizontal="center" wrapText="1"/>
    </xf>
    <xf numFmtId="9" fontId="7" fillId="10" borderId="61" xfId="2" applyFont="1" applyFill="1" applyBorder="1" applyAlignment="1">
      <alignment horizontal="center" shrinkToFit="1"/>
    </xf>
    <xf numFmtId="9" fontId="7" fillId="10" borderId="15" xfId="2" applyFont="1" applyFill="1" applyBorder="1" applyAlignment="1">
      <alignment horizontal="center" shrinkToFit="1"/>
    </xf>
    <xf numFmtId="0" fontId="7" fillId="10" borderId="15" xfId="2" applyNumberFormat="1" applyFont="1" applyFill="1" applyBorder="1" applyAlignment="1">
      <alignment horizontal="center" shrinkToFit="1"/>
    </xf>
    <xf numFmtId="0" fontId="7" fillId="10" borderId="15" xfId="2" applyNumberFormat="1" applyFont="1" applyFill="1" applyBorder="1" applyAlignment="1">
      <alignment horizontal="center" vertical="center" shrinkToFit="1"/>
    </xf>
    <xf numFmtId="0" fontId="7" fillId="10" borderId="29" xfId="0" applyFont="1" applyFill="1" applyBorder="1" applyAlignment="1">
      <alignment horizontal="center" vertical="center" wrapText="1"/>
    </xf>
    <xf numFmtId="0" fontId="4" fillId="0" borderId="0" xfId="5" applyFont="1" applyAlignment="1">
      <alignment horizontal="right" wrapText="1"/>
    </xf>
    <xf numFmtId="0" fontId="2" fillId="0" borderId="0" xfId="5" applyAlignment="1">
      <alignment horizontal="left" wrapText="1"/>
    </xf>
    <xf numFmtId="0" fontId="75" fillId="0" borderId="8" xfId="5" applyFont="1" applyBorder="1" applyAlignment="1">
      <alignment horizontal="center" shrinkToFit="1"/>
    </xf>
    <xf numFmtId="0" fontId="7" fillId="0" borderId="49" xfId="5" applyFont="1" applyBorder="1" applyAlignment="1">
      <alignment horizontal="center" wrapText="1"/>
    </xf>
    <xf numFmtId="9" fontId="7" fillId="0" borderId="49" xfId="2" applyFont="1" applyFill="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0" fontId="7" fillId="0" borderId="30" xfId="0" applyFont="1" applyBorder="1" applyAlignment="1">
      <alignment horizontal="center" vertical="center" wrapText="1"/>
    </xf>
    <xf numFmtId="0" fontId="7" fillId="10" borderId="23" xfId="0" applyFont="1" applyFill="1" applyBorder="1" applyAlignment="1">
      <alignment horizontal="center" vertical="center" shrinkToFit="1"/>
    </xf>
    <xf numFmtId="0" fontId="2" fillId="0" borderId="0" xfId="5"/>
    <xf numFmtId="0" fontId="10" fillId="6" borderId="1" xfId="0" applyFont="1" applyFill="1" applyBorder="1" applyAlignment="1">
      <alignment vertical="center"/>
    </xf>
    <xf numFmtId="49" fontId="27" fillId="6" borderId="23" xfId="0" applyNumberFormat="1" applyFont="1" applyFill="1" applyBorder="1" applyAlignment="1">
      <alignment horizontal="center" vertical="center"/>
    </xf>
    <xf numFmtId="0" fontId="27" fillId="6" borderId="24" xfId="0" applyFont="1" applyFill="1" applyBorder="1" applyAlignment="1">
      <alignment horizontal="center" vertical="center"/>
    </xf>
    <xf numFmtId="0" fontId="10" fillId="6" borderId="24" xfId="0" applyFont="1" applyFill="1" applyBorder="1" applyAlignment="1">
      <alignment horizontal="center" vertical="center"/>
    </xf>
  </cellXfs>
  <cellStyles count="15">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2 2 2" xfId="13" xr:uid="{00000000-0005-0000-0000-000006000000}"/>
    <cellStyle name="Normal 2 3" xfId="14" xr:uid="{00000000-0005-0000-0000-000007000000}"/>
    <cellStyle name="Normal 3" xfId="10" xr:uid="{00000000-0005-0000-0000-000008000000}"/>
    <cellStyle name="Normal 4" xfId="8" xr:uid="{00000000-0005-0000-0000-000009000000}"/>
    <cellStyle name="Normal 5" xfId="11" xr:uid="{00000000-0005-0000-0000-00000A000000}"/>
    <cellStyle name="Normal 6" xfId="12" xr:uid="{00000000-0005-0000-0000-00000B000000}"/>
    <cellStyle name="Percent" xfId="2" builtinId="5"/>
    <cellStyle name="Percent 2" xfId="3" xr:uid="{00000000-0005-0000-0000-00000D000000}"/>
    <cellStyle name="Percent 2 2" xfId="7" xr:uid="{00000000-0005-0000-0000-00000E000000}"/>
  </cellStyles>
  <dxfs count="9">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ont>
        <b/>
        <i val="0"/>
        <color theme="9" tint="-0.499984740745262"/>
      </font>
      <fill>
        <patternFill>
          <bgColor rgb="FF99FF99"/>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AEA99F7-55A6-40F8-B4CE-3BE297420CB4}"/>
  </tableStyles>
  <colors>
    <mruColors>
      <color rgb="FFCCFFCC"/>
      <color rgb="FF9966FF"/>
      <color rgb="FF008000"/>
      <color rgb="FF0000FF"/>
      <color rgb="FF99FF99"/>
      <color rgb="FF00FF00"/>
      <color rgb="FF00FFFF"/>
      <color rgb="FFFF6600"/>
      <color rgb="FF66FF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45720</xdr:colOff>
      <xdr:row>16</xdr:row>
      <xdr:rowOff>53340</xdr:rowOff>
    </xdr:from>
    <xdr:to>
      <xdr:col>6</xdr:col>
      <xdr:colOff>1379220</xdr:colOff>
      <xdr:row>68</xdr:row>
      <xdr:rowOff>190500</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5720" y="3764280"/>
          <a:ext cx="7703820" cy="11026140"/>
        </a:xfrm>
        <a:prstGeom prst="rect">
          <a:avLst/>
        </a:prstGeom>
        <a:noFill/>
        <a:ln w="38100" cmpd="dbl">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Melissa is shorter and more slender than the average half-elf, at 5’ and 101 lbs. She has hazel eyes which she inherited from her human mother, and long platinum blonde hair that her mother claimed reminds her of her elven father, whom she never met as a child. Her hair, which she wears loose for the most part, falls to her waist, with two small braids that frame her fair-skinned face.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Her voice is clear and sweet, easy to listen to. She wears chain shirt armor and carries a light steel shield, and bears a longsword, amongst other weapons. She may sometimes be seen playing a musical instrument, preferring wind instruments but dabbling in stringed instruments as well; however, if asked, she will quickly admit she is no bard.</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However, perhaps due to a childhood accident where a horse stepped on her left foot, she walks slowly, with a slight limp. Outside, she travels by horseback whenever possible, as despite her accident she doesn’t fear horses at all, she likes them and they do take her places much faster than she can walk.</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Melissa was born to a working woman, Ilana the Fair, in the port city of Velprintalar, capital of Aglarond in the Uttermost East. Her mother worked in a tavern, and made additional money on the side entertaining sailors and others with a bit of coin to spend, men and women alike. Normally her mother took precautions to avoid pregnancy, but in a few cases those did not work, resulting in Melissa’s birth, as well as a couple younger brothers, Roland and Olliver. But her brothers were fully human, aging faster and not spending much time with their strange sister.</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Melissa happily listened to Ilana’s stories of the handsome moon elf sailor Landorin who was her father, but was rather disappointed that he never appeared to see her, not realizing her mother had never sent the elf word that she had a daughter, or that Landorin had retired from the sailing life not too long after her birth. Eventually she decided she would have to find him herself if she wanted to meet him. But to do that, first she needed to grow up – and on a whim, when she came of age, she joined the army. She’d heard the army was a place where anyone could get ahead if they worked at it, and always needed both soldiers and various sorts of specialists.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At first, her slow speed almost got her disqualified – the army had no use for soldiers who couldn’t March at speed. But her silver tongue and force of personality helped her convince them that she would make a good light cavalry soldier, she’d been riding since childhood and was able to show she was both unafraid and able to ride. She had been helping out in the stable near the tavern her mother worked at, and the stable owner had taken a liking to her and shown her some things, and paid her a token wage for exercising the animals.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And once an officer saw how she was a natural at convincing people of things, he recruited her for training as a marshal, and she graduated from ordinary cavalry soldier to a position as an aide to the officer who sponsored her, learning how to support those doing negotiating, inspiring the troops, and so on. The officer also suggested she learn how to use horns and the like for signalling troops, and other less blazingly loud wind instruments for entertaining the troops while encamped, which she enjoyed immensely as it let her relax and live in the moment, the music.</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But eventually, a while after her enlistment period was over, she asked leave to resign from the army in order to seek out her father. Her mentor agreed, gave her a decent final pay, ordered her to take some messages back to army headquarters as a courier and turn in her horse there, and wished her luck.</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Once back in the capital, she hung out at the docks for a bit, asking sailors whether any of them had news on an elven sailor, Landorin by name, who had sailed on the Wavedancer, a ship still sailing the seas. Eventually an old salt who’d sailed with Landorin back in the day told her about how his refusal to follow orders had saved the ship but gotten him beached, and said last he’d heard Landorin was singing songs for his supper up in Impiltur, in the port city of Hlammach. But that was a while back, so he wasn’t sure whether he was still there.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That was good enough for Melissa, though. She said goodbye to her mother, and left her some cash, found her two brothers and wished them well also, and booked passage to Hlammach…</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Melissa doesn’t trust easily, as she grew up without a father, and she has trouble discerning other people’s motives. She relies on outside influences to provide some structure to her life, as left on her own she will often act on impulse, and not wisely. However, she is quite good at convincing others to help her. Her training in the army as a martial definitely helped her get over any shyness, and helped her train her innate ability to sweet-talk others; she even became useful in assisting her leaders with negotiations. She isn’t concerned so much with good and evil as she is with being able to make her own decisions though, se eventually she left the army, and finally embarked upon a quest to find her father and at least let him know she existed.</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When she prays, it is to Tymora, a good goddess of luck, as luck, both good and bad, had been a big part of her life. She’d rebelled against the more common faiths that were practiced in her home city, Velprintalar, but in the army she’d met a chaplain who preached the word of Tymora and the idea that luck ruled definitely struck a chord with her – when in doubt, she will often act as she chooses and trust to luck…</a:t>
          </a:r>
        </a:p>
        <a:p>
          <a:pPr algn="just" rtl="0">
            <a:defRPr sz="1000"/>
          </a:pPr>
          <a:endParaRPr lang="en-US" sz="1200" b="0" i="1"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editAs="oneCell">
    <xdr:from>
      <xdr:col>5</xdr:col>
      <xdr:colOff>68580</xdr:colOff>
      <xdr:row>1</xdr:row>
      <xdr:rowOff>68580</xdr:rowOff>
    </xdr:from>
    <xdr:to>
      <xdr:col>6</xdr:col>
      <xdr:colOff>1386839</xdr:colOff>
      <xdr:row>15</xdr:row>
      <xdr:rowOff>250092</xdr:rowOff>
    </xdr:to>
    <xdr:pic>
      <xdr:nvPicPr>
        <xdr:cNvPr id="2" name="Picture 1">
          <a:extLst>
            <a:ext uri="{FF2B5EF4-FFF2-40B4-BE49-F238E27FC236}">
              <a16:creationId xmlns:a16="http://schemas.microsoft.com/office/drawing/2014/main" id="{449D6F81-F18A-85EF-9FFF-87CDCC2367F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5006340" y="441960"/>
          <a:ext cx="2750819" cy="3214272"/>
        </a:xfrm>
        <a:prstGeom prst="rect">
          <a:avLst/>
        </a:prstGeom>
        <a:noFill/>
        <a:ln w="28575" cmpd="dbl">
          <a:solidFill>
            <a:srgbClr val="FFC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10</xdr:col>
      <xdr:colOff>137160</xdr:colOff>
      <xdr:row>0</xdr:row>
      <xdr:rowOff>60960</xdr:rowOff>
    </xdr:from>
    <xdr:to>
      <xdr:col>14</xdr:col>
      <xdr:colOff>111760</xdr:colOff>
      <xdr:row>26</xdr:row>
      <xdr:rowOff>114300</xdr:rowOff>
    </xdr:to>
    <xdr:pic>
      <xdr:nvPicPr>
        <xdr:cNvPr id="3" name="Picture 2">
          <a:extLst>
            <a:ext uri="{FF2B5EF4-FFF2-40B4-BE49-F238E27FC236}">
              <a16:creationId xmlns:a16="http://schemas.microsoft.com/office/drawing/2014/main" id="{6380F931-2DDE-42C8-9EDF-E317F45CD58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73340" y="60960"/>
          <a:ext cx="3937000" cy="590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2DB317B1-B58A-486A-897C-3AE41CE929C3}"/>
            </a:ext>
          </a:extLst>
        </xdr:cNvPr>
        <xdr:cNvSpPr>
          <a:spLocks noChangeArrowheads="1"/>
        </xdr:cNvSpPr>
      </xdr:nvSpPr>
      <xdr:spPr bwMode="auto">
        <a:xfrm>
          <a:off x="6713220" y="0"/>
          <a:ext cx="142494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310515</xdr:colOff>
      <xdr:row>1</xdr:row>
      <xdr:rowOff>123825</xdr:rowOff>
    </xdr:from>
    <xdr:to>
      <xdr:col>2</xdr:col>
      <xdr:colOff>360045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12</xdr:row>
      <xdr:rowOff>0</xdr:rowOff>
    </xdr:to>
    <xdr:sp macro="" textlink="">
      <xdr:nvSpPr>
        <xdr:cNvPr id="2" name="Text Box 1">
          <a:extLst>
            <a:ext uri="{FF2B5EF4-FFF2-40B4-BE49-F238E27FC236}">
              <a16:creationId xmlns:a16="http://schemas.microsoft.com/office/drawing/2014/main" id="{309F7BAA-6CD9-4C31-BA40-309F3E30F306}"/>
            </a:ext>
          </a:extLst>
        </xdr:cNvPr>
        <xdr:cNvSpPr txBox="1">
          <a:spLocks noChangeArrowheads="1"/>
        </xdr:cNvSpPr>
      </xdr:nvSpPr>
      <xdr:spPr bwMode="auto">
        <a:xfrm>
          <a:off x="9525" y="2120265"/>
          <a:ext cx="4013835" cy="8591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Listen 4, Spot 4</a:t>
          </a:r>
        </a:p>
        <a:p>
          <a:r>
            <a:rPr lang="en-US" sz="1200" b="1" i="0" u="none" strike="noStrike" baseline="0">
              <a:solidFill>
                <a:srgbClr val="000000"/>
              </a:solidFill>
              <a:latin typeface="Times New Roman" pitchFamily="18" charset="0"/>
              <a:cs typeface="Times New Roman" pitchFamily="18" charset="0"/>
            </a:rPr>
            <a:t>Attack:  </a:t>
          </a:r>
          <a:r>
            <a:rPr lang="en-US" sz="1200">
              <a:effectLst/>
              <a:latin typeface="Times New Roman" panose="02020603050405020304" pitchFamily="18" charset="0"/>
              <a:ea typeface="+mn-ea"/>
              <a:cs typeface="Times New Roman" panose="02020603050405020304" pitchFamily="18" charset="0"/>
            </a:rPr>
            <a:t>2 hooves at +4, d4+3, 1 bite at -1, d3+1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Endurance, Run</a:t>
          </a:r>
        </a:p>
      </xdr:txBody>
    </xdr:sp>
    <xdr:clientData/>
  </xdr:twoCellAnchor>
  <xdr:twoCellAnchor>
    <xdr:from>
      <xdr:col>5</xdr:col>
      <xdr:colOff>9525</xdr:colOff>
      <xdr:row>5</xdr:row>
      <xdr:rowOff>15239</xdr:rowOff>
    </xdr:from>
    <xdr:to>
      <xdr:col>6</xdr:col>
      <xdr:colOff>914400</xdr:colOff>
      <xdr:row>11</xdr:row>
      <xdr:rowOff>209550</xdr:rowOff>
    </xdr:to>
    <xdr:sp macro="" textlink="">
      <xdr:nvSpPr>
        <xdr:cNvPr id="3" name="Text Box 2">
          <a:extLst>
            <a:ext uri="{FF2B5EF4-FFF2-40B4-BE49-F238E27FC236}">
              <a16:creationId xmlns:a16="http://schemas.microsoft.com/office/drawing/2014/main" id="{33AA4005-1AA4-4CAD-AAAC-2F79A8A1F6F3}"/>
            </a:ext>
          </a:extLst>
        </xdr:cNvPr>
        <xdr:cNvSpPr txBox="1">
          <a:spLocks noChangeArrowheads="1"/>
        </xdr:cNvSpPr>
      </xdr:nvSpPr>
      <xdr:spPr bwMode="auto">
        <a:xfrm>
          <a:off x="4035115" y="1264176"/>
          <a:ext cx="1681744" cy="1487852"/>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anose="02020603050405020304" pitchFamily="18" charset="0"/>
              <a:ea typeface="+mn-ea"/>
              <a:cs typeface="Times New Roman" panose="02020603050405020304" pitchFamily="18" charset="0"/>
            </a:rPr>
            <a:t>Equipment:</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n-US" sz="1200" b="0" i="0" baseline="0">
              <a:effectLst/>
              <a:latin typeface="Times New Roman" panose="02020603050405020304" pitchFamily="18" charset="0"/>
              <a:ea typeface="+mn-ea"/>
              <a:cs typeface="Times New Roman" panose="02020603050405020304" pitchFamily="18" charset="0"/>
            </a:rPr>
            <a:t>Leather Barding, Military Saddle, Bit &amp; Bridle, Saddlebags, Lance; </a:t>
          </a:r>
          <a:r>
            <a:rPr lang="en-US" sz="1200">
              <a:effectLst/>
              <a:latin typeface="Times New Roman" panose="02020603050405020304" pitchFamily="18" charset="0"/>
              <a:ea typeface="+mn-ea"/>
              <a:cs typeface="Times New Roman" panose="02020603050405020304" pitchFamily="18" charset="0"/>
            </a:rPr>
            <a:t>mount at medium load when ridden.</a:t>
          </a: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rnesthakey@gmail.com?subject=Werehunter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showGridLines="0" tabSelected="1" zoomScaleNormal="100" workbookViewId="0"/>
  </sheetViews>
  <sheetFormatPr defaultColWidth="13" defaultRowHeight="15.6" x14ac:dyDescent="0.3"/>
  <cols>
    <col min="1" max="1" width="15.19921875" style="54" customWidth="1"/>
    <col min="2" max="2" width="12.8984375" style="55" customWidth="1"/>
    <col min="3" max="3" width="8.5" style="55" customWidth="1"/>
    <col min="4" max="4" width="13.69921875" style="54" bestFit="1" customWidth="1"/>
    <col min="5" max="5" width="10.8984375" style="55" bestFit="1" customWidth="1"/>
    <col min="6" max="6" width="18.796875" style="54" customWidth="1"/>
    <col min="7" max="7" width="18.796875" style="55" customWidth="1"/>
    <col min="8" max="16384" width="13" style="14"/>
  </cols>
  <sheetData>
    <row r="1" spans="1:7" ht="29.4" thickTop="1" thickBot="1" x14ac:dyDescent="0.35">
      <c r="A1" s="337" t="s">
        <v>136</v>
      </c>
      <c r="B1" s="338" t="s">
        <v>207</v>
      </c>
      <c r="C1" s="333"/>
      <c r="D1" s="334"/>
      <c r="E1" s="335"/>
      <c r="F1" s="334"/>
      <c r="G1" s="336" t="s">
        <v>137</v>
      </c>
    </row>
    <row r="2" spans="1:7" ht="17.399999999999999" thickTop="1" x14ac:dyDescent="0.3">
      <c r="A2" s="15" t="s">
        <v>102</v>
      </c>
      <c r="B2" s="201" t="s">
        <v>144</v>
      </c>
      <c r="C2" s="201"/>
      <c r="D2" s="18" t="s">
        <v>115</v>
      </c>
      <c r="E2" s="17" t="s">
        <v>140</v>
      </c>
      <c r="F2" s="19"/>
      <c r="G2" s="20"/>
    </row>
    <row r="3" spans="1:7" ht="16.8" x14ac:dyDescent="0.3">
      <c r="A3" s="15" t="s">
        <v>103</v>
      </c>
      <c r="B3" s="201" t="s">
        <v>126</v>
      </c>
      <c r="C3" s="201"/>
      <c r="D3" s="18" t="s">
        <v>81</v>
      </c>
      <c r="E3" s="17">
        <v>1</v>
      </c>
      <c r="F3"/>
      <c r="G3" s="20"/>
    </row>
    <row r="4" spans="1:7" ht="16.8" x14ac:dyDescent="0.3">
      <c r="A4" s="15" t="s">
        <v>103</v>
      </c>
      <c r="B4" s="201" t="s">
        <v>216</v>
      </c>
      <c r="C4" s="201"/>
      <c r="D4" s="18" t="s">
        <v>81</v>
      </c>
      <c r="E4" s="17">
        <v>1</v>
      </c>
      <c r="F4" s="18"/>
      <c r="G4" s="20"/>
    </row>
    <row r="5" spans="1:7" ht="16.8" x14ac:dyDescent="0.3">
      <c r="A5" s="15" t="s">
        <v>104</v>
      </c>
      <c r="B5" s="201" t="s">
        <v>142</v>
      </c>
      <c r="C5" s="201"/>
      <c r="D5" s="18" t="s">
        <v>116</v>
      </c>
      <c r="E5" s="17">
        <v>25</v>
      </c>
      <c r="F5" s="18"/>
      <c r="G5" s="20"/>
    </row>
    <row r="6" spans="1:7" ht="16.8" x14ac:dyDescent="0.3">
      <c r="A6" s="15" t="s">
        <v>105</v>
      </c>
      <c r="B6" s="201" t="s">
        <v>143</v>
      </c>
      <c r="C6" s="201"/>
      <c r="D6" s="18" t="s">
        <v>117</v>
      </c>
      <c r="E6" s="17" t="s">
        <v>138</v>
      </c>
      <c r="F6" s="18"/>
      <c r="G6" s="20"/>
    </row>
    <row r="7" spans="1:7" ht="17.399999999999999" thickBot="1" x14ac:dyDescent="0.35">
      <c r="A7" s="15" t="s">
        <v>106</v>
      </c>
      <c r="B7" s="201" t="s">
        <v>141</v>
      </c>
      <c r="C7" s="201"/>
      <c r="D7" s="18" t="s">
        <v>118</v>
      </c>
      <c r="E7" s="17" t="s">
        <v>139</v>
      </c>
      <c r="F7" s="18"/>
      <c r="G7" s="20"/>
    </row>
    <row r="8" spans="1:7" ht="17.399999999999999" thickTop="1" x14ac:dyDescent="0.3">
      <c r="A8" s="21" t="s">
        <v>107</v>
      </c>
      <c r="B8" s="290">
        <f>0+E4</f>
        <v>1</v>
      </c>
      <c r="C8" s="291"/>
      <c r="D8" s="22" t="s">
        <v>119</v>
      </c>
      <c r="E8" s="23" t="s">
        <v>209</v>
      </c>
      <c r="F8" s="24"/>
      <c r="G8" s="20"/>
    </row>
    <row r="9" spans="1:7" ht="17.399999999999999" thickBot="1" x14ac:dyDescent="0.35">
      <c r="A9" s="339" t="s">
        <v>108</v>
      </c>
      <c r="B9" s="308" t="str">
        <f>C11</f>
        <v>+2</v>
      </c>
      <c r="C9" s="309"/>
      <c r="D9" s="340" t="s">
        <v>120</v>
      </c>
      <c r="E9" s="265" t="s">
        <v>210</v>
      </c>
      <c r="F9" s="24"/>
      <c r="G9" s="20"/>
    </row>
    <row r="10" spans="1:7" ht="17.399999999999999" thickTop="1" x14ac:dyDescent="0.3">
      <c r="A10" s="25" t="s">
        <v>109</v>
      </c>
      <c r="B10" s="293">
        <v>13</v>
      </c>
      <c r="C10" s="26" t="str">
        <f t="shared" ref="C10:C15" si="0">IF(B10&gt;9.9,CONCATENATE("+",ROUNDDOWN((B10-10)/2,0)),ROUNDUP((B10-10)/2,0))</f>
        <v>+1</v>
      </c>
      <c r="D10" s="27" t="s">
        <v>121</v>
      </c>
      <c r="E10" s="295" t="s">
        <v>154</v>
      </c>
      <c r="F10" s="24"/>
      <c r="G10" s="20"/>
    </row>
    <row r="11" spans="1:7" ht="16.8" x14ac:dyDescent="0.3">
      <c r="A11" s="28" t="s">
        <v>110</v>
      </c>
      <c r="B11" s="29">
        <v>14</v>
      </c>
      <c r="C11" s="30" t="str">
        <f t="shared" si="0"/>
        <v>+2</v>
      </c>
      <c r="D11" s="31" t="s">
        <v>122</v>
      </c>
      <c r="E11" s="32">
        <f>SUM(Martial!G3:G24,Equipment!C3:C21)</f>
        <v>86.13</v>
      </c>
      <c r="F11" s="24"/>
      <c r="G11" s="20"/>
    </row>
    <row r="12" spans="1:7" ht="16.8" x14ac:dyDescent="0.3">
      <c r="A12" s="332" t="s">
        <v>111</v>
      </c>
      <c r="B12" s="29">
        <v>12</v>
      </c>
      <c r="C12" s="34" t="str">
        <f t="shared" si="0"/>
        <v>+1</v>
      </c>
      <c r="D12" s="31" t="s">
        <v>123</v>
      </c>
      <c r="E12" s="294">
        <f>ROUNDUP(((E3*8)*0.75)+((E4*8)*0.75)+(SUM(E3:E4)*C12+1),0)</f>
        <v>15</v>
      </c>
      <c r="F12" s="24"/>
      <c r="G12" s="20"/>
    </row>
    <row r="13" spans="1:7" ht="16.8" x14ac:dyDescent="0.3">
      <c r="A13" s="35" t="s">
        <v>112</v>
      </c>
      <c r="B13" s="33">
        <v>14</v>
      </c>
      <c r="C13" s="30" t="str">
        <f t="shared" si="0"/>
        <v>+2</v>
      </c>
      <c r="D13" s="36" t="s">
        <v>124</v>
      </c>
      <c r="E13" s="292">
        <f>10+C11</f>
        <v>12</v>
      </c>
      <c r="F13" s="15"/>
      <c r="G13" s="20"/>
    </row>
    <row r="14" spans="1:7" ht="16.8" x14ac:dyDescent="0.3">
      <c r="A14" s="37" t="s">
        <v>113</v>
      </c>
      <c r="B14" s="208">
        <f>8-2</f>
        <v>6</v>
      </c>
      <c r="C14" s="30">
        <f t="shared" si="0"/>
        <v>-2</v>
      </c>
      <c r="D14" s="36" t="s">
        <v>125</v>
      </c>
      <c r="E14" s="320">
        <f>E15-C11</f>
        <v>15</v>
      </c>
      <c r="F14" s="24"/>
      <c r="G14" s="20"/>
    </row>
    <row r="15" spans="1:7" ht="17.399999999999999" thickBot="1" x14ac:dyDescent="0.35">
      <c r="A15" s="38" t="s">
        <v>114</v>
      </c>
      <c r="B15" s="341">
        <v>14</v>
      </c>
      <c r="C15" s="39" t="str">
        <f t="shared" si="0"/>
        <v>+2</v>
      </c>
      <c r="D15" s="40" t="s">
        <v>130</v>
      </c>
      <c r="E15" s="200">
        <f>E13+SUM(Martial!B19:B21)</f>
        <v>17</v>
      </c>
      <c r="F15" s="24"/>
      <c r="G15" s="20"/>
    </row>
    <row r="16" spans="1:7" ht="24" thickTop="1" thickBot="1" x14ac:dyDescent="0.35">
      <c r="A16" s="41" t="s">
        <v>17</v>
      </c>
      <c r="B16" s="42"/>
      <c r="C16" s="42"/>
      <c r="D16" s="43"/>
      <c r="E16" s="43"/>
      <c r="F16" s="43"/>
      <c r="G16" s="44"/>
    </row>
    <row r="17" spans="1:7" s="48" customFormat="1" ht="17.399999999999999" thickTop="1" x14ac:dyDescent="0.3">
      <c r="A17" s="45"/>
      <c r="B17" s="46"/>
      <c r="C17" s="46"/>
      <c r="D17" s="46"/>
      <c r="E17" s="46"/>
      <c r="F17" s="46"/>
      <c r="G17" s="47"/>
    </row>
    <row r="18" spans="1:7" s="48" customFormat="1" ht="16.8" x14ac:dyDescent="0.3">
      <c r="A18" s="49"/>
      <c r="B18" s="16"/>
      <c r="C18" s="16"/>
      <c r="D18" s="16"/>
      <c r="E18" s="16"/>
      <c r="F18" s="16"/>
      <c r="G18" s="50"/>
    </row>
    <row r="19" spans="1:7" s="48" customFormat="1" ht="16.8" x14ac:dyDescent="0.3">
      <c r="A19" s="49"/>
      <c r="B19" s="16"/>
      <c r="C19" s="16"/>
      <c r="D19" s="16"/>
      <c r="E19" s="16"/>
      <c r="F19" s="16"/>
      <c r="G19" s="50"/>
    </row>
    <row r="20" spans="1:7" s="48" customFormat="1" ht="16.8" x14ac:dyDescent="0.3">
      <c r="A20" s="49"/>
      <c r="B20" s="16"/>
      <c r="C20" s="16"/>
      <c r="D20" s="16"/>
      <c r="E20" s="16"/>
      <c r="F20" s="16"/>
      <c r="G20" s="50"/>
    </row>
    <row r="21" spans="1:7" s="48" customFormat="1" ht="16.8" x14ac:dyDescent="0.3">
      <c r="A21" s="49"/>
      <c r="B21" s="16"/>
      <c r="C21" s="16"/>
      <c r="D21" s="16"/>
      <c r="E21" s="16"/>
      <c r="F21" s="16"/>
      <c r="G21" s="50"/>
    </row>
    <row r="22" spans="1:7" s="48" customFormat="1" ht="16.8" x14ac:dyDescent="0.3">
      <c r="A22" s="49"/>
      <c r="B22" s="16"/>
      <c r="C22" s="16"/>
      <c r="D22" s="16"/>
      <c r="E22" s="16"/>
      <c r="F22" s="16"/>
      <c r="G22" s="50"/>
    </row>
    <row r="23" spans="1:7" s="48" customFormat="1" ht="16.8" x14ac:dyDescent="0.3">
      <c r="A23" s="49"/>
      <c r="B23" s="16"/>
      <c r="C23" s="16"/>
      <c r="D23" s="16"/>
      <c r="E23" s="16"/>
      <c r="F23" s="16"/>
      <c r="G23" s="50"/>
    </row>
    <row r="24" spans="1:7" s="48" customFormat="1" ht="16.8" x14ac:dyDescent="0.3">
      <c r="A24" s="49"/>
      <c r="B24" s="16"/>
      <c r="C24" s="16"/>
      <c r="D24" s="16"/>
      <c r="E24" s="16"/>
      <c r="F24" s="16"/>
      <c r="G24" s="50"/>
    </row>
    <row r="25" spans="1:7" s="48" customFormat="1" ht="16.8" x14ac:dyDescent="0.3">
      <c r="A25" s="49"/>
      <c r="B25" s="16"/>
      <c r="C25" s="16"/>
      <c r="D25" s="16"/>
      <c r="E25" s="16"/>
      <c r="F25" s="16"/>
      <c r="G25" s="50"/>
    </row>
    <row r="26" spans="1:7" s="48" customFormat="1" ht="16.8" x14ac:dyDescent="0.3">
      <c r="A26" s="49"/>
      <c r="B26" s="16"/>
      <c r="C26" s="16"/>
      <c r="D26" s="16"/>
      <c r="E26" s="16"/>
      <c r="F26" s="16"/>
      <c r="G26" s="50"/>
    </row>
    <row r="27" spans="1:7" s="48" customFormat="1" ht="16.8" x14ac:dyDescent="0.3">
      <c r="A27" s="49"/>
      <c r="B27" s="16"/>
      <c r="C27" s="16"/>
      <c r="D27" s="16"/>
      <c r="E27" s="16"/>
      <c r="F27" s="16"/>
      <c r="G27" s="50"/>
    </row>
    <row r="28" spans="1:7" s="48" customFormat="1" ht="16.8" x14ac:dyDescent="0.3">
      <c r="A28" s="49"/>
      <c r="B28" s="16"/>
      <c r="C28" s="16"/>
      <c r="D28" s="16"/>
      <c r="E28" s="16"/>
      <c r="F28" s="16"/>
      <c r="G28" s="50"/>
    </row>
    <row r="29" spans="1:7" s="48" customFormat="1" ht="16.8" x14ac:dyDescent="0.3">
      <c r="A29" s="49"/>
      <c r="B29" s="16"/>
      <c r="C29" s="16"/>
      <c r="D29" s="16"/>
      <c r="E29" s="16"/>
      <c r="F29" s="16"/>
      <c r="G29" s="50"/>
    </row>
    <row r="30" spans="1:7" s="48" customFormat="1" ht="16.8" x14ac:dyDescent="0.3">
      <c r="A30" s="49"/>
      <c r="B30" s="16"/>
      <c r="C30" s="16"/>
      <c r="D30" s="16"/>
      <c r="E30" s="16"/>
      <c r="F30" s="16"/>
      <c r="G30" s="50"/>
    </row>
    <row r="31" spans="1:7" s="48" customFormat="1" ht="16.8" x14ac:dyDescent="0.3">
      <c r="A31" s="49"/>
      <c r="B31" s="16"/>
      <c r="C31" s="16"/>
      <c r="D31" s="16"/>
      <c r="E31" s="16"/>
      <c r="F31" s="16"/>
      <c r="G31" s="50"/>
    </row>
    <row r="32" spans="1:7" s="48" customFormat="1" ht="16.8" x14ac:dyDescent="0.3">
      <c r="A32" s="49"/>
      <c r="B32" s="16"/>
      <c r="C32" s="16"/>
      <c r="D32" s="16"/>
      <c r="E32" s="16"/>
      <c r="F32" s="16"/>
      <c r="G32" s="50"/>
    </row>
    <row r="33" spans="1:7" s="48" customFormat="1" ht="16.8" x14ac:dyDescent="0.3">
      <c r="A33" s="49"/>
      <c r="B33" s="16"/>
      <c r="C33" s="16"/>
      <c r="D33" s="16"/>
      <c r="E33" s="16"/>
      <c r="F33" s="16"/>
      <c r="G33" s="50"/>
    </row>
    <row r="34" spans="1:7" s="48" customFormat="1" ht="16.8" x14ac:dyDescent="0.3">
      <c r="A34" s="49"/>
      <c r="B34" s="16"/>
      <c r="C34" s="16"/>
      <c r="D34" s="16"/>
      <c r="E34" s="16"/>
      <c r="F34" s="16"/>
      <c r="G34" s="50"/>
    </row>
    <row r="35" spans="1:7" s="48" customFormat="1" ht="16.8" x14ac:dyDescent="0.3">
      <c r="A35" s="49"/>
      <c r="B35" s="16"/>
      <c r="C35" s="16"/>
      <c r="D35" s="16"/>
      <c r="E35" s="16"/>
      <c r="F35" s="16"/>
      <c r="G35" s="50"/>
    </row>
    <row r="36" spans="1:7" s="48" customFormat="1" ht="16.8" x14ac:dyDescent="0.3">
      <c r="A36" s="49"/>
      <c r="B36" s="16"/>
      <c r="C36" s="16"/>
      <c r="D36" s="16"/>
      <c r="E36" s="16"/>
      <c r="F36" s="16"/>
      <c r="G36" s="50"/>
    </row>
    <row r="37" spans="1:7" s="48" customFormat="1" ht="16.8" x14ac:dyDescent="0.3">
      <c r="A37" s="49"/>
      <c r="B37" s="16"/>
      <c r="C37" s="16"/>
      <c r="D37" s="16"/>
      <c r="E37" s="16"/>
      <c r="F37" s="16"/>
      <c r="G37" s="50"/>
    </row>
    <row r="38" spans="1:7" s="48" customFormat="1" ht="16.8" x14ac:dyDescent="0.3">
      <c r="A38" s="49"/>
      <c r="B38" s="16"/>
      <c r="C38" s="16"/>
      <c r="D38" s="16"/>
      <c r="E38" s="16"/>
      <c r="F38" s="16"/>
      <c r="G38" s="50"/>
    </row>
    <row r="39" spans="1:7" s="48" customFormat="1" ht="16.8" x14ac:dyDescent="0.3">
      <c r="A39" s="49"/>
      <c r="B39" s="16"/>
      <c r="C39" s="16"/>
      <c r="D39" s="16"/>
      <c r="E39" s="16"/>
      <c r="F39" s="16"/>
      <c r="G39" s="50"/>
    </row>
    <row r="40" spans="1:7" s="48" customFormat="1" ht="16.8" x14ac:dyDescent="0.3">
      <c r="A40" s="49"/>
      <c r="B40" s="16"/>
      <c r="C40" s="16"/>
      <c r="D40" s="16"/>
      <c r="E40" s="16"/>
      <c r="F40" s="16"/>
      <c r="G40" s="50"/>
    </row>
    <row r="41" spans="1:7" s="48" customFormat="1" ht="16.8" x14ac:dyDescent="0.3">
      <c r="A41" s="49"/>
      <c r="B41" s="16"/>
      <c r="C41" s="16"/>
      <c r="D41" s="16"/>
      <c r="E41" s="16"/>
      <c r="F41" s="16"/>
      <c r="G41" s="50"/>
    </row>
    <row r="42" spans="1:7" s="48" customFormat="1" ht="16.8" x14ac:dyDescent="0.3">
      <c r="A42" s="49"/>
      <c r="B42" s="16"/>
      <c r="C42" s="16"/>
      <c r="D42" s="16"/>
      <c r="E42" s="16"/>
      <c r="F42" s="16"/>
      <c r="G42" s="50"/>
    </row>
    <row r="43" spans="1:7" s="48" customFormat="1" ht="16.8" x14ac:dyDescent="0.3">
      <c r="A43" s="49"/>
      <c r="B43" s="16"/>
      <c r="C43" s="16"/>
      <c r="D43" s="16"/>
      <c r="E43" s="16"/>
      <c r="F43" s="16"/>
      <c r="G43" s="50"/>
    </row>
    <row r="44" spans="1:7" s="48" customFormat="1" ht="16.8" x14ac:dyDescent="0.3">
      <c r="A44" s="49"/>
      <c r="B44" s="16"/>
      <c r="C44" s="16"/>
      <c r="D44" s="16"/>
      <c r="E44" s="16"/>
      <c r="F44" s="16"/>
      <c r="G44" s="50"/>
    </row>
    <row r="45" spans="1:7" s="48" customFormat="1" ht="16.8" x14ac:dyDescent="0.3">
      <c r="A45" s="49"/>
      <c r="B45" s="16"/>
      <c r="C45" s="16"/>
      <c r="D45" s="16"/>
      <c r="E45" s="16"/>
      <c r="F45" s="16"/>
      <c r="G45" s="50"/>
    </row>
    <row r="46" spans="1:7" s="48" customFormat="1" ht="16.8" x14ac:dyDescent="0.3">
      <c r="A46" s="49"/>
      <c r="B46" s="16"/>
      <c r="C46" s="16"/>
      <c r="D46" s="16"/>
      <c r="E46" s="16"/>
      <c r="F46" s="16"/>
      <c r="G46" s="50"/>
    </row>
    <row r="47" spans="1:7" s="48" customFormat="1" ht="16.8" x14ac:dyDescent="0.3">
      <c r="A47" s="49"/>
      <c r="B47" s="16"/>
      <c r="C47" s="16"/>
      <c r="D47" s="16"/>
      <c r="E47" s="16"/>
      <c r="F47" s="16"/>
      <c r="G47" s="50"/>
    </row>
    <row r="48" spans="1:7" s="48" customFormat="1" ht="16.8" x14ac:dyDescent="0.3">
      <c r="A48" s="49"/>
      <c r="B48" s="16"/>
      <c r="C48" s="16"/>
      <c r="D48" s="16"/>
      <c r="E48" s="16"/>
      <c r="F48" s="16"/>
      <c r="G48" s="50"/>
    </row>
    <row r="49" spans="1:7" s="48" customFormat="1" ht="16.8" x14ac:dyDescent="0.3">
      <c r="A49" s="49"/>
      <c r="B49" s="16"/>
      <c r="C49" s="16"/>
      <c r="D49" s="16"/>
      <c r="E49" s="16"/>
      <c r="F49" s="16"/>
      <c r="G49" s="50"/>
    </row>
    <row r="50" spans="1:7" s="48" customFormat="1" ht="16.8" x14ac:dyDescent="0.3">
      <c r="A50" s="49"/>
      <c r="B50" s="16"/>
      <c r="C50" s="16"/>
      <c r="D50" s="16"/>
      <c r="E50" s="16"/>
      <c r="F50" s="16"/>
      <c r="G50" s="50"/>
    </row>
    <row r="51" spans="1:7" s="48" customFormat="1" ht="16.8" x14ac:dyDescent="0.3">
      <c r="A51" s="49"/>
      <c r="B51" s="16"/>
      <c r="C51" s="16"/>
      <c r="D51" s="16"/>
      <c r="E51" s="16"/>
      <c r="F51" s="16"/>
      <c r="G51" s="50"/>
    </row>
    <row r="52" spans="1:7" s="48" customFormat="1" ht="16.8" x14ac:dyDescent="0.3">
      <c r="A52" s="49"/>
      <c r="B52" s="16"/>
      <c r="C52" s="16"/>
      <c r="D52" s="16"/>
      <c r="E52" s="16"/>
      <c r="F52" s="16"/>
      <c r="G52" s="50"/>
    </row>
    <row r="53" spans="1:7" s="48" customFormat="1" ht="16.8" x14ac:dyDescent="0.3">
      <c r="A53" s="49"/>
      <c r="B53" s="16"/>
      <c r="C53" s="16"/>
      <c r="D53" s="16"/>
      <c r="E53" s="16"/>
      <c r="F53" s="16"/>
      <c r="G53" s="50"/>
    </row>
    <row r="54" spans="1:7" s="48" customFormat="1" ht="16.8" x14ac:dyDescent="0.3">
      <c r="A54" s="49"/>
      <c r="B54" s="16"/>
      <c r="C54" s="16"/>
      <c r="D54" s="16"/>
      <c r="E54" s="16"/>
      <c r="F54" s="16"/>
      <c r="G54" s="50"/>
    </row>
    <row r="55" spans="1:7" s="48" customFormat="1" ht="16.8" x14ac:dyDescent="0.3">
      <c r="A55" s="49"/>
      <c r="B55" s="16"/>
      <c r="C55" s="16"/>
      <c r="D55" s="16"/>
      <c r="E55" s="16"/>
      <c r="F55" s="16"/>
      <c r="G55" s="50"/>
    </row>
    <row r="56" spans="1:7" s="48" customFormat="1" ht="16.8" x14ac:dyDescent="0.3">
      <c r="A56" s="49"/>
      <c r="B56" s="16"/>
      <c r="C56" s="16"/>
      <c r="D56" s="16"/>
      <c r="E56" s="16"/>
      <c r="F56" s="16"/>
      <c r="G56" s="50"/>
    </row>
    <row r="57" spans="1:7" s="48" customFormat="1" ht="16.8" x14ac:dyDescent="0.3">
      <c r="A57" s="49"/>
      <c r="B57" s="16"/>
      <c r="C57" s="16"/>
      <c r="D57" s="16"/>
      <c r="E57" s="16"/>
      <c r="F57" s="16"/>
      <c r="G57" s="50"/>
    </row>
    <row r="58" spans="1:7" s="48" customFormat="1" ht="16.8" x14ac:dyDescent="0.3">
      <c r="A58" s="49"/>
      <c r="B58" s="16"/>
      <c r="C58" s="16"/>
      <c r="D58" s="16"/>
      <c r="E58" s="16"/>
      <c r="F58" s="16"/>
      <c r="G58" s="50"/>
    </row>
    <row r="59" spans="1:7" s="48" customFormat="1" ht="16.8" x14ac:dyDescent="0.3">
      <c r="A59" s="49"/>
      <c r="B59" s="16"/>
      <c r="C59" s="16"/>
      <c r="D59" s="16"/>
      <c r="E59" s="16"/>
      <c r="F59" s="16"/>
      <c r="G59" s="50"/>
    </row>
    <row r="60" spans="1:7" s="48" customFormat="1" ht="16.8" x14ac:dyDescent="0.3">
      <c r="A60" s="49"/>
      <c r="B60" s="16"/>
      <c r="C60" s="16"/>
      <c r="D60" s="16"/>
      <c r="E60" s="16"/>
      <c r="F60" s="16"/>
      <c r="G60" s="50"/>
    </row>
    <row r="61" spans="1:7" s="48" customFormat="1" ht="16.8" x14ac:dyDescent="0.3">
      <c r="A61" s="49"/>
      <c r="B61" s="16"/>
      <c r="C61" s="16"/>
      <c r="D61" s="16"/>
      <c r="E61" s="16"/>
      <c r="F61" s="16"/>
      <c r="G61" s="50"/>
    </row>
    <row r="62" spans="1:7" s="48" customFormat="1" ht="16.8" x14ac:dyDescent="0.3">
      <c r="A62" s="49"/>
      <c r="B62" s="16"/>
      <c r="C62" s="16"/>
      <c r="D62" s="16"/>
      <c r="E62" s="16"/>
      <c r="F62" s="16"/>
      <c r="G62" s="50"/>
    </row>
    <row r="63" spans="1:7" s="48" customFormat="1" ht="16.8" x14ac:dyDescent="0.3">
      <c r="A63" s="49"/>
      <c r="B63" s="16"/>
      <c r="C63" s="16"/>
      <c r="D63" s="16"/>
      <c r="E63" s="16"/>
      <c r="F63" s="16"/>
      <c r="G63" s="50"/>
    </row>
    <row r="64" spans="1:7" s="48" customFormat="1" ht="16.8" x14ac:dyDescent="0.3">
      <c r="A64" s="49"/>
      <c r="B64" s="16"/>
      <c r="C64" s="16"/>
      <c r="D64" s="16"/>
      <c r="E64" s="16"/>
      <c r="F64" s="16"/>
      <c r="G64" s="50"/>
    </row>
    <row r="65" spans="1:8" s="48" customFormat="1" ht="16.8" x14ac:dyDescent="0.3">
      <c r="A65" s="49"/>
      <c r="B65" s="16"/>
      <c r="C65" s="16"/>
      <c r="D65" s="16"/>
      <c r="E65" s="16"/>
      <c r="F65" s="16"/>
      <c r="G65" s="50"/>
    </row>
    <row r="66" spans="1:8" s="48" customFormat="1" ht="16.8" x14ac:dyDescent="0.3">
      <c r="A66" s="49"/>
      <c r="B66" s="16"/>
      <c r="C66" s="16"/>
      <c r="D66" s="16"/>
      <c r="E66" s="16"/>
      <c r="F66" s="16"/>
      <c r="G66" s="50"/>
    </row>
    <row r="67" spans="1:8" s="48" customFormat="1" ht="16.8" x14ac:dyDescent="0.3">
      <c r="A67" s="49"/>
      <c r="B67" s="16"/>
      <c r="C67" s="16"/>
      <c r="D67" s="16"/>
      <c r="E67" s="16"/>
      <c r="F67" s="16"/>
      <c r="G67" s="50"/>
    </row>
    <row r="68" spans="1:8" s="48" customFormat="1" ht="16.8" x14ac:dyDescent="0.3">
      <c r="A68" s="49"/>
      <c r="B68" s="16"/>
      <c r="C68" s="16"/>
      <c r="D68" s="16"/>
      <c r="E68" s="16"/>
      <c r="F68" s="16"/>
      <c r="G68" s="50"/>
    </row>
    <row r="69" spans="1:8" ht="17.399999999999999" thickBot="1" x14ac:dyDescent="0.35">
      <c r="A69" s="51"/>
      <c r="B69" s="52"/>
      <c r="C69" s="52"/>
      <c r="D69" s="52"/>
      <c r="E69" s="52"/>
      <c r="F69" s="52"/>
      <c r="G69" s="53"/>
      <c r="H69" s="48"/>
    </row>
    <row r="70" spans="1:8" ht="16.2" thickTop="1" x14ac:dyDescent="0.3"/>
  </sheetData>
  <phoneticPr fontId="0" type="noConversion"/>
  <conditionalFormatting sqref="E11">
    <cfRule type="cellIs" dxfId="8" priority="4" stopIfTrue="1" operator="greaterThan">
      <formula>100</formula>
    </cfRule>
    <cfRule type="cellIs" dxfId="7" priority="5" stopIfTrue="1" operator="between">
      <formula>50</formula>
      <formula>100</formula>
    </cfRule>
  </conditionalFormatting>
  <hyperlinks>
    <hyperlink ref="G1" r:id="rId1" xr:uid="{A039CCDE-B9A6-43E5-BEA1-47F6CB269C9A}"/>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31.296875" style="54" bestFit="1" customWidth="1"/>
    <col min="2" max="2" width="5.8984375" style="54" bestFit="1" customWidth="1"/>
    <col min="3" max="3" width="11.59765625" style="55" hidden="1" customWidth="1"/>
    <col min="4" max="4" width="5.796875" style="55" hidden="1" customWidth="1"/>
    <col min="5" max="5" width="9.19921875" style="55" bestFit="1" customWidth="1"/>
    <col min="6" max="6" width="8.19921875" style="55" bestFit="1" customWidth="1"/>
    <col min="7" max="7" width="6" style="55" bestFit="1" customWidth="1"/>
    <col min="8" max="8" width="5.19921875" style="55" bestFit="1" customWidth="1"/>
    <col min="9" max="9" width="6.8984375" style="55" bestFit="1" customWidth="1"/>
    <col min="10" max="10" width="26.19921875" style="54" bestFit="1" customWidth="1"/>
    <col min="11" max="16384" width="13" style="14"/>
  </cols>
  <sheetData>
    <row r="1" spans="1:10" ht="23.4" thickBot="1" x14ac:dyDescent="0.35">
      <c r="A1" s="56" t="s">
        <v>7</v>
      </c>
      <c r="B1" s="57"/>
      <c r="C1" s="57"/>
      <c r="D1" s="57"/>
      <c r="E1" s="57"/>
      <c r="F1" s="57"/>
      <c r="G1" s="57"/>
      <c r="H1" s="57"/>
      <c r="I1" s="57"/>
      <c r="J1" s="57"/>
    </row>
    <row r="2" spans="1:10" s="48" customFormat="1" ht="34.200000000000003" thickBot="1" x14ac:dyDescent="0.35">
      <c r="A2" s="1" t="s">
        <v>101</v>
      </c>
      <c r="B2" s="2" t="s">
        <v>22</v>
      </c>
      <c r="C2" s="2" t="s">
        <v>24</v>
      </c>
      <c r="D2" s="2" t="s">
        <v>21</v>
      </c>
      <c r="E2" s="3" t="s">
        <v>49</v>
      </c>
      <c r="F2" s="3" t="s">
        <v>25</v>
      </c>
      <c r="G2" s="3" t="s">
        <v>51</v>
      </c>
      <c r="H2" s="12" t="s">
        <v>77</v>
      </c>
      <c r="I2" s="2" t="s">
        <v>64</v>
      </c>
      <c r="J2" s="4" t="s">
        <v>0</v>
      </c>
    </row>
    <row r="3" spans="1:10" s="48" customFormat="1" ht="16.8" x14ac:dyDescent="0.3">
      <c r="A3" s="58" t="s">
        <v>53</v>
      </c>
      <c r="B3" s="59">
        <f>2+2</f>
        <v>4</v>
      </c>
      <c r="C3" s="59" t="s">
        <v>111</v>
      </c>
      <c r="D3" s="59" t="str">
        <f>VLOOKUP(C3,'Personal File'!$A$10:$C$15,3,FALSE)</f>
        <v>+1</v>
      </c>
      <c r="E3" s="60" t="str">
        <f t="shared" ref="E3:E45" si="0">CONCATENATE(LEFT(C3,3)," (",D3,")")</f>
        <v>Con (+1)</v>
      </c>
      <c r="F3" s="61">
        <v>0</v>
      </c>
      <c r="G3" s="61">
        <f t="shared" ref="G3:G45" si="1">B3+D3+F3</f>
        <v>5</v>
      </c>
      <c r="H3" s="62">
        <f t="shared" ref="H3:H45" ca="1" si="2">RANDBETWEEN(1,20)</f>
        <v>19</v>
      </c>
      <c r="I3" s="63">
        <f t="shared" ref="I3:I5" ca="1" si="3">SUM(G3:H3)</f>
        <v>24</v>
      </c>
      <c r="J3" s="66"/>
    </row>
    <row r="4" spans="1:10" s="48" customFormat="1" ht="16.8" x14ac:dyDescent="0.3">
      <c r="A4" s="64" t="s">
        <v>54</v>
      </c>
      <c r="B4" s="59">
        <f>0+0</f>
        <v>0</v>
      </c>
      <c r="C4" s="59" t="s">
        <v>110</v>
      </c>
      <c r="D4" s="59" t="str">
        <f>VLOOKUP(C4,'Personal File'!$A$10:$C$15,3,FALSE)</f>
        <v>+2</v>
      </c>
      <c r="E4" s="65" t="str">
        <f t="shared" si="0"/>
        <v>Dex (+2)</v>
      </c>
      <c r="F4" s="61">
        <v>0</v>
      </c>
      <c r="G4" s="61">
        <f t="shared" si="1"/>
        <v>2</v>
      </c>
      <c r="H4" s="62">
        <f t="shared" ca="1" si="2"/>
        <v>16</v>
      </c>
      <c r="I4" s="63">
        <f t="shared" ca="1" si="3"/>
        <v>18</v>
      </c>
      <c r="J4" s="174"/>
    </row>
    <row r="5" spans="1:10" s="48" customFormat="1" ht="16.8" x14ac:dyDescent="0.3">
      <c r="A5" s="67" t="s">
        <v>55</v>
      </c>
      <c r="B5" s="68">
        <f>2+2</f>
        <v>4</v>
      </c>
      <c r="C5" s="68" t="s">
        <v>113</v>
      </c>
      <c r="D5" s="68">
        <f>VLOOKUP(C5,'Personal File'!$A$10:$C$15,3,FALSE)</f>
        <v>-2</v>
      </c>
      <c r="E5" s="69" t="str">
        <f t="shared" si="0"/>
        <v>Wis (-2)</v>
      </c>
      <c r="F5" s="70">
        <v>1</v>
      </c>
      <c r="G5" s="70">
        <f t="shared" si="1"/>
        <v>3</v>
      </c>
      <c r="H5" s="71">
        <f t="shared" ca="1" si="2"/>
        <v>7</v>
      </c>
      <c r="I5" s="72">
        <f t="shared" ca="1" si="3"/>
        <v>10</v>
      </c>
      <c r="J5" s="186" t="s">
        <v>161</v>
      </c>
    </row>
    <row r="6" spans="1:10" s="79" customFormat="1" ht="16.8" x14ac:dyDescent="0.3">
      <c r="A6" s="73" t="s">
        <v>26</v>
      </c>
      <c r="B6" s="59">
        <v>0</v>
      </c>
      <c r="C6" s="74" t="s">
        <v>112</v>
      </c>
      <c r="D6" s="75" t="str">
        <f>VLOOKUP(C6,'Personal File'!$A$10:$C$15,3,FALSE)</f>
        <v>+2</v>
      </c>
      <c r="E6" s="76" t="str">
        <f t="shared" si="0"/>
        <v>Int (+2)</v>
      </c>
      <c r="F6" s="77" t="s">
        <v>50</v>
      </c>
      <c r="G6" s="77">
        <f t="shared" si="1"/>
        <v>2</v>
      </c>
      <c r="H6" s="62">
        <f t="shared" ca="1" si="2"/>
        <v>19</v>
      </c>
      <c r="I6" s="77">
        <f t="shared" ref="I6:I7" ca="1" si="4">SUM(G6:H6)</f>
        <v>21</v>
      </c>
      <c r="J6" s="78"/>
    </row>
    <row r="7" spans="1:10" s="84" customFormat="1" ht="16.8" x14ac:dyDescent="0.3">
      <c r="A7" s="80" t="s">
        <v>27</v>
      </c>
      <c r="B7" s="59">
        <v>0</v>
      </c>
      <c r="C7" s="81" t="s">
        <v>110</v>
      </c>
      <c r="D7" s="82" t="str">
        <f>VLOOKUP(C7,'Personal File'!$A$10:$C$15,3,FALSE)</f>
        <v>+2</v>
      </c>
      <c r="E7" s="65" t="str">
        <f t="shared" si="0"/>
        <v>Dex (+2)</v>
      </c>
      <c r="F7" s="77">
        <f>SUM(Martial!$D$19:$D$21)</f>
        <v>-3</v>
      </c>
      <c r="G7" s="77">
        <f t="shared" si="1"/>
        <v>-1</v>
      </c>
      <c r="H7" s="83">
        <f t="shared" ca="1" si="2"/>
        <v>3</v>
      </c>
      <c r="I7" s="77">
        <f t="shared" ca="1" si="4"/>
        <v>2</v>
      </c>
      <c r="J7" s="78"/>
    </row>
    <row r="8" spans="1:10" s="89" customFormat="1" ht="16.8" x14ac:dyDescent="0.3">
      <c r="A8" s="202" t="s">
        <v>28</v>
      </c>
      <c r="B8" s="91">
        <v>3</v>
      </c>
      <c r="C8" s="296" t="s">
        <v>114</v>
      </c>
      <c r="D8" s="297" t="str">
        <f>VLOOKUP(C8,'Personal File'!$A$10:$C$15,3,FALSE)</f>
        <v>+2</v>
      </c>
      <c r="E8" s="298" t="str">
        <f t="shared" si="0"/>
        <v>Cha (+2)</v>
      </c>
      <c r="F8" s="95" t="s">
        <v>50</v>
      </c>
      <c r="G8" s="95">
        <f t="shared" si="1"/>
        <v>5</v>
      </c>
      <c r="H8" s="83">
        <f t="shared" ca="1" si="2"/>
        <v>19</v>
      </c>
      <c r="I8" s="95">
        <f t="shared" ref="I8:I45" ca="1" si="5">SUM(G8:H8)</f>
        <v>24</v>
      </c>
      <c r="J8" s="299"/>
    </row>
    <row r="9" spans="1:10" s="97" customFormat="1" ht="16.8" x14ac:dyDescent="0.3">
      <c r="A9" s="346" t="s">
        <v>29</v>
      </c>
      <c r="B9" s="59">
        <v>0</v>
      </c>
      <c r="C9" s="347" t="s">
        <v>109</v>
      </c>
      <c r="D9" s="348" t="str">
        <f>VLOOKUP(C9,'Personal File'!$A$10:$C$15,3,FALSE)</f>
        <v>+1</v>
      </c>
      <c r="E9" s="349" t="str">
        <f t="shared" si="0"/>
        <v>Str (+1)</v>
      </c>
      <c r="F9" s="77">
        <f>SUM(Martial!$D$19:$D$21)</f>
        <v>-3</v>
      </c>
      <c r="G9" s="77">
        <f t="shared" si="1"/>
        <v>-2</v>
      </c>
      <c r="H9" s="83">
        <f t="shared" ca="1" si="2"/>
        <v>11</v>
      </c>
      <c r="I9" s="77">
        <f t="shared" ca="1" si="5"/>
        <v>9</v>
      </c>
      <c r="J9" s="289"/>
    </row>
    <row r="10" spans="1:10" s="97" customFormat="1" ht="16.8" x14ac:dyDescent="0.3">
      <c r="A10" s="531" t="s">
        <v>8</v>
      </c>
      <c r="B10" s="91">
        <v>1</v>
      </c>
      <c r="C10" s="532" t="s">
        <v>111</v>
      </c>
      <c r="D10" s="533" t="str">
        <f>VLOOKUP(C10,'Personal File'!$A$10:$C$15,3,FALSE)</f>
        <v>+1</v>
      </c>
      <c r="E10" s="534" t="str">
        <f t="shared" si="0"/>
        <v>Con (+1)</v>
      </c>
      <c r="F10" s="95" t="s">
        <v>72</v>
      </c>
      <c r="G10" s="95">
        <f t="shared" si="1"/>
        <v>4</v>
      </c>
      <c r="H10" s="83">
        <f t="shared" ca="1" si="2"/>
        <v>12</v>
      </c>
      <c r="I10" s="95">
        <f t="shared" ca="1" si="5"/>
        <v>16</v>
      </c>
      <c r="J10" s="96"/>
    </row>
    <row r="11" spans="1:10" s="79" customFormat="1" ht="16.8" x14ac:dyDescent="0.3">
      <c r="A11" s="73" t="s">
        <v>84</v>
      </c>
      <c r="B11" s="59">
        <v>0</v>
      </c>
      <c r="C11" s="74" t="s">
        <v>112</v>
      </c>
      <c r="D11" s="75" t="str">
        <f>VLOOKUP(C11,'Personal File'!$A$10:$C$15,3,FALSE)</f>
        <v>+2</v>
      </c>
      <c r="E11" s="76" t="str">
        <f t="shared" si="0"/>
        <v>Int (+2)</v>
      </c>
      <c r="F11" s="77" t="s">
        <v>50</v>
      </c>
      <c r="G11" s="77">
        <f t="shared" si="1"/>
        <v>2</v>
      </c>
      <c r="H11" s="83">
        <f t="shared" ca="1" si="2"/>
        <v>7</v>
      </c>
      <c r="I11" s="77">
        <f t="shared" ca="1" si="5"/>
        <v>9</v>
      </c>
      <c r="J11" s="78"/>
    </row>
    <row r="12" spans="1:10" s="109" customFormat="1" ht="16.8" x14ac:dyDescent="0.3">
      <c r="A12" s="102" t="s">
        <v>30</v>
      </c>
      <c r="B12" s="103">
        <v>0</v>
      </c>
      <c r="C12" s="104" t="s">
        <v>112</v>
      </c>
      <c r="D12" s="105" t="str">
        <f>VLOOKUP(C12,'Personal File'!$A$10:$C$15,3,FALSE)</f>
        <v>+2</v>
      </c>
      <c r="E12" s="106" t="str">
        <f t="shared" si="0"/>
        <v>Int (+2)</v>
      </c>
      <c r="F12" s="107" t="s">
        <v>50</v>
      </c>
      <c r="G12" s="107">
        <f t="shared" si="1"/>
        <v>2</v>
      </c>
      <c r="H12" s="83">
        <f t="shared" ca="1" si="2"/>
        <v>7</v>
      </c>
      <c r="I12" s="107">
        <f t="shared" ca="1" si="5"/>
        <v>9</v>
      </c>
      <c r="J12" s="108"/>
    </row>
    <row r="13" spans="1:10" s="84" customFormat="1" ht="16.8" x14ac:dyDescent="0.3">
      <c r="A13" s="202" t="s">
        <v>31</v>
      </c>
      <c r="B13" s="91">
        <v>3</v>
      </c>
      <c r="C13" s="296" t="s">
        <v>114</v>
      </c>
      <c r="D13" s="297" t="str">
        <f>VLOOKUP(C13,'Personal File'!$A$10:$C$15,3,FALSE)</f>
        <v>+2</v>
      </c>
      <c r="E13" s="298" t="str">
        <f t="shared" si="0"/>
        <v>Cha (+2)</v>
      </c>
      <c r="F13" s="345">
        <f>2+3</f>
        <v>5</v>
      </c>
      <c r="G13" s="95">
        <f t="shared" si="1"/>
        <v>10</v>
      </c>
      <c r="H13" s="83">
        <f t="shared" ca="1" si="2"/>
        <v>13</v>
      </c>
      <c r="I13" s="95">
        <f t="shared" ca="1" si="5"/>
        <v>23</v>
      </c>
      <c r="J13" s="96"/>
    </row>
    <row r="14" spans="1:10" s="84" customFormat="1" ht="16.8" x14ac:dyDescent="0.3">
      <c r="A14" s="102" t="s">
        <v>32</v>
      </c>
      <c r="B14" s="103">
        <v>0</v>
      </c>
      <c r="C14" s="104" t="s">
        <v>112</v>
      </c>
      <c r="D14" s="105" t="str">
        <f>VLOOKUP(C14,'Personal File'!$A$10:$C$15,3,FALSE)</f>
        <v>+2</v>
      </c>
      <c r="E14" s="106" t="str">
        <f t="shared" si="0"/>
        <v>Int (+2)</v>
      </c>
      <c r="F14" s="107" t="s">
        <v>50</v>
      </c>
      <c r="G14" s="107">
        <f t="shared" si="1"/>
        <v>2</v>
      </c>
      <c r="H14" s="83">
        <f t="shared" ca="1" si="2"/>
        <v>4</v>
      </c>
      <c r="I14" s="107">
        <f t="shared" ca="1" si="5"/>
        <v>6</v>
      </c>
      <c r="J14" s="108"/>
    </row>
    <row r="15" spans="1:10" s="84" customFormat="1" ht="16.8" x14ac:dyDescent="0.3">
      <c r="A15" s="85" t="s">
        <v>33</v>
      </c>
      <c r="B15" s="59">
        <v>0</v>
      </c>
      <c r="C15" s="86" t="s">
        <v>114</v>
      </c>
      <c r="D15" s="87" t="str">
        <f>VLOOKUP(C15,'Personal File'!$A$10:$C$15,3,FALSE)</f>
        <v>+2</v>
      </c>
      <c r="E15" s="88" t="str">
        <f t="shared" si="0"/>
        <v>Cha (+2)</v>
      </c>
      <c r="F15" s="77" t="s">
        <v>50</v>
      </c>
      <c r="G15" s="77">
        <f t="shared" si="1"/>
        <v>2</v>
      </c>
      <c r="H15" s="83">
        <f t="shared" ca="1" si="2"/>
        <v>20</v>
      </c>
      <c r="I15" s="77">
        <f t="shared" ca="1" si="5"/>
        <v>22</v>
      </c>
      <c r="J15" s="78"/>
    </row>
    <row r="16" spans="1:10" s="84" customFormat="1" ht="16.8" x14ac:dyDescent="0.3">
      <c r="A16" s="80" t="s">
        <v>34</v>
      </c>
      <c r="B16" s="59">
        <v>0</v>
      </c>
      <c r="C16" s="81" t="s">
        <v>110</v>
      </c>
      <c r="D16" s="82" t="str">
        <f>VLOOKUP(C16,'Personal File'!$A$10:$C$15,3,FALSE)</f>
        <v>+2</v>
      </c>
      <c r="E16" s="65" t="str">
        <f t="shared" si="0"/>
        <v>Dex (+2)</v>
      </c>
      <c r="F16" s="77">
        <f>SUM(Martial!$D$19:$D$21)</f>
        <v>-3</v>
      </c>
      <c r="G16" s="77">
        <f t="shared" si="1"/>
        <v>-1</v>
      </c>
      <c r="H16" s="83">
        <f t="shared" ca="1" si="2"/>
        <v>20</v>
      </c>
      <c r="I16" s="77">
        <f t="shared" ca="1" si="5"/>
        <v>19</v>
      </c>
      <c r="J16" s="78"/>
    </row>
    <row r="17" spans="1:10" s="84" customFormat="1" ht="16.8" x14ac:dyDescent="0.3">
      <c r="A17" s="73" t="s">
        <v>35</v>
      </c>
      <c r="B17" s="59">
        <v>0</v>
      </c>
      <c r="C17" s="74" t="s">
        <v>112</v>
      </c>
      <c r="D17" s="75" t="str">
        <f>VLOOKUP(C17,'Personal File'!$A$10:$C$15,3,FALSE)</f>
        <v>+2</v>
      </c>
      <c r="E17" s="76" t="str">
        <f t="shared" si="0"/>
        <v>Int (+2)</v>
      </c>
      <c r="F17" s="77" t="s">
        <v>50</v>
      </c>
      <c r="G17" s="77">
        <f t="shared" si="1"/>
        <v>2</v>
      </c>
      <c r="H17" s="83">
        <f t="shared" ca="1" si="2"/>
        <v>13</v>
      </c>
      <c r="I17" s="77">
        <f t="shared" ca="1" si="5"/>
        <v>15</v>
      </c>
      <c r="J17" s="78"/>
    </row>
    <row r="18" spans="1:10" s="84" customFormat="1" ht="16.8" x14ac:dyDescent="0.3">
      <c r="A18" s="85" t="s">
        <v>36</v>
      </c>
      <c r="B18" s="59">
        <v>0</v>
      </c>
      <c r="C18" s="86" t="s">
        <v>114</v>
      </c>
      <c r="D18" s="87" t="str">
        <f>VLOOKUP(C18,'Personal File'!$A$10:$C$15,3,FALSE)</f>
        <v>+2</v>
      </c>
      <c r="E18" s="88" t="str">
        <f t="shared" si="0"/>
        <v>Cha (+2)</v>
      </c>
      <c r="F18" s="316">
        <v>2</v>
      </c>
      <c r="G18" s="77">
        <f t="shared" si="1"/>
        <v>4</v>
      </c>
      <c r="H18" s="83">
        <f t="shared" ca="1" si="2"/>
        <v>6</v>
      </c>
      <c r="I18" s="77">
        <f t="shared" ca="1" si="5"/>
        <v>10</v>
      </c>
      <c r="J18" s="78"/>
    </row>
    <row r="19" spans="1:10" s="84" customFormat="1" ht="16.8" x14ac:dyDescent="0.3">
      <c r="A19" s="202" t="s">
        <v>10</v>
      </c>
      <c r="B19" s="91">
        <v>3</v>
      </c>
      <c r="C19" s="296" t="s">
        <v>114</v>
      </c>
      <c r="D19" s="297" t="str">
        <f>VLOOKUP(C19,'Personal File'!$A$10:$C$15,3,FALSE)</f>
        <v>+2</v>
      </c>
      <c r="E19" s="298" t="str">
        <f t="shared" si="0"/>
        <v>Cha (+2)</v>
      </c>
      <c r="F19" s="345">
        <v>-1</v>
      </c>
      <c r="G19" s="95">
        <f t="shared" si="1"/>
        <v>4</v>
      </c>
      <c r="H19" s="83">
        <f t="shared" ca="1" si="2"/>
        <v>1</v>
      </c>
      <c r="I19" s="95">
        <f t="shared" ca="1" si="5"/>
        <v>5</v>
      </c>
      <c r="J19" s="96"/>
    </row>
    <row r="20" spans="1:10" s="84" customFormat="1" ht="16.8" x14ac:dyDescent="0.3">
      <c r="A20" s="119" t="s">
        <v>37</v>
      </c>
      <c r="B20" s="59">
        <v>0</v>
      </c>
      <c r="C20" s="120" t="s">
        <v>113</v>
      </c>
      <c r="D20" s="121">
        <f>VLOOKUP(C20,'Personal File'!$A$10:$C$15,3,FALSE)</f>
        <v>-2</v>
      </c>
      <c r="E20" s="122" t="str">
        <f t="shared" si="0"/>
        <v>Wis (-2)</v>
      </c>
      <c r="F20" s="77" t="s">
        <v>50</v>
      </c>
      <c r="G20" s="77">
        <f t="shared" si="1"/>
        <v>-2</v>
      </c>
      <c r="H20" s="83">
        <f t="shared" ca="1" si="2"/>
        <v>17</v>
      </c>
      <c r="I20" s="77">
        <f t="shared" ca="1" si="5"/>
        <v>15</v>
      </c>
      <c r="J20" s="78"/>
    </row>
    <row r="21" spans="1:10" s="84" customFormat="1" ht="16.8" x14ac:dyDescent="0.3">
      <c r="A21" s="80" t="s">
        <v>38</v>
      </c>
      <c r="B21" s="59">
        <v>0</v>
      </c>
      <c r="C21" s="81" t="s">
        <v>110</v>
      </c>
      <c r="D21" s="82" t="str">
        <f>VLOOKUP(C21,'Personal File'!$A$10:$C$15,3,FALSE)</f>
        <v>+2</v>
      </c>
      <c r="E21" s="65" t="str">
        <f t="shared" si="0"/>
        <v>Dex (+2)</v>
      </c>
      <c r="F21" s="77">
        <f>SUM(Martial!$D$19:$D$21)</f>
        <v>-3</v>
      </c>
      <c r="G21" s="77">
        <f t="shared" si="1"/>
        <v>-1</v>
      </c>
      <c r="H21" s="83">
        <f t="shared" ca="1" si="2"/>
        <v>12</v>
      </c>
      <c r="I21" s="77">
        <f t="shared" ca="1" si="5"/>
        <v>11</v>
      </c>
      <c r="J21" s="78"/>
    </row>
    <row r="22" spans="1:10" s="84" customFormat="1" ht="16.8" x14ac:dyDescent="0.3">
      <c r="A22" s="85" t="s">
        <v>39</v>
      </c>
      <c r="B22" s="59">
        <v>0</v>
      </c>
      <c r="C22" s="86" t="s">
        <v>114</v>
      </c>
      <c r="D22" s="87" t="str">
        <f>VLOOKUP(C22,'Personal File'!$A$10:$C$15,3,FALSE)</f>
        <v>+2</v>
      </c>
      <c r="E22" s="88" t="str">
        <f t="shared" si="0"/>
        <v>Cha (+2)</v>
      </c>
      <c r="F22" s="77" t="s">
        <v>50</v>
      </c>
      <c r="G22" s="77">
        <f t="shared" si="1"/>
        <v>2</v>
      </c>
      <c r="H22" s="83">
        <f t="shared" ca="1" si="2"/>
        <v>14</v>
      </c>
      <c r="I22" s="77">
        <f t="shared" ca="1" si="5"/>
        <v>16</v>
      </c>
      <c r="J22" s="78"/>
    </row>
    <row r="23" spans="1:10" s="84" customFormat="1" ht="16.8" x14ac:dyDescent="0.3">
      <c r="A23" s="346" t="s">
        <v>40</v>
      </c>
      <c r="B23" s="59">
        <v>0</v>
      </c>
      <c r="C23" s="347" t="s">
        <v>109</v>
      </c>
      <c r="D23" s="348" t="str">
        <f>VLOOKUP(C23,'Personal File'!$A$10:$C$15,3,FALSE)</f>
        <v>+1</v>
      </c>
      <c r="E23" s="349" t="str">
        <f t="shared" si="0"/>
        <v>Str (+1)</v>
      </c>
      <c r="F23" s="316">
        <f>-3-12</f>
        <v>-15</v>
      </c>
      <c r="G23" s="77">
        <f t="shared" si="1"/>
        <v>-14</v>
      </c>
      <c r="H23" s="83">
        <f t="shared" ca="1" si="2"/>
        <v>9</v>
      </c>
      <c r="I23" s="77">
        <f t="shared" ca="1" si="5"/>
        <v>-5</v>
      </c>
      <c r="J23" s="78"/>
    </row>
    <row r="24" spans="1:10" s="84" customFormat="1" ht="16.8" x14ac:dyDescent="0.3">
      <c r="A24" s="98" t="s">
        <v>132</v>
      </c>
      <c r="B24" s="91">
        <v>1</v>
      </c>
      <c r="C24" s="99" t="s">
        <v>112</v>
      </c>
      <c r="D24" s="100" t="str">
        <f>VLOOKUP(C24,'Personal File'!$A$10:$C$15,3,FALSE)</f>
        <v>+2</v>
      </c>
      <c r="E24" s="101" t="str">
        <f t="shared" si="0"/>
        <v>Int (+2)</v>
      </c>
      <c r="F24" s="95" t="s">
        <v>50</v>
      </c>
      <c r="G24" s="95">
        <f t="shared" ref="G24:G27" si="6">B24+D24+F24</f>
        <v>3</v>
      </c>
      <c r="H24" s="83">
        <f t="shared" ca="1" si="2"/>
        <v>1</v>
      </c>
      <c r="I24" s="95">
        <f t="shared" ref="I24:I27" ca="1" si="7">SUM(G24:H24)</f>
        <v>4</v>
      </c>
      <c r="J24" s="96"/>
    </row>
    <row r="25" spans="1:10" s="84" customFormat="1" ht="16.8" x14ac:dyDescent="0.3">
      <c r="A25" s="98" t="s">
        <v>266</v>
      </c>
      <c r="B25" s="91">
        <v>1</v>
      </c>
      <c r="C25" s="99" t="s">
        <v>112</v>
      </c>
      <c r="D25" s="100" t="str">
        <f>VLOOKUP(C25,'Personal File'!$A$10:$C$15,3,FALSE)</f>
        <v>+2</v>
      </c>
      <c r="E25" s="101" t="str">
        <f t="shared" ref="E25" si="8">CONCATENATE(LEFT(C25,3)," (",D25,")")</f>
        <v>Int (+2)</v>
      </c>
      <c r="F25" s="95" t="s">
        <v>50</v>
      </c>
      <c r="G25" s="95">
        <f t="shared" ref="G25" si="9">B25+D25+F25</f>
        <v>3</v>
      </c>
      <c r="H25" s="83">
        <f t="shared" ca="1" si="2"/>
        <v>10</v>
      </c>
      <c r="I25" s="95">
        <f t="shared" ref="I25" ca="1" si="10">SUM(G25:H25)</f>
        <v>13</v>
      </c>
      <c r="J25" s="96"/>
    </row>
    <row r="26" spans="1:10" s="84" customFormat="1" ht="16.8" x14ac:dyDescent="0.3">
      <c r="A26" s="98" t="s">
        <v>133</v>
      </c>
      <c r="B26" s="91">
        <v>1</v>
      </c>
      <c r="C26" s="99" t="s">
        <v>112</v>
      </c>
      <c r="D26" s="100" t="str">
        <f>VLOOKUP(C26,'Personal File'!$A$10:$C$15,3,FALSE)</f>
        <v>+2</v>
      </c>
      <c r="E26" s="101" t="str">
        <f t="shared" ref="E26" si="11">CONCATENATE(LEFT(C26,3)," (",D26,")")</f>
        <v>Int (+2)</v>
      </c>
      <c r="F26" s="95" t="s">
        <v>50</v>
      </c>
      <c r="G26" s="95">
        <f t="shared" ref="G26" si="12">B26+D26+F26</f>
        <v>3</v>
      </c>
      <c r="H26" s="83">
        <f t="shared" ca="1" si="2"/>
        <v>18</v>
      </c>
      <c r="I26" s="95">
        <f t="shared" ref="I26" ca="1" si="13">SUM(G26:H26)</f>
        <v>21</v>
      </c>
      <c r="J26" s="96"/>
    </row>
    <row r="27" spans="1:10" s="84" customFormat="1" ht="16.8" x14ac:dyDescent="0.3">
      <c r="A27" s="98" t="s">
        <v>134</v>
      </c>
      <c r="B27" s="91">
        <v>1</v>
      </c>
      <c r="C27" s="99" t="s">
        <v>112</v>
      </c>
      <c r="D27" s="100" t="str">
        <f>VLOOKUP(C27,'Personal File'!$A$10:$C$15,3,FALSE)</f>
        <v>+2</v>
      </c>
      <c r="E27" s="101" t="str">
        <f t="shared" si="0"/>
        <v>Int (+2)</v>
      </c>
      <c r="F27" s="95" t="s">
        <v>50</v>
      </c>
      <c r="G27" s="95">
        <f t="shared" si="6"/>
        <v>3</v>
      </c>
      <c r="H27" s="83">
        <f t="shared" ca="1" si="2"/>
        <v>6</v>
      </c>
      <c r="I27" s="95">
        <f t="shared" ca="1" si="7"/>
        <v>9</v>
      </c>
      <c r="J27" s="96"/>
    </row>
    <row r="28" spans="1:10" s="84" customFormat="1" ht="16.8" x14ac:dyDescent="0.3">
      <c r="A28" s="119" t="s">
        <v>41</v>
      </c>
      <c r="B28" s="59">
        <v>0</v>
      </c>
      <c r="C28" s="120" t="s">
        <v>113</v>
      </c>
      <c r="D28" s="121">
        <f>VLOOKUP(C28,'Personal File'!$A$10:$C$15,3,FALSE)</f>
        <v>-2</v>
      </c>
      <c r="E28" s="122" t="str">
        <f t="shared" si="0"/>
        <v>Wis (-2)</v>
      </c>
      <c r="F28" s="77" t="s">
        <v>73</v>
      </c>
      <c r="G28" s="77">
        <f t="shared" si="1"/>
        <v>-1</v>
      </c>
      <c r="H28" s="83">
        <f t="shared" ca="1" si="2"/>
        <v>4</v>
      </c>
      <c r="I28" s="77">
        <f t="shared" ca="1" si="5"/>
        <v>3</v>
      </c>
      <c r="J28" s="78"/>
    </row>
    <row r="29" spans="1:10" s="84" customFormat="1" ht="16.8" x14ac:dyDescent="0.3">
      <c r="A29" s="80" t="s">
        <v>11</v>
      </c>
      <c r="B29" s="59">
        <v>0</v>
      </c>
      <c r="C29" s="81" t="s">
        <v>110</v>
      </c>
      <c r="D29" s="82" t="str">
        <f>VLOOKUP(C29,'Personal File'!$A$10:$C$15,3,FALSE)</f>
        <v>+2</v>
      </c>
      <c r="E29" s="65" t="str">
        <f t="shared" si="0"/>
        <v>Dex (+2)</v>
      </c>
      <c r="F29" s="77">
        <f>SUM(Martial!$D$19:$D$21)</f>
        <v>-3</v>
      </c>
      <c r="G29" s="77">
        <f t="shared" si="1"/>
        <v>-1</v>
      </c>
      <c r="H29" s="83">
        <f t="shared" ca="1" si="2"/>
        <v>17</v>
      </c>
      <c r="I29" s="77">
        <f t="shared" ca="1" si="5"/>
        <v>16</v>
      </c>
      <c r="J29" s="78"/>
    </row>
    <row r="30" spans="1:10" s="84" customFormat="1" ht="16.8" x14ac:dyDescent="0.3">
      <c r="A30" s="110" t="s">
        <v>42</v>
      </c>
      <c r="B30" s="103">
        <v>0</v>
      </c>
      <c r="C30" s="111" t="s">
        <v>110</v>
      </c>
      <c r="D30" s="112" t="str">
        <f>VLOOKUP(C30,'Personal File'!$A$10:$C$15,3,FALSE)</f>
        <v>+2</v>
      </c>
      <c r="E30" s="113" t="str">
        <f t="shared" si="0"/>
        <v>Dex (+2)</v>
      </c>
      <c r="F30" s="107" t="s">
        <v>50</v>
      </c>
      <c r="G30" s="107">
        <f t="shared" si="1"/>
        <v>2</v>
      </c>
      <c r="H30" s="83">
        <f t="shared" ca="1" si="2"/>
        <v>7</v>
      </c>
      <c r="I30" s="107">
        <f t="shared" ca="1" si="5"/>
        <v>9</v>
      </c>
      <c r="J30" s="108"/>
    </row>
    <row r="31" spans="1:10" ht="16.8" x14ac:dyDescent="0.3">
      <c r="A31" s="202" t="s">
        <v>160</v>
      </c>
      <c r="B31" s="91">
        <v>1</v>
      </c>
      <c r="C31" s="296" t="s">
        <v>114</v>
      </c>
      <c r="D31" s="297" t="str">
        <f>VLOOKUP(C31,'Personal File'!$A$10:$C$15,3,FALSE)</f>
        <v>+2</v>
      </c>
      <c r="E31" s="298" t="str">
        <f t="shared" si="0"/>
        <v>Cha (+2)</v>
      </c>
      <c r="F31" s="95" t="s">
        <v>72</v>
      </c>
      <c r="G31" s="95">
        <f t="shared" si="1"/>
        <v>5</v>
      </c>
      <c r="H31" s="83">
        <f t="shared" ca="1" si="2"/>
        <v>6</v>
      </c>
      <c r="I31" s="95">
        <f t="shared" ca="1" si="5"/>
        <v>11</v>
      </c>
      <c r="J31" s="96"/>
    </row>
    <row r="32" spans="1:10" ht="16.8" x14ac:dyDescent="0.3">
      <c r="A32" s="202" t="s">
        <v>159</v>
      </c>
      <c r="B32" s="91">
        <v>4</v>
      </c>
      <c r="C32" s="296" t="s">
        <v>114</v>
      </c>
      <c r="D32" s="297" t="str">
        <f>VLOOKUP(C32,'Personal File'!$A$10:$C$15,3,FALSE)</f>
        <v>+2</v>
      </c>
      <c r="E32" s="298" t="str">
        <f t="shared" ref="E32" si="14">CONCATENATE(LEFT(C32,3)," (",D32,")")</f>
        <v>Cha (+2)</v>
      </c>
      <c r="F32" s="95" t="s">
        <v>72</v>
      </c>
      <c r="G32" s="95">
        <f t="shared" ref="G32" si="15">B32+D32+F32</f>
        <v>8</v>
      </c>
      <c r="H32" s="83">
        <f t="shared" ca="1" si="2"/>
        <v>14</v>
      </c>
      <c r="I32" s="95">
        <f t="shared" ref="I32" ca="1" si="16">SUM(G32:H32)</f>
        <v>22</v>
      </c>
      <c r="J32" s="96"/>
    </row>
    <row r="33" spans="1:10" ht="16.8" x14ac:dyDescent="0.3">
      <c r="A33" s="114" t="s">
        <v>128</v>
      </c>
      <c r="B33" s="103">
        <v>0</v>
      </c>
      <c r="C33" s="310" t="s">
        <v>113</v>
      </c>
      <c r="D33" s="311">
        <f>VLOOKUP(C33,'Personal File'!$A$10:$C$15,3,FALSE)</f>
        <v>-2</v>
      </c>
      <c r="E33" s="312" t="str">
        <f t="shared" si="0"/>
        <v>Wis (-2)</v>
      </c>
      <c r="F33" s="107" t="s">
        <v>50</v>
      </c>
      <c r="G33" s="107">
        <f t="shared" si="1"/>
        <v>-2</v>
      </c>
      <c r="H33" s="83">
        <f t="shared" ca="1" si="2"/>
        <v>12</v>
      </c>
      <c r="I33" s="107">
        <f t="shared" ca="1" si="5"/>
        <v>10</v>
      </c>
      <c r="J33" s="108"/>
    </row>
    <row r="34" spans="1:10" ht="16.8" x14ac:dyDescent="0.3">
      <c r="A34" s="115" t="s">
        <v>12</v>
      </c>
      <c r="B34" s="91">
        <v>5</v>
      </c>
      <c r="C34" s="116" t="s">
        <v>110</v>
      </c>
      <c r="D34" s="117" t="str">
        <f>VLOOKUP(C34,'Personal File'!$A$10:$C$15,3,FALSE)</f>
        <v>+2</v>
      </c>
      <c r="E34" s="118" t="str">
        <f t="shared" si="0"/>
        <v>Dex (+2)</v>
      </c>
      <c r="F34" s="345">
        <v>1</v>
      </c>
      <c r="G34" s="95">
        <f t="shared" si="1"/>
        <v>8</v>
      </c>
      <c r="H34" s="83">
        <f t="shared" ca="1" si="2"/>
        <v>17</v>
      </c>
      <c r="I34" s="95">
        <f t="shared" ca="1" si="5"/>
        <v>25</v>
      </c>
      <c r="J34" s="96"/>
    </row>
    <row r="35" spans="1:10" ht="16.8" x14ac:dyDescent="0.3">
      <c r="A35" s="73" t="s">
        <v>13</v>
      </c>
      <c r="B35" s="59">
        <v>0</v>
      </c>
      <c r="C35" s="74" t="s">
        <v>112</v>
      </c>
      <c r="D35" s="75" t="str">
        <f>VLOOKUP(C35,'Personal File'!$A$10:$C$15,3,FALSE)</f>
        <v>+2</v>
      </c>
      <c r="E35" s="76" t="str">
        <f t="shared" si="0"/>
        <v>Int (+2)</v>
      </c>
      <c r="F35" s="77" t="s">
        <v>73</v>
      </c>
      <c r="G35" s="77">
        <f t="shared" si="1"/>
        <v>3</v>
      </c>
      <c r="H35" s="83">
        <f t="shared" ca="1" si="2"/>
        <v>16</v>
      </c>
      <c r="I35" s="77">
        <f t="shared" ca="1" si="5"/>
        <v>19</v>
      </c>
      <c r="J35" s="78"/>
    </row>
    <row r="36" spans="1:10" ht="16.8" x14ac:dyDescent="0.3">
      <c r="A36" s="119" t="s">
        <v>43</v>
      </c>
      <c r="B36" s="59">
        <v>0</v>
      </c>
      <c r="C36" s="120" t="s">
        <v>113</v>
      </c>
      <c r="D36" s="121">
        <f>VLOOKUP(C36,'Personal File'!$A$10:$C$15,3,FALSE)</f>
        <v>-2</v>
      </c>
      <c r="E36" s="122" t="str">
        <f t="shared" si="0"/>
        <v>Wis (-2)</v>
      </c>
      <c r="F36" s="77" t="s">
        <v>50</v>
      </c>
      <c r="G36" s="77">
        <f t="shared" si="1"/>
        <v>-2</v>
      </c>
      <c r="H36" s="83">
        <f t="shared" ca="1" si="2"/>
        <v>11</v>
      </c>
      <c r="I36" s="77">
        <f t="shared" ca="1" si="5"/>
        <v>9</v>
      </c>
      <c r="J36" s="78"/>
    </row>
    <row r="37" spans="1:10" ht="16.8" x14ac:dyDescent="0.3">
      <c r="A37" s="110" t="s">
        <v>67</v>
      </c>
      <c r="B37" s="103">
        <v>0</v>
      </c>
      <c r="C37" s="111" t="s">
        <v>110</v>
      </c>
      <c r="D37" s="112" t="str">
        <f>VLOOKUP(C37,'Personal File'!$A$10:$C$15,3,FALSE)</f>
        <v>+2</v>
      </c>
      <c r="E37" s="113" t="str">
        <f t="shared" si="0"/>
        <v>Dex (+2)</v>
      </c>
      <c r="F37" s="107">
        <f>SUM(Martial!$D$19:$D$21)</f>
        <v>-3</v>
      </c>
      <c r="G37" s="107">
        <f t="shared" si="1"/>
        <v>-1</v>
      </c>
      <c r="H37" s="83">
        <f t="shared" ca="1" si="2"/>
        <v>20</v>
      </c>
      <c r="I37" s="107">
        <f t="shared" ca="1" si="5"/>
        <v>19</v>
      </c>
      <c r="J37" s="108"/>
    </row>
    <row r="38" spans="1:10" ht="16.8" x14ac:dyDescent="0.3">
      <c r="A38" s="98" t="s">
        <v>83</v>
      </c>
      <c r="B38" s="91">
        <v>3</v>
      </c>
      <c r="C38" s="99" t="s">
        <v>112</v>
      </c>
      <c r="D38" s="100" t="str">
        <f>VLOOKUP(C38,'Personal File'!$A$10:$C$15,3,FALSE)</f>
        <v>+2</v>
      </c>
      <c r="E38" s="101" t="str">
        <f t="shared" si="0"/>
        <v>Int (+2)</v>
      </c>
      <c r="F38" s="95" t="s">
        <v>50</v>
      </c>
      <c r="G38" s="95">
        <f t="shared" ref="G38" si="17">B38+D38+F38</f>
        <v>5</v>
      </c>
      <c r="H38" s="83">
        <f t="shared" ca="1" si="2"/>
        <v>8</v>
      </c>
      <c r="I38" s="95">
        <f t="shared" ref="I38" ca="1" si="18">SUM(G38:H38)</f>
        <v>13</v>
      </c>
      <c r="J38" s="350"/>
    </row>
    <row r="39" spans="1:10" ht="16.8" x14ac:dyDescent="0.3">
      <c r="A39" s="98" t="s">
        <v>44</v>
      </c>
      <c r="B39" s="91">
        <v>1</v>
      </c>
      <c r="C39" s="99" t="s">
        <v>112</v>
      </c>
      <c r="D39" s="100" t="str">
        <f>VLOOKUP(C39,'Personal File'!$A$10:$C$15,3,FALSE)</f>
        <v>+2</v>
      </c>
      <c r="E39" s="101" t="str">
        <f t="shared" si="0"/>
        <v>Int (+2)</v>
      </c>
      <c r="F39" s="95" t="s">
        <v>50</v>
      </c>
      <c r="G39" s="95">
        <f t="shared" ref="G39" si="19">B39+D39+F39</f>
        <v>3</v>
      </c>
      <c r="H39" s="83">
        <f t="shared" ca="1" si="2"/>
        <v>2</v>
      </c>
      <c r="I39" s="95">
        <f t="shared" ref="I39" ca="1" si="20">SUM(G39:H39)</f>
        <v>5</v>
      </c>
      <c r="J39" s="350"/>
    </row>
    <row r="40" spans="1:10" ht="16.8" x14ac:dyDescent="0.3">
      <c r="A40" s="119" t="s">
        <v>45</v>
      </c>
      <c r="B40" s="59">
        <v>0</v>
      </c>
      <c r="C40" s="120" t="s">
        <v>113</v>
      </c>
      <c r="D40" s="121">
        <f>VLOOKUP(C40,'Personal File'!$A$10:$C$15,3,FALSE)</f>
        <v>-2</v>
      </c>
      <c r="E40" s="122" t="str">
        <f t="shared" si="0"/>
        <v>Wis (-2)</v>
      </c>
      <c r="F40" s="77" t="s">
        <v>73</v>
      </c>
      <c r="G40" s="77">
        <f t="shared" si="1"/>
        <v>-1</v>
      </c>
      <c r="H40" s="83">
        <f t="shared" ca="1" si="2"/>
        <v>6</v>
      </c>
      <c r="I40" s="77">
        <f t="shared" ca="1" si="5"/>
        <v>5</v>
      </c>
      <c r="J40" s="174"/>
    </row>
    <row r="41" spans="1:10" ht="16.8" x14ac:dyDescent="0.3">
      <c r="A41" s="119" t="s">
        <v>68</v>
      </c>
      <c r="B41" s="59">
        <v>0</v>
      </c>
      <c r="C41" s="120" t="s">
        <v>113</v>
      </c>
      <c r="D41" s="121">
        <f>VLOOKUP(C41,'Personal File'!$A$10:$C$15,3,FALSE)</f>
        <v>-2</v>
      </c>
      <c r="E41" s="122" t="str">
        <f t="shared" si="0"/>
        <v>Wis (-2)</v>
      </c>
      <c r="F41" s="77" t="s">
        <v>50</v>
      </c>
      <c r="G41" s="77">
        <f t="shared" si="1"/>
        <v>-2</v>
      </c>
      <c r="H41" s="83">
        <f t="shared" ca="1" si="2"/>
        <v>20</v>
      </c>
      <c r="I41" s="77">
        <f t="shared" ca="1" si="5"/>
        <v>18</v>
      </c>
      <c r="J41" s="78"/>
    </row>
    <row r="42" spans="1:10" ht="16.8" x14ac:dyDescent="0.3">
      <c r="A42" s="90" t="s">
        <v>14</v>
      </c>
      <c r="B42" s="91">
        <v>0</v>
      </c>
      <c r="C42" s="92" t="s">
        <v>109</v>
      </c>
      <c r="D42" s="93" t="str">
        <f>VLOOKUP(C42,'Personal File'!$A$10:$C$15,3,FALSE)</f>
        <v>+1</v>
      </c>
      <c r="E42" s="94" t="str">
        <f t="shared" si="0"/>
        <v>Str (+1)</v>
      </c>
      <c r="F42" s="95" t="s">
        <v>50</v>
      </c>
      <c r="G42" s="95">
        <f t="shared" si="1"/>
        <v>1</v>
      </c>
      <c r="H42" s="83">
        <f t="shared" ca="1" si="2"/>
        <v>12</v>
      </c>
      <c r="I42" s="95">
        <f t="shared" ca="1" si="5"/>
        <v>13</v>
      </c>
      <c r="J42" s="96"/>
    </row>
    <row r="43" spans="1:10" ht="16.8" x14ac:dyDescent="0.3">
      <c r="A43" s="110" t="s">
        <v>46</v>
      </c>
      <c r="B43" s="103">
        <v>0</v>
      </c>
      <c r="C43" s="111" t="s">
        <v>110</v>
      </c>
      <c r="D43" s="112" t="str">
        <f>VLOOKUP(C43,'Personal File'!$A$10:$C$15,3,FALSE)</f>
        <v>+2</v>
      </c>
      <c r="E43" s="113" t="str">
        <f t="shared" si="0"/>
        <v>Dex (+2)</v>
      </c>
      <c r="F43" s="107">
        <f>SUM(Martial!$D$19:$D$21)</f>
        <v>-3</v>
      </c>
      <c r="G43" s="107">
        <f t="shared" si="1"/>
        <v>-1</v>
      </c>
      <c r="H43" s="83">
        <f t="shared" ca="1" si="2"/>
        <v>17</v>
      </c>
      <c r="I43" s="107">
        <f t="shared" ca="1" si="5"/>
        <v>16</v>
      </c>
      <c r="J43" s="108"/>
    </row>
    <row r="44" spans="1:10" ht="16.8" x14ac:dyDescent="0.3">
      <c r="A44" s="114" t="s">
        <v>47</v>
      </c>
      <c r="B44" s="103">
        <v>0</v>
      </c>
      <c r="C44" s="182" t="s">
        <v>114</v>
      </c>
      <c r="D44" s="183" t="str">
        <f>VLOOKUP(C44,'Personal File'!$A$10:$C$15,3,FALSE)</f>
        <v>+2</v>
      </c>
      <c r="E44" s="184" t="str">
        <f t="shared" si="0"/>
        <v>Cha (+2)</v>
      </c>
      <c r="F44" s="107" t="s">
        <v>50</v>
      </c>
      <c r="G44" s="107">
        <f t="shared" si="1"/>
        <v>2</v>
      </c>
      <c r="H44" s="83">
        <f t="shared" ca="1" si="2"/>
        <v>20</v>
      </c>
      <c r="I44" s="107">
        <f t="shared" ca="1" si="5"/>
        <v>22</v>
      </c>
      <c r="J44" s="108"/>
    </row>
    <row r="45" spans="1:10" ht="17.399999999999999" thickBot="1" x14ac:dyDescent="0.35">
      <c r="A45" s="175" t="s">
        <v>48</v>
      </c>
      <c r="B45" s="176">
        <v>0</v>
      </c>
      <c r="C45" s="177" t="s">
        <v>110</v>
      </c>
      <c r="D45" s="178" t="str">
        <f>VLOOKUP(C45,'Personal File'!$A$10:$C$15,3,FALSE)</f>
        <v>+2</v>
      </c>
      <c r="E45" s="179" t="str">
        <f t="shared" si="0"/>
        <v>Dex (+2)</v>
      </c>
      <c r="F45" s="180" t="s">
        <v>50</v>
      </c>
      <c r="G45" s="180">
        <f t="shared" si="1"/>
        <v>2</v>
      </c>
      <c r="H45" s="123">
        <f t="shared" ca="1" si="2"/>
        <v>15</v>
      </c>
      <c r="I45" s="180">
        <f t="shared" ca="1" si="5"/>
        <v>17</v>
      </c>
      <c r="J45" s="181"/>
    </row>
    <row r="46" spans="1:10" ht="16.2" thickTop="1" x14ac:dyDescent="0.3">
      <c r="B46" s="124">
        <f>SUM(B6:B45,B33)</f>
        <v>28</v>
      </c>
      <c r="E46" s="209">
        <f>SUM(E47:E49)</f>
        <v>28</v>
      </c>
      <c r="F46" s="125" t="s">
        <v>51</v>
      </c>
    </row>
    <row r="47" spans="1:10" x14ac:dyDescent="0.3">
      <c r="B47" s="124"/>
      <c r="E47" s="171">
        <f>4*(4+'Personal File'!$C$13)</f>
        <v>24</v>
      </c>
      <c r="F47" s="127" t="s">
        <v>127</v>
      </c>
    </row>
    <row r="48" spans="1:10" x14ac:dyDescent="0.3">
      <c r="E48" s="171">
        <f>2+'Personal File'!$C$13</f>
        <v>4</v>
      </c>
      <c r="F48" s="127" t="s">
        <v>265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5FD2-E875-467C-8C58-77D033EBAAA2}">
  <dimension ref="A1:J9"/>
  <sheetViews>
    <sheetView showGridLines="0" zoomScaleNormal="100" workbookViewId="0">
      <pane ySplit="2" topLeftCell="A3" activePane="bottomLeft" state="frozen"/>
      <selection pane="bottomLeft" activeCell="A3" sqref="A3"/>
    </sheetView>
  </sheetViews>
  <sheetFormatPr defaultColWidth="18.19921875" defaultRowHeight="15.6" x14ac:dyDescent="0.3"/>
  <cols>
    <col min="1" max="1" width="23.69921875" style="521" bestFit="1" customWidth="1"/>
    <col min="2" max="2" width="6.19921875" style="521" bestFit="1" customWidth="1"/>
    <col min="3" max="3" width="13.59765625" style="522" bestFit="1" customWidth="1"/>
    <col min="4" max="4" width="11.296875" style="522" bestFit="1" customWidth="1"/>
    <col min="5" max="5" width="7.296875" style="522" bestFit="1" customWidth="1"/>
    <col min="6" max="6" width="13.19921875" style="522" bestFit="1" customWidth="1"/>
    <col min="7" max="7" width="9.796875" style="522" bestFit="1" customWidth="1"/>
    <col min="8" max="8" width="21.69921875" style="521" bestFit="1" customWidth="1"/>
    <col min="9" max="9" width="5.5" style="487" bestFit="1" customWidth="1"/>
    <col min="10" max="10" width="4.8984375" style="487" bestFit="1" customWidth="1"/>
    <col min="11" max="16384" width="18.19921875" style="487"/>
  </cols>
  <sheetData>
    <row r="1" spans="1:10" ht="23.4" thickBot="1" x14ac:dyDescent="0.45">
      <c r="A1" s="485" t="s">
        <v>236</v>
      </c>
      <c r="B1" s="486"/>
      <c r="C1" s="486"/>
      <c r="D1" s="486"/>
      <c r="E1" s="486"/>
      <c r="F1" s="486"/>
      <c r="G1" s="486"/>
      <c r="H1" s="486"/>
    </row>
    <row r="2" spans="1:10" s="494" customFormat="1" ht="16.8" x14ac:dyDescent="0.3">
      <c r="A2" s="488" t="s">
        <v>237</v>
      </c>
      <c r="B2" s="489" t="s">
        <v>81</v>
      </c>
      <c r="C2" s="489" t="s">
        <v>238</v>
      </c>
      <c r="D2" s="490" t="s">
        <v>239</v>
      </c>
      <c r="E2" s="490" t="s">
        <v>240</v>
      </c>
      <c r="F2" s="489" t="s">
        <v>241</v>
      </c>
      <c r="G2" s="489" t="s">
        <v>242</v>
      </c>
      <c r="H2" s="491" t="s">
        <v>243</v>
      </c>
      <c r="I2" s="492" t="s">
        <v>244</v>
      </c>
      <c r="J2" s="493" t="s">
        <v>245</v>
      </c>
    </row>
    <row r="3" spans="1:10" s="502" customFormat="1" ht="16.8" x14ac:dyDescent="0.3">
      <c r="A3" s="495" t="s">
        <v>246</v>
      </c>
      <c r="B3" s="496">
        <v>0</v>
      </c>
      <c r="C3" s="497" t="s">
        <v>247</v>
      </c>
      <c r="D3" s="498" t="s">
        <v>248</v>
      </c>
      <c r="E3" s="499" t="s">
        <v>249</v>
      </c>
      <c r="F3" s="500" t="s">
        <v>250</v>
      </c>
      <c r="G3" s="500" t="s">
        <v>251</v>
      </c>
      <c r="H3" s="500" t="s">
        <v>252</v>
      </c>
      <c r="I3" s="501">
        <v>196</v>
      </c>
    </row>
    <row r="4" spans="1:10" ht="16.8" x14ac:dyDescent="0.3">
      <c r="A4" s="495" t="s">
        <v>254</v>
      </c>
      <c r="B4" s="496">
        <v>0</v>
      </c>
      <c r="C4" s="503" t="s">
        <v>255</v>
      </c>
      <c r="D4" s="505" t="s">
        <v>248</v>
      </c>
      <c r="E4" s="504" t="s">
        <v>249</v>
      </c>
      <c r="F4" s="504" t="s">
        <v>250</v>
      </c>
      <c r="G4" s="504" t="s">
        <v>251</v>
      </c>
      <c r="H4" s="500" t="s">
        <v>252</v>
      </c>
      <c r="I4" s="501">
        <v>223</v>
      </c>
    </row>
    <row r="5" spans="1:10" ht="16.8" x14ac:dyDescent="0.3">
      <c r="A5" s="508" t="s">
        <v>261</v>
      </c>
      <c r="B5" s="509">
        <v>0</v>
      </c>
      <c r="C5" s="529" t="s">
        <v>247</v>
      </c>
      <c r="D5" s="510" t="s">
        <v>248</v>
      </c>
      <c r="E5" s="511" t="s">
        <v>249</v>
      </c>
      <c r="F5" s="512" t="s">
        <v>250</v>
      </c>
      <c r="G5" s="512" t="s">
        <v>251</v>
      </c>
      <c r="H5" s="512" t="s">
        <v>252</v>
      </c>
      <c r="I5" s="513">
        <v>269</v>
      </c>
      <c r="J5" s="530" t="s">
        <v>264</v>
      </c>
    </row>
    <row r="6" spans="1:10" ht="16.8" x14ac:dyDescent="0.3">
      <c r="A6" s="514" t="s">
        <v>257</v>
      </c>
      <c r="B6" s="515">
        <v>0</v>
      </c>
      <c r="C6" s="516" t="s">
        <v>255</v>
      </c>
      <c r="D6" s="517" t="s">
        <v>253</v>
      </c>
      <c r="E6" s="518" t="s">
        <v>249</v>
      </c>
      <c r="F6" s="518" t="s">
        <v>185</v>
      </c>
      <c r="G6" s="518" t="s">
        <v>258</v>
      </c>
      <c r="H6" s="519" t="s">
        <v>252</v>
      </c>
      <c r="I6" s="520">
        <v>294</v>
      </c>
      <c r="J6" s="530" t="s">
        <v>264</v>
      </c>
    </row>
    <row r="7" spans="1:10" ht="16.8" x14ac:dyDescent="0.3">
      <c r="A7" s="495" t="s">
        <v>263</v>
      </c>
      <c r="B7" s="496">
        <v>1</v>
      </c>
      <c r="C7" s="506" t="s">
        <v>259</v>
      </c>
      <c r="D7" s="498" t="s">
        <v>260</v>
      </c>
      <c r="E7" s="499" t="s">
        <v>249</v>
      </c>
      <c r="F7" s="500" t="s">
        <v>185</v>
      </c>
      <c r="G7" s="500" t="s">
        <v>256</v>
      </c>
      <c r="H7" s="500" t="s">
        <v>252</v>
      </c>
      <c r="I7" s="507">
        <v>251</v>
      </c>
    </row>
    <row r="8" spans="1:10" ht="17.399999999999999" thickBot="1" x14ac:dyDescent="0.35">
      <c r="A8" s="523" t="s">
        <v>262</v>
      </c>
      <c r="B8" s="524">
        <v>1</v>
      </c>
      <c r="C8" s="525" t="s">
        <v>255</v>
      </c>
      <c r="D8" s="526" t="s">
        <v>248</v>
      </c>
      <c r="E8" s="527" t="s">
        <v>249</v>
      </c>
      <c r="F8" s="527" t="s">
        <v>250</v>
      </c>
      <c r="G8" s="527" t="s">
        <v>256</v>
      </c>
      <c r="H8" s="527" t="s">
        <v>252</v>
      </c>
      <c r="I8" s="528">
        <v>269</v>
      </c>
      <c r="J8" s="530"/>
    </row>
    <row r="9" spans="1:10"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
  <sheetViews>
    <sheetView showGridLines="0" workbookViewId="0"/>
  </sheetViews>
  <sheetFormatPr defaultColWidth="9.59765625" defaultRowHeight="16.8" x14ac:dyDescent="0.3"/>
  <cols>
    <col min="1" max="1" width="43.59765625" style="131" bestFit="1" customWidth="1"/>
    <col min="2" max="2" width="2.296875" style="129" customWidth="1"/>
    <col min="3" max="3" width="30.296875" style="129" bestFit="1" customWidth="1"/>
    <col min="4" max="4" width="2.296875" style="129" customWidth="1"/>
    <col min="5" max="5" width="16.3984375" style="129" bestFit="1" customWidth="1"/>
    <col min="6" max="6" width="3.59765625" style="129" bestFit="1" customWidth="1"/>
    <col min="7" max="7" width="3.3984375" style="129" bestFit="1" customWidth="1"/>
    <col min="8" max="8" width="3.8984375" style="129" bestFit="1" customWidth="1"/>
    <col min="9" max="9" width="3.69921875" style="129" bestFit="1" customWidth="1"/>
    <col min="10" max="11" width="3.59765625" style="129" bestFit="1" customWidth="1"/>
    <col min="12" max="16384" width="9.59765625" style="129"/>
  </cols>
  <sheetData>
    <row r="1" spans="1:11" ht="22.2" thickTop="1" thickBot="1" x14ac:dyDescent="0.45">
      <c r="A1" s="216" t="s">
        <v>70</v>
      </c>
      <c r="C1" s="307" t="s">
        <v>129</v>
      </c>
      <c r="D1"/>
      <c r="E1" s="124"/>
      <c r="F1" s="478" t="s">
        <v>226</v>
      </c>
      <c r="G1" s="479"/>
      <c r="H1" s="480"/>
      <c r="I1" s="480"/>
      <c r="J1" s="480"/>
      <c r="K1" s="481"/>
    </row>
    <row r="2" spans="1:11" ht="17.399999999999999" thickBot="1" x14ac:dyDescent="0.35">
      <c r="A2" s="315" t="s">
        <v>153</v>
      </c>
      <c r="C2" s="313" t="s">
        <v>157</v>
      </c>
      <c r="E2" s="447"/>
      <c r="F2" s="482" t="s">
        <v>227</v>
      </c>
      <c r="G2" s="483" t="s">
        <v>221</v>
      </c>
      <c r="H2" s="483" t="s">
        <v>222</v>
      </c>
      <c r="I2" s="483" t="s">
        <v>223</v>
      </c>
      <c r="J2" s="483" t="s">
        <v>224</v>
      </c>
      <c r="K2" s="484" t="s">
        <v>225</v>
      </c>
    </row>
    <row r="3" spans="1:11" ht="18" thickTop="1" thickBot="1" x14ac:dyDescent="0.35">
      <c r="A3" s="315" t="s">
        <v>151</v>
      </c>
      <c r="C3" s="314" t="s">
        <v>156</v>
      </c>
      <c r="E3" s="448" t="s">
        <v>228</v>
      </c>
      <c r="F3" s="449">
        <v>3</v>
      </c>
      <c r="G3" s="450">
        <v>2</v>
      </c>
      <c r="H3" s="451">
        <v>0</v>
      </c>
      <c r="I3" s="451">
        <v>0</v>
      </c>
      <c r="J3" s="451">
        <v>0</v>
      </c>
      <c r="K3" s="452">
        <v>0</v>
      </c>
    </row>
    <row r="4" spans="1:11" ht="18" thickTop="1" thickBot="1" x14ac:dyDescent="0.35">
      <c r="A4" s="130" t="s">
        <v>152</v>
      </c>
      <c r="E4" s="453" t="s">
        <v>229</v>
      </c>
      <c r="F4" s="454">
        <v>0</v>
      </c>
      <c r="G4" s="454">
        <v>1</v>
      </c>
      <c r="H4" s="455">
        <v>1</v>
      </c>
      <c r="I4" s="455">
        <v>1</v>
      </c>
      <c r="J4" s="455">
        <v>0</v>
      </c>
      <c r="K4" s="456">
        <v>0</v>
      </c>
    </row>
    <row r="5" spans="1:11" ht="22.2" thickTop="1" thickBot="1" x14ac:dyDescent="0.35">
      <c r="A5" s="331" t="s">
        <v>155</v>
      </c>
      <c r="C5" s="342" t="s">
        <v>147</v>
      </c>
      <c r="E5" s="457" t="s">
        <v>230</v>
      </c>
      <c r="F5" s="458">
        <f t="shared" ref="F5:G5" si="0">SUM(F3:F4)</f>
        <v>3</v>
      </c>
      <c r="G5" s="458">
        <f t="shared" si="0"/>
        <v>3</v>
      </c>
      <c r="H5" s="459">
        <v>0</v>
      </c>
      <c r="I5" s="459">
        <v>0</v>
      </c>
      <c r="J5" s="459">
        <f t="shared" ref="J5:K5" si="1">SUM(J3:J4)</f>
        <v>0</v>
      </c>
      <c r="K5" s="460">
        <f t="shared" si="1"/>
        <v>0</v>
      </c>
    </row>
    <row r="6" spans="1:11" ht="18" thickTop="1" thickBot="1" x14ac:dyDescent="0.35">
      <c r="C6" s="343" t="s">
        <v>158</v>
      </c>
      <c r="E6" s="461" t="s">
        <v>231</v>
      </c>
      <c r="F6" s="462">
        <v>14</v>
      </c>
      <c r="G6" s="462">
        <v>15</v>
      </c>
      <c r="H6" s="463">
        <v>16</v>
      </c>
      <c r="I6" s="463">
        <v>17</v>
      </c>
      <c r="J6" s="463">
        <v>18</v>
      </c>
      <c r="K6" s="464">
        <v>19</v>
      </c>
    </row>
    <row r="7" spans="1:11" ht="22.2" thickTop="1" thickBot="1" x14ac:dyDescent="0.35">
      <c r="A7" s="217" t="s">
        <v>87</v>
      </c>
      <c r="C7" s="17"/>
      <c r="E7" s="465" t="s">
        <v>232</v>
      </c>
      <c r="F7" s="473">
        <v>0</v>
      </c>
      <c r="G7" s="473">
        <v>0</v>
      </c>
      <c r="H7" s="466">
        <v>0</v>
      </c>
      <c r="I7" s="466">
        <v>0</v>
      </c>
      <c r="J7" s="466">
        <v>0</v>
      </c>
      <c r="K7" s="467">
        <v>0</v>
      </c>
    </row>
    <row r="8" spans="1:11" ht="22.2" thickTop="1" thickBot="1" x14ac:dyDescent="0.35">
      <c r="A8" s="198" t="s">
        <v>88</v>
      </c>
      <c r="C8" s="344" t="s">
        <v>148</v>
      </c>
      <c r="E8" s="468"/>
      <c r="F8" s="468"/>
      <c r="G8" s="468"/>
      <c r="H8" s="468"/>
      <c r="I8" s="468"/>
      <c r="J8" s="468"/>
      <c r="K8" s="468"/>
    </row>
    <row r="9" spans="1:11" ht="17.399999999999999" thickTop="1" x14ac:dyDescent="0.3">
      <c r="A9" s="185" t="s">
        <v>89</v>
      </c>
      <c r="C9" s="198" t="s">
        <v>150</v>
      </c>
      <c r="E9" s="474" t="s">
        <v>233</v>
      </c>
      <c r="F9" s="475" t="s">
        <v>234</v>
      </c>
      <c r="G9" s="475"/>
      <c r="H9" s="476" t="s">
        <v>235</v>
      </c>
      <c r="I9" s="476"/>
      <c r="J9" s="477"/>
      <c r="K9" s="468"/>
    </row>
    <row r="10" spans="1:11" ht="17.399999999999999" thickBot="1" x14ac:dyDescent="0.35">
      <c r="A10" s="199" t="s">
        <v>71</v>
      </c>
      <c r="C10" s="343" t="s">
        <v>149</v>
      </c>
      <c r="E10" s="469" t="s">
        <v>216</v>
      </c>
      <c r="F10" s="470">
        <v>0</v>
      </c>
      <c r="G10" s="470"/>
      <c r="H10" s="471">
        <v>0</v>
      </c>
      <c r="I10" s="470"/>
      <c r="J10" s="472"/>
      <c r="K10" s="468"/>
    </row>
    <row r="11" spans="1:11" ht="18" thickTop="1" thickBot="1" x14ac:dyDescent="0.35">
      <c r="C11" s="17"/>
    </row>
    <row r="12" spans="1:11" ht="24" thickTop="1" thickBot="1" x14ac:dyDescent="0.35">
      <c r="A12" s="218" t="s">
        <v>58</v>
      </c>
      <c r="C12" s="422" t="s">
        <v>217</v>
      </c>
      <c r="E12" s="423" t="s">
        <v>220</v>
      </c>
      <c r="F12" s="424"/>
      <c r="G12" s="424"/>
      <c r="H12" s="424"/>
      <c r="I12" s="424"/>
      <c r="J12" s="424"/>
      <c r="K12" s="424"/>
    </row>
    <row r="13" spans="1:11" ht="18" thickTop="1" thickBot="1" x14ac:dyDescent="0.35">
      <c r="A13" s="198" t="s">
        <v>145</v>
      </c>
      <c r="C13" s="419" t="str">
        <f>CONCATENATE("Arcane Attunement, ",(3+'Personal File'!C13),"/day")</f>
        <v>Arcane Attunement, 5/day</v>
      </c>
      <c r="E13" s="425" t="s">
        <v>81</v>
      </c>
      <c r="F13" s="426">
        <v>0</v>
      </c>
      <c r="G13" s="427" t="s">
        <v>221</v>
      </c>
      <c r="H13" s="427" t="s">
        <v>222</v>
      </c>
      <c r="I13" s="427" t="s">
        <v>223</v>
      </c>
      <c r="J13" s="427" t="s">
        <v>224</v>
      </c>
      <c r="K13" s="428" t="s">
        <v>225</v>
      </c>
    </row>
    <row r="14" spans="1:11" ht="17.399999999999999" thickBot="1" x14ac:dyDescent="0.35">
      <c r="A14" s="199" t="s">
        <v>146</v>
      </c>
      <c r="C14" s="420" t="s">
        <v>218</v>
      </c>
      <c r="E14" s="429">
        <v>1</v>
      </c>
      <c r="F14" s="430">
        <v>2</v>
      </c>
      <c r="G14" s="431">
        <v>1</v>
      </c>
      <c r="H14" s="432"/>
      <c r="I14" s="432"/>
      <c r="J14" s="432"/>
      <c r="K14" s="433"/>
    </row>
    <row r="15" spans="1:11" ht="18" thickTop="1" thickBot="1" x14ac:dyDescent="0.35">
      <c r="C15" s="421" t="s">
        <v>219</v>
      </c>
      <c r="E15" s="434">
        <v>2</v>
      </c>
      <c r="F15" s="435">
        <f t="shared" ref="F15:F16" si="2">F14</f>
        <v>2</v>
      </c>
      <c r="G15" s="431">
        <v>2</v>
      </c>
      <c r="H15" s="436"/>
      <c r="I15" s="436"/>
      <c r="J15" s="436"/>
      <c r="K15" s="437"/>
    </row>
    <row r="16" spans="1:11" ht="17.399999999999999" thickTop="1" x14ac:dyDescent="0.3">
      <c r="E16" s="434">
        <v>3</v>
      </c>
      <c r="F16" s="435">
        <f t="shared" si="2"/>
        <v>2</v>
      </c>
      <c r="G16" s="431">
        <v>3</v>
      </c>
      <c r="H16" s="436"/>
      <c r="I16" s="436"/>
      <c r="J16" s="436"/>
      <c r="K16" s="437"/>
    </row>
    <row r="17" spans="5:11" x14ac:dyDescent="0.3">
      <c r="E17" s="434">
        <v>4</v>
      </c>
      <c r="F17" s="435">
        <v>6</v>
      </c>
      <c r="G17" s="431">
        <v>4</v>
      </c>
      <c r="H17" s="436"/>
      <c r="I17" s="436"/>
      <c r="J17" s="436"/>
      <c r="K17" s="437"/>
    </row>
    <row r="18" spans="5:11" x14ac:dyDescent="0.3">
      <c r="E18" s="434">
        <v>5</v>
      </c>
      <c r="F18" s="435">
        <f t="shared" ref="F18:F32" si="3">F17</f>
        <v>6</v>
      </c>
      <c r="G18" s="431">
        <f t="shared" ref="G18:G20" si="4">F18-1</f>
        <v>5</v>
      </c>
      <c r="H18" s="438">
        <v>2</v>
      </c>
      <c r="I18" s="436"/>
      <c r="J18" s="436"/>
      <c r="K18" s="437"/>
    </row>
    <row r="19" spans="5:11" x14ac:dyDescent="0.3">
      <c r="E19" s="434">
        <v>6</v>
      </c>
      <c r="F19" s="435">
        <f t="shared" si="3"/>
        <v>6</v>
      </c>
      <c r="G19" s="435">
        <f t="shared" si="4"/>
        <v>5</v>
      </c>
      <c r="H19" s="435">
        <v>3</v>
      </c>
      <c r="I19" s="436"/>
      <c r="J19" s="436"/>
      <c r="K19" s="437"/>
    </row>
    <row r="20" spans="5:11" x14ac:dyDescent="0.3">
      <c r="E20" s="434">
        <v>7</v>
      </c>
      <c r="F20" s="435">
        <f t="shared" si="3"/>
        <v>6</v>
      </c>
      <c r="G20" s="431">
        <f t="shared" si="4"/>
        <v>5</v>
      </c>
      <c r="H20" s="438">
        <v>4</v>
      </c>
      <c r="I20" s="436"/>
      <c r="J20" s="436"/>
      <c r="K20" s="437"/>
    </row>
    <row r="21" spans="5:11" x14ac:dyDescent="0.3">
      <c r="E21" s="434">
        <v>8</v>
      </c>
      <c r="F21" s="435">
        <f t="shared" si="3"/>
        <v>6</v>
      </c>
      <c r="G21" s="431">
        <f t="shared" ref="G21:G24" si="5">F21</f>
        <v>6</v>
      </c>
      <c r="H21" s="431">
        <f t="shared" ref="H21:K33" si="6">G21-1</f>
        <v>5</v>
      </c>
      <c r="I21" s="436"/>
      <c r="J21" s="436"/>
      <c r="K21" s="437"/>
    </row>
    <row r="22" spans="5:11" x14ac:dyDescent="0.3">
      <c r="E22" s="434">
        <v>9</v>
      </c>
      <c r="F22" s="435">
        <f t="shared" si="3"/>
        <v>6</v>
      </c>
      <c r="G22" s="431">
        <f t="shared" si="5"/>
        <v>6</v>
      </c>
      <c r="H22" s="431">
        <f t="shared" si="6"/>
        <v>5</v>
      </c>
      <c r="I22" s="438">
        <v>1</v>
      </c>
      <c r="J22" s="436"/>
      <c r="K22" s="437"/>
    </row>
    <row r="23" spans="5:11" x14ac:dyDescent="0.3">
      <c r="E23" s="434">
        <v>10</v>
      </c>
      <c r="F23" s="435">
        <f t="shared" si="3"/>
        <v>6</v>
      </c>
      <c r="G23" s="431">
        <f t="shared" si="5"/>
        <v>6</v>
      </c>
      <c r="H23" s="431">
        <f t="shared" si="6"/>
        <v>5</v>
      </c>
      <c r="I23" s="438">
        <v>2</v>
      </c>
      <c r="J23" s="436"/>
      <c r="K23" s="437"/>
    </row>
    <row r="24" spans="5:11" x14ac:dyDescent="0.3">
      <c r="E24" s="434">
        <v>11</v>
      </c>
      <c r="F24" s="435">
        <f t="shared" si="3"/>
        <v>6</v>
      </c>
      <c r="G24" s="431">
        <f t="shared" si="5"/>
        <v>6</v>
      </c>
      <c r="H24" s="431">
        <f t="shared" si="6"/>
        <v>5</v>
      </c>
      <c r="I24" s="438">
        <v>3</v>
      </c>
      <c r="J24" s="436"/>
      <c r="K24" s="437"/>
    </row>
    <row r="25" spans="5:11" x14ac:dyDescent="0.3">
      <c r="E25" s="434">
        <v>12</v>
      </c>
      <c r="F25" s="435">
        <f t="shared" si="3"/>
        <v>6</v>
      </c>
      <c r="G25" s="431">
        <f t="shared" ref="G25:G33" si="7">F25+1</f>
        <v>7</v>
      </c>
      <c r="H25" s="431">
        <f t="shared" si="6"/>
        <v>6</v>
      </c>
      <c r="I25" s="438">
        <f t="shared" si="6"/>
        <v>5</v>
      </c>
      <c r="J25" s="436"/>
      <c r="K25" s="437"/>
    </row>
    <row r="26" spans="5:11" x14ac:dyDescent="0.3">
      <c r="E26" s="434">
        <v>13</v>
      </c>
      <c r="F26" s="435">
        <f t="shared" si="3"/>
        <v>6</v>
      </c>
      <c r="G26" s="431">
        <f t="shared" si="7"/>
        <v>7</v>
      </c>
      <c r="H26" s="431">
        <f t="shared" si="6"/>
        <v>6</v>
      </c>
      <c r="I26" s="438">
        <f t="shared" si="6"/>
        <v>5</v>
      </c>
      <c r="J26" s="438">
        <v>1</v>
      </c>
      <c r="K26" s="437"/>
    </row>
    <row r="27" spans="5:11" x14ac:dyDescent="0.3">
      <c r="E27" s="434">
        <v>14</v>
      </c>
      <c r="F27" s="435">
        <f t="shared" si="3"/>
        <v>6</v>
      </c>
      <c r="G27" s="431">
        <f t="shared" si="7"/>
        <v>7</v>
      </c>
      <c r="H27" s="431">
        <f t="shared" si="6"/>
        <v>6</v>
      </c>
      <c r="I27" s="438">
        <f t="shared" si="6"/>
        <v>5</v>
      </c>
      <c r="J27" s="438">
        <v>2</v>
      </c>
      <c r="K27" s="437"/>
    </row>
    <row r="28" spans="5:11" x14ac:dyDescent="0.3">
      <c r="E28" s="434">
        <v>15</v>
      </c>
      <c r="F28" s="435">
        <f t="shared" si="3"/>
        <v>6</v>
      </c>
      <c r="G28" s="431">
        <f t="shared" si="7"/>
        <v>7</v>
      </c>
      <c r="H28" s="431">
        <f t="shared" si="6"/>
        <v>6</v>
      </c>
      <c r="I28" s="438">
        <f t="shared" si="6"/>
        <v>5</v>
      </c>
      <c r="J28" s="438">
        <v>3</v>
      </c>
      <c r="K28" s="439"/>
    </row>
    <row r="29" spans="5:11" x14ac:dyDescent="0.3">
      <c r="E29" s="434">
        <v>16</v>
      </c>
      <c r="F29" s="435">
        <f t="shared" si="3"/>
        <v>6</v>
      </c>
      <c r="G29" s="431">
        <f t="shared" si="7"/>
        <v>7</v>
      </c>
      <c r="H29" s="431">
        <f t="shared" si="6"/>
        <v>6</v>
      </c>
      <c r="I29" s="438">
        <f t="shared" si="6"/>
        <v>5</v>
      </c>
      <c r="J29" s="438">
        <f t="shared" si="6"/>
        <v>4</v>
      </c>
      <c r="K29" s="440"/>
    </row>
    <row r="30" spans="5:11" x14ac:dyDescent="0.3">
      <c r="E30" s="434">
        <v>17</v>
      </c>
      <c r="F30" s="435">
        <f t="shared" si="3"/>
        <v>6</v>
      </c>
      <c r="G30" s="431">
        <f t="shared" si="7"/>
        <v>7</v>
      </c>
      <c r="H30" s="431">
        <f t="shared" si="6"/>
        <v>6</v>
      </c>
      <c r="I30" s="438">
        <f t="shared" si="6"/>
        <v>5</v>
      </c>
      <c r="J30" s="438">
        <f t="shared" si="6"/>
        <v>4</v>
      </c>
      <c r="K30" s="441">
        <v>1</v>
      </c>
    </row>
    <row r="31" spans="5:11" x14ac:dyDescent="0.3">
      <c r="E31" s="434">
        <v>18</v>
      </c>
      <c r="F31" s="435">
        <f t="shared" si="3"/>
        <v>6</v>
      </c>
      <c r="G31" s="431">
        <f t="shared" si="7"/>
        <v>7</v>
      </c>
      <c r="H31" s="431">
        <f t="shared" si="6"/>
        <v>6</v>
      </c>
      <c r="I31" s="438">
        <f t="shared" si="6"/>
        <v>5</v>
      </c>
      <c r="J31" s="438">
        <f t="shared" si="6"/>
        <v>4</v>
      </c>
      <c r="K31" s="441">
        <v>2</v>
      </c>
    </row>
    <row r="32" spans="5:11" x14ac:dyDescent="0.3">
      <c r="E32" s="434">
        <v>19</v>
      </c>
      <c r="F32" s="435">
        <f t="shared" si="3"/>
        <v>6</v>
      </c>
      <c r="G32" s="431">
        <f t="shared" si="7"/>
        <v>7</v>
      </c>
      <c r="H32" s="431">
        <f t="shared" si="6"/>
        <v>6</v>
      </c>
      <c r="I32" s="438">
        <f t="shared" si="6"/>
        <v>5</v>
      </c>
      <c r="J32" s="438">
        <f t="shared" si="6"/>
        <v>4</v>
      </c>
      <c r="K32" s="441">
        <v>3</v>
      </c>
    </row>
    <row r="33" spans="5:11" ht="17.399999999999999" thickBot="1" x14ac:dyDescent="0.35">
      <c r="E33" s="442">
        <v>20</v>
      </c>
      <c r="F33" s="443">
        <f>F27</f>
        <v>6</v>
      </c>
      <c r="G33" s="444">
        <f t="shared" si="7"/>
        <v>7</v>
      </c>
      <c r="H33" s="444">
        <f t="shared" si="6"/>
        <v>6</v>
      </c>
      <c r="I33" s="445">
        <f t="shared" si="6"/>
        <v>5</v>
      </c>
      <c r="J33" s="445">
        <f t="shared" si="6"/>
        <v>4</v>
      </c>
      <c r="K33" s="446">
        <f t="shared" si="6"/>
        <v>3</v>
      </c>
    </row>
    <row r="34" spans="5:11" ht="17.399999999999999" thickTop="1" x14ac:dyDescent="0.3"/>
  </sheetData>
  <sortState xmlns:xlrd2="http://schemas.microsoft.com/office/spreadsheetml/2017/richdata2" ref="A2:A4">
    <sortCondition ref="A2:A4"/>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showGridLines="0" workbookViewId="0"/>
  </sheetViews>
  <sheetFormatPr defaultColWidth="13" defaultRowHeight="15.6" x14ac:dyDescent="0.3"/>
  <cols>
    <col min="1" max="1" width="28.3984375" style="128" bestFit="1" customWidth="1"/>
    <col min="2" max="2" width="8.5" style="128" bestFit="1" customWidth="1"/>
    <col min="3" max="3" width="5.59765625" style="128" bestFit="1" customWidth="1"/>
    <col min="4" max="4" width="6.5" style="128" bestFit="1" customWidth="1"/>
    <col min="5" max="5" width="8.5" style="128" bestFit="1" customWidth="1"/>
    <col min="6" max="6" width="9.3984375" style="128" bestFit="1" customWidth="1"/>
    <col min="7" max="7" width="4.3984375" style="128" bestFit="1" customWidth="1"/>
    <col min="8" max="8" width="4.69921875" style="128" bestFit="1" customWidth="1"/>
    <col min="9" max="9" width="5.69921875" style="128" bestFit="1" customWidth="1"/>
    <col min="10" max="10" width="8.796875" style="128" bestFit="1" customWidth="1"/>
    <col min="11" max="11" width="9.69921875" style="128" bestFit="1" customWidth="1"/>
    <col min="12" max="12" width="2.8984375" style="14" customWidth="1"/>
    <col min="13" max="13" width="5.796875" style="14" bestFit="1" customWidth="1"/>
    <col min="14" max="16384" width="13" style="14"/>
  </cols>
  <sheetData>
    <row r="1" spans="1:14" ht="23.4" thickBot="1" x14ac:dyDescent="0.35">
      <c r="A1" s="132" t="s">
        <v>15</v>
      </c>
      <c r="B1" s="132"/>
      <c r="C1" s="132"/>
      <c r="D1" s="132"/>
      <c r="E1" s="132"/>
      <c r="F1" s="132"/>
      <c r="G1" s="132"/>
      <c r="H1" s="132"/>
      <c r="I1" s="132"/>
      <c r="J1" s="132"/>
      <c r="K1" s="132"/>
      <c r="N1"/>
    </row>
    <row r="2" spans="1:14" ht="16.8" thickTop="1" thickBot="1" x14ac:dyDescent="0.35">
      <c r="A2" s="133" t="s">
        <v>1</v>
      </c>
      <c r="B2" s="134" t="s">
        <v>2</v>
      </c>
      <c r="C2" s="134" t="s">
        <v>18</v>
      </c>
      <c r="D2" s="134" t="s">
        <v>19</v>
      </c>
      <c r="E2" s="135" t="s">
        <v>52</v>
      </c>
      <c r="F2" s="134" t="s">
        <v>16</v>
      </c>
      <c r="G2" s="134" t="s">
        <v>20</v>
      </c>
      <c r="H2" s="136" t="s">
        <v>69</v>
      </c>
      <c r="I2" s="137" t="s">
        <v>77</v>
      </c>
      <c r="J2" s="136" t="s">
        <v>64</v>
      </c>
      <c r="K2" s="138" t="s">
        <v>0</v>
      </c>
      <c r="M2" s="139" t="s">
        <v>80</v>
      </c>
    </row>
    <row r="3" spans="1:14" x14ac:dyDescent="0.3">
      <c r="A3" s="203" t="s">
        <v>215</v>
      </c>
      <c r="B3" s="6" t="s">
        <v>135</v>
      </c>
      <c r="C3" s="7" t="str">
        <f>CONCATENATE('Personal File'!$C$10)</f>
        <v>+1</v>
      </c>
      <c r="D3" s="8" t="s">
        <v>50</v>
      </c>
      <c r="E3" s="8" t="s">
        <v>99</v>
      </c>
      <c r="F3" s="9" t="s">
        <v>74</v>
      </c>
      <c r="G3" s="10">
        <v>4</v>
      </c>
      <c r="H3" s="13" t="str">
        <f>CONCATENATE("+",'Personal File'!$B$8+'Personal File'!$C$10+D3)</f>
        <v>+2</v>
      </c>
      <c r="I3" s="11">
        <f t="shared" ref="I3:I11" ca="1" si="0">RANDBETWEEN(1,20)</f>
        <v>11</v>
      </c>
      <c r="J3" s="5">
        <f t="shared" ref="J3:J12" ca="1" si="1">I3+H3</f>
        <v>13</v>
      </c>
      <c r="K3" s="253"/>
      <c r="M3" s="211">
        <v>30</v>
      </c>
    </row>
    <row r="4" spans="1:14" x14ac:dyDescent="0.3">
      <c r="A4" s="233" t="s">
        <v>131</v>
      </c>
      <c r="B4" s="234" t="s">
        <v>135</v>
      </c>
      <c r="C4" s="235" t="str">
        <f>CONCATENATE('Personal File'!$C$10)</f>
        <v>+1</v>
      </c>
      <c r="D4" s="236" t="s">
        <v>50</v>
      </c>
      <c r="E4" s="236" t="s">
        <v>99</v>
      </c>
      <c r="F4" s="318" t="s">
        <v>74</v>
      </c>
      <c r="G4" s="237"/>
      <c r="H4" s="288" t="str">
        <f>CONCATENATE("+",'Personal File'!$B$8+'Personal File'!$C$10+D4)</f>
        <v>+2</v>
      </c>
      <c r="I4" s="285">
        <f t="shared" ca="1" si="0"/>
        <v>6</v>
      </c>
      <c r="J4" s="286">
        <f t="shared" ref="J4:J6" ca="1" si="2">I4+H4</f>
        <v>8</v>
      </c>
      <c r="K4" s="330"/>
      <c r="M4" s="251" t="s">
        <v>82</v>
      </c>
    </row>
    <row r="5" spans="1:14" x14ac:dyDescent="0.3">
      <c r="A5" s="321" t="s">
        <v>190</v>
      </c>
      <c r="B5" s="322" t="s">
        <v>79</v>
      </c>
      <c r="C5" s="323">
        <f>CONCATENATE('Personal File'!$C$10)-1</f>
        <v>0</v>
      </c>
      <c r="D5" s="324" t="s">
        <v>50</v>
      </c>
      <c r="E5" s="324" t="s">
        <v>99</v>
      </c>
      <c r="F5" s="325" t="s">
        <v>95</v>
      </c>
      <c r="G5" s="326">
        <v>4</v>
      </c>
      <c r="H5" s="327" t="str">
        <f>CONCATENATE("+",'Personal File'!$B$8+'Personal File'!$C$10+D5)</f>
        <v>+2</v>
      </c>
      <c r="I5" s="328">
        <f t="shared" ca="1" si="0"/>
        <v>10</v>
      </c>
      <c r="J5" s="329">
        <f t="shared" ca="1" si="2"/>
        <v>12</v>
      </c>
      <c r="K5" s="287"/>
      <c r="M5" s="252">
        <v>25</v>
      </c>
    </row>
    <row r="6" spans="1:14" x14ac:dyDescent="0.3">
      <c r="A6" s="233" t="s">
        <v>191</v>
      </c>
      <c r="B6" s="234" t="s">
        <v>79</v>
      </c>
      <c r="C6" s="235">
        <f>CONCATENATE('Personal File'!$C$10)-1</f>
        <v>0</v>
      </c>
      <c r="D6" s="236" t="s">
        <v>50</v>
      </c>
      <c r="E6" s="236" t="s">
        <v>99</v>
      </c>
      <c r="F6" s="318" t="s">
        <v>95</v>
      </c>
      <c r="G6" s="237"/>
      <c r="H6" s="288" t="str">
        <f>CONCATENATE("+",'Personal File'!$B$8+'Personal File'!$C$10+D6)</f>
        <v>+2</v>
      </c>
      <c r="I6" s="285">
        <f t="shared" ca="1" si="0"/>
        <v>13</v>
      </c>
      <c r="J6" s="286">
        <f t="shared" ca="1" si="2"/>
        <v>15</v>
      </c>
      <c r="K6" s="254"/>
      <c r="M6" s="251" t="s">
        <v>82</v>
      </c>
    </row>
    <row r="7" spans="1:14" x14ac:dyDescent="0.3">
      <c r="A7" s="321" t="s">
        <v>211</v>
      </c>
      <c r="B7" s="322" t="s">
        <v>93</v>
      </c>
      <c r="C7" s="323" t="str">
        <f>CONCATENATE('Personal File'!$C$10)</f>
        <v>+1</v>
      </c>
      <c r="D7" s="324" t="s">
        <v>50</v>
      </c>
      <c r="E7" s="324" t="s">
        <v>99</v>
      </c>
      <c r="F7" s="325" t="s">
        <v>100</v>
      </c>
      <c r="G7" s="326">
        <v>1</v>
      </c>
      <c r="H7" s="327" t="str">
        <f>CONCATENATE("+",'Personal File'!$B$8+'Personal File'!$C$10+D7)</f>
        <v>+2</v>
      </c>
      <c r="I7" s="328">
        <f t="shared" ca="1" si="0"/>
        <v>5</v>
      </c>
      <c r="J7" s="329">
        <f t="shared" ref="J7:J8" ca="1" si="3">I7+H7</f>
        <v>7</v>
      </c>
      <c r="K7" s="287"/>
      <c r="M7" s="252">
        <v>2</v>
      </c>
    </row>
    <row r="8" spans="1:14" x14ac:dyDescent="0.3">
      <c r="A8" s="233" t="s">
        <v>212</v>
      </c>
      <c r="B8" s="234" t="s">
        <v>93</v>
      </c>
      <c r="C8" s="235" t="str">
        <f>CONCATENATE('Personal File'!$C$10)</f>
        <v>+1</v>
      </c>
      <c r="D8" s="236" t="s">
        <v>50</v>
      </c>
      <c r="E8" s="236" t="s">
        <v>99</v>
      </c>
      <c r="F8" s="318" t="s">
        <v>100</v>
      </c>
      <c r="G8" s="237"/>
      <c r="H8" s="288" t="str">
        <f>CONCATENATE("+",'Personal File'!$B$8+'Personal File'!$C$10+D8)</f>
        <v>+2</v>
      </c>
      <c r="I8" s="285">
        <f t="shared" ca="1" si="0"/>
        <v>10</v>
      </c>
      <c r="J8" s="286">
        <f t="shared" ca="1" si="3"/>
        <v>12</v>
      </c>
      <c r="K8" s="254"/>
      <c r="M8" s="251" t="s">
        <v>82</v>
      </c>
    </row>
    <row r="9" spans="1:14" x14ac:dyDescent="0.3">
      <c r="A9" s="405" t="s">
        <v>189</v>
      </c>
      <c r="B9" s="406" t="s">
        <v>213</v>
      </c>
      <c r="C9" s="407" t="str">
        <f>CONCATENATE('Personal File'!$C$10)</f>
        <v>+1</v>
      </c>
      <c r="D9" s="408" t="s">
        <v>50</v>
      </c>
      <c r="E9" s="408" t="s">
        <v>82</v>
      </c>
      <c r="F9" s="409" t="s">
        <v>95</v>
      </c>
      <c r="G9" s="410"/>
      <c r="H9" s="411" t="str">
        <f>CONCATENATE("+",'Personal File'!$B$8+'Personal File'!$C$10+D9)</f>
        <v>+2</v>
      </c>
      <c r="I9" s="412">
        <f t="shared" ca="1" si="0"/>
        <v>10</v>
      </c>
      <c r="J9" s="413">
        <f t="shared" ref="J9" ca="1" si="4">I9+H9</f>
        <v>12</v>
      </c>
      <c r="K9" s="414"/>
      <c r="M9" s="415" t="s">
        <v>82</v>
      </c>
    </row>
    <row r="10" spans="1:14" x14ac:dyDescent="0.3">
      <c r="A10" s="248" t="s">
        <v>92</v>
      </c>
      <c r="B10" s="223" t="s">
        <v>213</v>
      </c>
      <c r="C10" s="249" t="str">
        <f>CONCATENATE('Personal File'!$C$10)</f>
        <v>+1</v>
      </c>
      <c r="D10" s="250" t="s">
        <v>50</v>
      </c>
      <c r="E10" s="250" t="s">
        <v>94</v>
      </c>
      <c r="F10" s="224" t="s">
        <v>95</v>
      </c>
      <c r="G10" s="225" t="s">
        <v>82</v>
      </c>
      <c r="H10" s="245" t="str">
        <f>CONCATENATE("+",'Personal File'!$B$8+'Personal File'!$C$10+D10)</f>
        <v>+2</v>
      </c>
      <c r="I10" s="246">
        <f t="shared" ca="1" si="0"/>
        <v>10</v>
      </c>
      <c r="J10" s="247">
        <f t="shared" ref="J10" ca="1" si="5">I10+H10</f>
        <v>12</v>
      </c>
      <c r="K10" s="255" t="s">
        <v>214</v>
      </c>
      <c r="M10" s="252" t="s">
        <v>82</v>
      </c>
    </row>
    <row r="11" spans="1:14" x14ac:dyDescent="0.3">
      <c r="A11" s="233" t="s">
        <v>96</v>
      </c>
      <c r="B11" s="234" t="s">
        <v>213</v>
      </c>
      <c r="C11" s="235" t="str">
        <f>CONCATENATE('Personal File'!$C$10)</f>
        <v>+1</v>
      </c>
      <c r="D11" s="236" t="s">
        <v>50</v>
      </c>
      <c r="E11" s="236" t="s">
        <v>94</v>
      </c>
      <c r="F11" s="243" t="s">
        <v>95</v>
      </c>
      <c r="G11" s="237"/>
      <c r="H11" s="244" t="str">
        <f>CONCATENATE("+",'Personal File'!$B$8+'Personal File'!$C$10+D11)</f>
        <v>+2</v>
      </c>
      <c r="I11" s="285">
        <f t="shared" ca="1" si="0"/>
        <v>13</v>
      </c>
      <c r="J11" s="286">
        <f t="shared" ref="J11" ca="1" si="6">I11+H11</f>
        <v>15</v>
      </c>
      <c r="K11" s="254" t="s">
        <v>214</v>
      </c>
      <c r="M11" s="251" t="s">
        <v>82</v>
      </c>
    </row>
    <row r="12" spans="1:14" ht="16.2" thickBot="1" x14ac:dyDescent="0.35">
      <c r="A12" s="204" t="s">
        <v>90</v>
      </c>
      <c r="B12" s="205" t="s">
        <v>90</v>
      </c>
      <c r="C12" s="238" t="str">
        <f>CONCATENATE('Personal File'!$C$10,"")</f>
        <v>+1</v>
      </c>
      <c r="D12" s="239" t="s">
        <v>50</v>
      </c>
      <c r="E12" s="239" t="s">
        <v>82</v>
      </c>
      <c r="F12" s="240" t="s">
        <v>82</v>
      </c>
      <c r="G12" s="206" t="s">
        <v>82</v>
      </c>
      <c r="H12" s="241" t="str">
        <f>CONCATENATE("+",'Personal File'!$B$8+'Personal File'!$C$10+D12)</f>
        <v>+2</v>
      </c>
      <c r="I12" s="207">
        <f ca="1">RANDBETWEEN(1,20)</f>
        <v>11</v>
      </c>
      <c r="J12" s="140">
        <f t="shared" ca="1" si="1"/>
        <v>13</v>
      </c>
      <c r="K12" s="242"/>
      <c r="M12" s="210" t="s">
        <v>82</v>
      </c>
    </row>
    <row r="13" spans="1:14" ht="6" customHeight="1" thickTop="1" thickBot="1" x14ac:dyDescent="0.35">
      <c r="I13" s="126"/>
      <c r="J13" s="126"/>
    </row>
    <row r="14" spans="1:14" ht="16.8" thickTop="1" thickBot="1" x14ac:dyDescent="0.35">
      <c r="A14" s="133" t="s">
        <v>4</v>
      </c>
      <c r="B14" s="134" t="s">
        <v>5</v>
      </c>
      <c r="C14" s="134" t="s">
        <v>18</v>
      </c>
      <c r="D14" s="134" t="s">
        <v>19</v>
      </c>
      <c r="E14" s="135" t="s">
        <v>52</v>
      </c>
      <c r="F14" s="134" t="s">
        <v>6</v>
      </c>
      <c r="G14" s="134" t="s">
        <v>20</v>
      </c>
      <c r="H14" s="136" t="s">
        <v>69</v>
      </c>
      <c r="I14" s="137" t="s">
        <v>77</v>
      </c>
      <c r="J14" s="136" t="s">
        <v>64</v>
      </c>
      <c r="K14" s="138" t="s">
        <v>0</v>
      </c>
      <c r="M14" s="139" t="s">
        <v>80</v>
      </c>
    </row>
    <row r="15" spans="1:14" x14ac:dyDescent="0.3">
      <c r="A15" s="203" t="s">
        <v>192</v>
      </c>
      <c r="B15" s="6" t="s">
        <v>93</v>
      </c>
      <c r="C15" s="7" t="str">
        <f>CONCATENATE('Personal File'!$C$10)</f>
        <v>+1</v>
      </c>
      <c r="D15" s="8">
        <v>0</v>
      </c>
      <c r="E15" s="8" t="s">
        <v>85</v>
      </c>
      <c r="F15" s="226" t="s">
        <v>86</v>
      </c>
      <c r="G15" s="10">
        <v>3</v>
      </c>
      <c r="H15" s="13" t="str">
        <f>CONCATENATE("+",'Personal File'!$B$8+'Personal File'!$C$11+D15)</f>
        <v>+3</v>
      </c>
      <c r="I15" s="11">
        <f t="shared" ref="I15:I16" ca="1" si="7">RANDBETWEEN(1,20)</f>
        <v>3</v>
      </c>
      <c r="J15" s="5">
        <f t="shared" ref="J15" ca="1" si="8">I15+H15</f>
        <v>6</v>
      </c>
      <c r="K15" s="256"/>
      <c r="M15" s="213">
        <v>3</v>
      </c>
    </row>
    <row r="16" spans="1:14" ht="16.2" thickBot="1" x14ac:dyDescent="0.35">
      <c r="A16" s="258"/>
      <c r="B16" s="259"/>
      <c r="C16" s="260"/>
      <c r="D16" s="260"/>
      <c r="E16" s="259"/>
      <c r="F16" s="260"/>
      <c r="G16" s="261"/>
      <c r="H16" s="262" t="str">
        <f>CONCATENATE("+",'Personal File'!$B$8+'Personal File'!$C$11+D16)</f>
        <v>+3</v>
      </c>
      <c r="I16" s="263">
        <f t="shared" ca="1" si="7"/>
        <v>5</v>
      </c>
      <c r="J16" s="264">
        <f t="shared" ref="J16" ca="1" si="9">I16+H16</f>
        <v>8</v>
      </c>
      <c r="K16" s="257"/>
      <c r="M16" s="210"/>
    </row>
    <row r="17" spans="1:13" ht="6" customHeight="1" thickTop="1" thickBot="1" x14ac:dyDescent="0.35">
      <c r="D17" s="141"/>
      <c r="E17" s="141"/>
      <c r="G17" s="142"/>
      <c r="H17" s="142"/>
      <c r="I17" s="142"/>
      <c r="J17" s="142"/>
    </row>
    <row r="18" spans="1:13" ht="16.8" thickTop="1" thickBot="1" x14ac:dyDescent="0.35">
      <c r="A18" s="133" t="s">
        <v>56</v>
      </c>
      <c r="B18" s="134" t="s">
        <v>9</v>
      </c>
      <c r="C18" s="134" t="s">
        <v>23</v>
      </c>
      <c r="D18" s="134" t="s">
        <v>64</v>
      </c>
      <c r="E18" s="134" t="s">
        <v>65</v>
      </c>
      <c r="F18" s="134" t="s">
        <v>66</v>
      </c>
      <c r="G18" s="134" t="s">
        <v>20</v>
      </c>
      <c r="H18" s="143" t="s">
        <v>0</v>
      </c>
      <c r="I18" s="144"/>
      <c r="J18" s="144"/>
      <c r="K18" s="145"/>
      <c r="M18" s="139" t="s">
        <v>80</v>
      </c>
    </row>
    <row r="19" spans="1:13" x14ac:dyDescent="0.3">
      <c r="A19" s="203" t="s">
        <v>188</v>
      </c>
      <c r="B19" s="6">
        <v>4</v>
      </c>
      <c r="C19" s="226">
        <v>4</v>
      </c>
      <c r="D19" s="227">
        <v>-2</v>
      </c>
      <c r="E19" s="228">
        <v>0.2</v>
      </c>
      <c r="F19" s="226" t="s">
        <v>208</v>
      </c>
      <c r="G19" s="229">
        <v>25</v>
      </c>
      <c r="H19" s="230"/>
      <c r="I19" s="231"/>
      <c r="J19" s="231"/>
      <c r="K19" s="232"/>
      <c r="M19" s="213">
        <v>100</v>
      </c>
    </row>
    <row r="20" spans="1:13" x14ac:dyDescent="0.3">
      <c r="A20" s="203" t="s">
        <v>189</v>
      </c>
      <c r="B20" s="6">
        <v>1</v>
      </c>
      <c r="C20" s="226" t="s">
        <v>82</v>
      </c>
      <c r="D20" s="227">
        <v>-1</v>
      </c>
      <c r="E20" s="317">
        <v>0.05</v>
      </c>
      <c r="F20" s="226" t="s">
        <v>82</v>
      </c>
      <c r="G20" s="229">
        <v>6</v>
      </c>
      <c r="H20" s="230"/>
      <c r="I20" s="231"/>
      <c r="J20" s="231"/>
      <c r="K20" s="232"/>
      <c r="M20" s="213">
        <v>9</v>
      </c>
    </row>
    <row r="21" spans="1:13" ht="16.2" thickBot="1" x14ac:dyDescent="0.35">
      <c r="A21" s="300"/>
      <c r="B21" s="259"/>
      <c r="C21" s="301"/>
      <c r="D21" s="259"/>
      <c r="E21" s="302"/>
      <c r="F21" s="301"/>
      <c r="G21" s="303"/>
      <c r="H21" s="304"/>
      <c r="I21" s="305"/>
      <c r="J21" s="305"/>
      <c r="K21" s="306"/>
      <c r="M21" s="212"/>
    </row>
    <row r="22" spans="1:13" ht="6.75" customHeight="1" thickTop="1" thickBot="1" x14ac:dyDescent="0.35"/>
    <row r="23" spans="1:13" ht="16.8" thickTop="1" thickBot="1" x14ac:dyDescent="0.35">
      <c r="A23" s="126"/>
      <c r="B23" s="126"/>
      <c r="D23" s="188" t="s">
        <v>57</v>
      </c>
      <c r="E23" s="189"/>
      <c r="F23" s="189" t="s">
        <v>3</v>
      </c>
      <c r="G23" s="190" t="s">
        <v>20</v>
      </c>
      <c r="H23" s="190" t="s">
        <v>69</v>
      </c>
      <c r="I23" s="193" t="s">
        <v>0</v>
      </c>
      <c r="J23" s="194"/>
      <c r="K23" s="195"/>
      <c r="M23" s="139" t="s">
        <v>80</v>
      </c>
    </row>
    <row r="24" spans="1:13" ht="16.2" thickBot="1" x14ac:dyDescent="0.35">
      <c r="A24"/>
      <c r="B24" s="126"/>
      <c r="D24" s="416"/>
      <c r="E24" s="417"/>
      <c r="F24" s="191"/>
      <c r="G24" s="146"/>
      <c r="H24" s="192"/>
      <c r="I24" s="196"/>
      <c r="J24" s="197"/>
      <c r="K24" s="187"/>
      <c r="M24" s="212"/>
    </row>
    <row r="25" spans="1:13" ht="16.8" thickTop="1" thickBot="1" x14ac:dyDescent="0.35">
      <c r="A25" s="126"/>
      <c r="B25" s="126"/>
      <c r="M25" s="173"/>
    </row>
    <row r="26" spans="1:13" ht="16.8" thickTop="1" thickBot="1" x14ac:dyDescent="0.35">
      <c r="A26" s="126"/>
      <c r="B26" s="126"/>
      <c r="D26" s="269" t="s">
        <v>97</v>
      </c>
      <c r="E26" s="144"/>
      <c r="F26" s="144"/>
      <c r="G26" s="144"/>
      <c r="H26" s="270" t="s">
        <v>3</v>
      </c>
      <c r="I26" s="270" t="s">
        <v>81</v>
      </c>
      <c r="J26" s="270" t="s">
        <v>98</v>
      </c>
      <c r="K26" s="145" t="s">
        <v>62</v>
      </c>
      <c r="L26" s="215"/>
      <c r="M26" s="271" t="s">
        <v>80</v>
      </c>
    </row>
    <row r="27" spans="1:13" x14ac:dyDescent="0.3">
      <c r="A27" s="126"/>
      <c r="B27" s="126"/>
      <c r="D27" s="272" t="s">
        <v>267</v>
      </c>
      <c r="E27" s="273"/>
      <c r="F27" s="273"/>
      <c r="G27" s="274"/>
      <c r="H27" s="275">
        <v>1</v>
      </c>
      <c r="I27" s="276">
        <v>1</v>
      </c>
      <c r="J27" s="276">
        <v>1</v>
      </c>
      <c r="K27" s="277" t="s">
        <v>271</v>
      </c>
      <c r="L27" s="215"/>
      <c r="M27" s="278">
        <v>225</v>
      </c>
    </row>
    <row r="28" spans="1:13" ht="16.2" thickBot="1" x14ac:dyDescent="0.35">
      <c r="A28" s="126"/>
      <c r="B28" s="126"/>
      <c r="D28" s="279"/>
      <c r="E28" s="280"/>
      <c r="F28" s="280"/>
      <c r="G28" s="281"/>
      <c r="H28" s="282"/>
      <c r="I28" s="283"/>
      <c r="J28" s="283"/>
      <c r="K28" s="284"/>
      <c r="L28" s="215"/>
      <c r="M28" s="212"/>
    </row>
    <row r="29" spans="1:13" ht="16.2" thickTop="1" x14ac:dyDescent="0.3">
      <c r="A29" s="126"/>
      <c r="B29" s="126"/>
      <c r="M29" s="173"/>
    </row>
    <row r="30" spans="1:13" x14ac:dyDescent="0.3">
      <c r="M30" s="173"/>
    </row>
    <row r="31" spans="1:13" x14ac:dyDescent="0.3">
      <c r="M31" s="173"/>
    </row>
    <row r="32" spans="1:13" x14ac:dyDescent="0.3">
      <c r="M32" s="173"/>
    </row>
    <row r="33" spans="13:13" x14ac:dyDescent="0.3">
      <c r="M33" s="173"/>
    </row>
    <row r="34" spans="13:13" x14ac:dyDescent="0.3">
      <c r="M34" s="173"/>
    </row>
    <row r="35" spans="13:13" x14ac:dyDescent="0.3">
      <c r="M35" s="173"/>
    </row>
    <row r="36" spans="13:13" x14ac:dyDescent="0.3">
      <c r="M36" s="173"/>
    </row>
    <row r="37" spans="13:13" x14ac:dyDescent="0.3">
      <c r="M37" s="173"/>
    </row>
  </sheetData>
  <phoneticPr fontId="0" type="noConversion"/>
  <conditionalFormatting sqref="B21">
    <cfRule type="cellIs" dxfId="6" priority="36" operator="greaterThan">
      <formula>0</formula>
    </cfRule>
  </conditionalFormatting>
  <conditionalFormatting sqref="I3:I9">
    <cfRule type="cellIs" dxfId="5" priority="1" operator="greaterThan">
      <formula>17</formula>
    </cfRule>
    <cfRule type="cellIs" dxfId="4" priority="2" operator="equal">
      <formula>1</formula>
    </cfRule>
  </conditionalFormatting>
  <conditionalFormatting sqref="I10:I12 I15:I16">
    <cfRule type="cellIs" dxfId="3" priority="26" operator="equal">
      <formula>20</formula>
    </cfRule>
    <cfRule type="cellIs" dxfId="2" priority="27"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showGridLines="0" workbookViewId="0"/>
  </sheetViews>
  <sheetFormatPr defaultColWidth="13" defaultRowHeight="15.6" x14ac:dyDescent="0.3"/>
  <cols>
    <col min="1" max="1" width="30.3984375" style="128" bestFit="1" customWidth="1"/>
    <col min="2" max="2" width="4.69921875" style="128" bestFit="1" customWidth="1"/>
    <col min="3" max="3" width="4.69921875" style="142" bestFit="1" customWidth="1"/>
    <col min="4" max="5" width="26.59765625" style="14" customWidth="1"/>
    <col min="6" max="6" width="2.09765625" style="128" customWidth="1"/>
    <col min="7" max="7" width="8.296875" style="14" bestFit="1" customWidth="1"/>
    <col min="8" max="16384" width="13" style="14"/>
  </cols>
  <sheetData>
    <row r="1" spans="1:8" ht="23.4" thickBot="1" x14ac:dyDescent="0.35">
      <c r="A1" s="132" t="s">
        <v>59</v>
      </c>
      <c r="B1" s="132"/>
      <c r="C1" s="147"/>
      <c r="D1" s="132"/>
      <c r="E1" s="132"/>
      <c r="H1"/>
    </row>
    <row r="2" spans="1:8" s="128" customFormat="1" ht="16.8" thickTop="1" thickBot="1" x14ac:dyDescent="0.35">
      <c r="A2" s="148" t="s">
        <v>60</v>
      </c>
      <c r="B2" s="148" t="s">
        <v>3</v>
      </c>
      <c r="C2" s="149" t="s">
        <v>20</v>
      </c>
      <c r="D2" s="150" t="s">
        <v>61</v>
      </c>
      <c r="E2" s="151" t="s">
        <v>62</v>
      </c>
      <c r="G2" s="152" t="s">
        <v>80</v>
      </c>
    </row>
    <row r="3" spans="1:8" x14ac:dyDescent="0.3">
      <c r="A3" s="153" t="s">
        <v>75</v>
      </c>
      <c r="B3" s="154">
        <v>1</v>
      </c>
      <c r="C3" s="155">
        <v>2</v>
      </c>
      <c r="D3" s="156"/>
      <c r="E3" s="157"/>
      <c r="F3" s="126"/>
      <c r="G3" s="219">
        <v>2</v>
      </c>
    </row>
    <row r="4" spans="1:8" x14ac:dyDescent="0.3">
      <c r="A4" s="153" t="s">
        <v>197</v>
      </c>
      <c r="B4" s="154">
        <v>1</v>
      </c>
      <c r="C4" s="155">
        <v>0.5</v>
      </c>
      <c r="D4" s="156"/>
      <c r="E4" s="157"/>
      <c r="G4" s="221">
        <v>1</v>
      </c>
    </row>
    <row r="5" spans="1:8" x14ac:dyDescent="0.3">
      <c r="A5" s="319" t="s">
        <v>193</v>
      </c>
      <c r="B5" s="266">
        <v>1</v>
      </c>
      <c r="C5" s="167">
        <v>5</v>
      </c>
      <c r="D5" s="267"/>
      <c r="E5" s="268"/>
      <c r="F5" s="126"/>
      <c r="G5" s="220">
        <v>1</v>
      </c>
    </row>
    <row r="6" spans="1:8" ht="16.2" thickBot="1" x14ac:dyDescent="0.35">
      <c r="A6" s="158" t="s">
        <v>195</v>
      </c>
      <c r="B6" s="159">
        <v>1</v>
      </c>
      <c r="C6" s="160">
        <v>0</v>
      </c>
      <c r="D6" s="161"/>
      <c r="E6" s="162"/>
      <c r="G6" s="222">
        <v>1</v>
      </c>
    </row>
    <row r="7" spans="1:8" ht="24" thickTop="1" thickBot="1" x14ac:dyDescent="0.35">
      <c r="A7" s="132" t="s">
        <v>63</v>
      </c>
      <c r="B7" s="163"/>
      <c r="C7" s="163"/>
      <c r="D7" s="132"/>
      <c r="E7" s="164"/>
    </row>
    <row r="8" spans="1:8" ht="16.8" thickTop="1" thickBot="1" x14ac:dyDescent="0.35">
      <c r="A8" s="148" t="s">
        <v>60</v>
      </c>
      <c r="B8" s="148" t="s">
        <v>3</v>
      </c>
      <c r="C8" s="149" t="s">
        <v>20</v>
      </c>
      <c r="D8" s="150" t="s">
        <v>61</v>
      </c>
      <c r="E8" s="151" t="s">
        <v>62</v>
      </c>
      <c r="G8" s="152" t="s">
        <v>80</v>
      </c>
    </row>
    <row r="9" spans="1:8" x14ac:dyDescent="0.3">
      <c r="A9" s="165" t="s">
        <v>199</v>
      </c>
      <c r="B9" s="166">
        <v>1</v>
      </c>
      <c r="C9" s="167">
        <v>3</v>
      </c>
      <c r="D9" s="168"/>
      <c r="E9" s="169"/>
      <c r="F9" s="126"/>
      <c r="G9" s="398">
        <v>12</v>
      </c>
    </row>
    <row r="10" spans="1:8" x14ac:dyDescent="0.3">
      <c r="A10" s="165" t="s">
        <v>270</v>
      </c>
      <c r="B10" s="166">
        <v>13</v>
      </c>
      <c r="C10" s="167">
        <f>B10/100</f>
        <v>0.13</v>
      </c>
      <c r="D10" s="168"/>
      <c r="E10" s="169"/>
      <c r="F10" s="126"/>
      <c r="G10" s="398">
        <f>B10</f>
        <v>13</v>
      </c>
    </row>
    <row r="11" spans="1:8" x14ac:dyDescent="0.3">
      <c r="A11" s="165" t="s">
        <v>268</v>
      </c>
      <c r="B11" s="166">
        <v>1</v>
      </c>
      <c r="C11" s="167">
        <v>1</v>
      </c>
      <c r="D11" s="168"/>
      <c r="E11" s="169"/>
      <c r="F11" s="126"/>
      <c r="G11" s="398">
        <v>25</v>
      </c>
    </row>
    <row r="12" spans="1:8" x14ac:dyDescent="0.3">
      <c r="A12" s="165" t="s">
        <v>198</v>
      </c>
      <c r="B12" s="166">
        <v>1</v>
      </c>
      <c r="C12" s="167">
        <v>0.5</v>
      </c>
      <c r="D12" s="168"/>
      <c r="E12" s="169"/>
      <c r="F12" s="126"/>
      <c r="G12" s="220">
        <v>10</v>
      </c>
    </row>
    <row r="13" spans="1:8" x14ac:dyDescent="0.3">
      <c r="A13" s="165" t="s">
        <v>196</v>
      </c>
      <c r="B13" s="166">
        <v>1</v>
      </c>
      <c r="C13" s="167">
        <v>3</v>
      </c>
      <c r="D13" s="168"/>
      <c r="E13" s="169"/>
      <c r="F13" s="126"/>
      <c r="G13" s="398">
        <v>0.5</v>
      </c>
    </row>
    <row r="14" spans="1:8" x14ac:dyDescent="0.3">
      <c r="A14" s="165" t="s">
        <v>200</v>
      </c>
      <c r="B14" s="166">
        <v>10</v>
      </c>
      <c r="C14" s="167">
        <v>10</v>
      </c>
      <c r="D14" s="168"/>
      <c r="E14" s="169"/>
      <c r="F14" s="126"/>
      <c r="G14" s="220">
        <f>B14/10</f>
        <v>1</v>
      </c>
    </row>
    <row r="15" spans="1:8" x14ac:dyDescent="0.3">
      <c r="A15" s="165" t="s">
        <v>201</v>
      </c>
      <c r="B15" s="166">
        <v>10</v>
      </c>
      <c r="C15" s="167">
        <v>0</v>
      </c>
      <c r="D15" s="168"/>
      <c r="E15" s="169"/>
      <c r="F15" s="126"/>
      <c r="G15" s="220">
        <f>B15</f>
        <v>10</v>
      </c>
    </row>
    <row r="16" spans="1:8" x14ac:dyDescent="0.3">
      <c r="A16" s="165" t="s">
        <v>202</v>
      </c>
      <c r="B16" s="166">
        <v>1</v>
      </c>
      <c r="C16" s="167">
        <v>3</v>
      </c>
      <c r="D16" s="168"/>
      <c r="E16" s="169"/>
      <c r="F16" s="126"/>
      <c r="G16" s="220">
        <v>100</v>
      </c>
    </row>
    <row r="17" spans="1:7" x14ac:dyDescent="0.3">
      <c r="A17" s="165" t="s">
        <v>203</v>
      </c>
      <c r="B17" s="166">
        <v>1</v>
      </c>
      <c r="C17" s="167">
        <v>3</v>
      </c>
      <c r="D17" s="168"/>
      <c r="E17" s="169"/>
      <c r="F17" s="126"/>
      <c r="G17" s="220">
        <v>100</v>
      </c>
    </row>
    <row r="18" spans="1:7" x14ac:dyDescent="0.3">
      <c r="A18" s="165" t="s">
        <v>204</v>
      </c>
      <c r="B18" s="166">
        <v>1</v>
      </c>
      <c r="C18" s="167">
        <v>2</v>
      </c>
      <c r="D18" s="168"/>
      <c r="E18" s="169"/>
      <c r="F18" s="126"/>
      <c r="G18" s="398">
        <v>0.5</v>
      </c>
    </row>
    <row r="19" spans="1:7" x14ac:dyDescent="0.3">
      <c r="A19" s="165" t="s">
        <v>205</v>
      </c>
      <c r="B19" s="166">
        <v>10</v>
      </c>
      <c r="C19" s="167">
        <v>5</v>
      </c>
      <c r="D19" s="168"/>
      <c r="E19" s="169"/>
      <c r="F19" s="126"/>
      <c r="G19" s="220">
        <f>B19/10</f>
        <v>1</v>
      </c>
    </row>
    <row r="20" spans="1:7" x14ac:dyDescent="0.3">
      <c r="A20" s="165" t="s">
        <v>76</v>
      </c>
      <c r="B20" s="166">
        <v>1</v>
      </c>
      <c r="C20" s="167">
        <f>B20</f>
        <v>1</v>
      </c>
      <c r="D20" s="168"/>
      <c r="E20" s="169"/>
      <c r="F20" s="126"/>
      <c r="G20" s="221">
        <v>0</v>
      </c>
    </row>
    <row r="21" spans="1:7" ht="16.2" thickBot="1" x14ac:dyDescent="0.35">
      <c r="A21" s="158" t="s">
        <v>78</v>
      </c>
      <c r="B21" s="159">
        <v>0.5</v>
      </c>
      <c r="C21" s="160">
        <v>4</v>
      </c>
      <c r="D21" s="170"/>
      <c r="E21" s="162"/>
      <c r="F21" s="126"/>
      <c r="G21" s="222">
        <v>1</v>
      </c>
    </row>
    <row r="22" spans="1:7" ht="16.8" thickTop="1" thickBot="1" x14ac:dyDescent="0.35">
      <c r="B22" s="172"/>
    </row>
    <row r="23" spans="1:7" ht="16.2" thickBot="1" x14ac:dyDescent="0.35">
      <c r="A23" s="148" t="s">
        <v>187</v>
      </c>
      <c r="B23" s="172"/>
      <c r="C23" s="142">
        <v>88</v>
      </c>
      <c r="D23" s="214">
        <v>227</v>
      </c>
      <c r="E23" s="54" t="s">
        <v>91</v>
      </c>
      <c r="F23" s="126"/>
      <c r="G23" s="214">
        <f>SUM(Martial!M3:M28,Equipment!G3:G21,D23)</f>
        <v>900</v>
      </c>
    </row>
    <row r="24" spans="1:7" ht="16.2" thickBot="1" x14ac:dyDescent="0.35">
      <c r="A24" s="148" t="s">
        <v>194</v>
      </c>
      <c r="B24" s="172"/>
      <c r="C24" s="142">
        <v>4</v>
      </c>
      <c r="D24" s="126" t="s">
        <v>206</v>
      </c>
      <c r="E24" s="54" t="s">
        <v>269</v>
      </c>
      <c r="F24" s="126"/>
      <c r="G24" s="214">
        <v>900</v>
      </c>
    </row>
    <row r="25" spans="1:7" x14ac:dyDescent="0.3">
      <c r="B25" s="172"/>
    </row>
    <row r="26" spans="1:7" x14ac:dyDescent="0.3">
      <c r="B26" s="172"/>
    </row>
    <row r="27" spans="1:7" x14ac:dyDescent="0.3">
      <c r="B27" s="172"/>
    </row>
    <row r="28" spans="1:7" x14ac:dyDescent="0.3">
      <c r="B28" s="172"/>
    </row>
    <row r="29" spans="1:7" x14ac:dyDescent="0.3">
      <c r="B29" s="172"/>
    </row>
    <row r="30" spans="1:7" x14ac:dyDescent="0.3">
      <c r="B30" s="172"/>
    </row>
  </sheetData>
  <sortState xmlns:xlrd2="http://schemas.microsoft.com/office/spreadsheetml/2017/richdata2" ref="A3:D5">
    <sortCondition ref="A3:A5"/>
  </sortState>
  <phoneticPr fontId="0" type="noConversion"/>
  <conditionalFormatting sqref="D23">
    <cfRule type="cellIs" dxfId="1" priority="1" operator="lessThan">
      <formula>0</formula>
    </cfRule>
  </conditionalFormatting>
  <conditionalFormatting sqref="G23">
    <cfRule type="cellIs" dxfId="0" priority="3" operator="lessThan">
      <formula>0</formula>
    </cfRule>
  </conditionalFormatting>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CCF52-49F7-4F91-8D6C-577C6C7F7196}">
  <dimension ref="A1:G13"/>
  <sheetViews>
    <sheetView showGridLines="0" zoomScaleNormal="100" workbookViewId="0"/>
  </sheetViews>
  <sheetFormatPr defaultColWidth="13" defaultRowHeight="15.6" x14ac:dyDescent="0.3"/>
  <cols>
    <col min="1" max="1" width="13.296875" style="396" bestFit="1" customWidth="1"/>
    <col min="2" max="2" width="10.69921875" style="397" customWidth="1"/>
    <col min="3" max="3" width="5.5" style="397" customWidth="1"/>
    <col min="4" max="4" width="13.69921875" style="396" bestFit="1" customWidth="1"/>
    <col min="5" max="5" width="9.59765625" style="397" bestFit="1" customWidth="1"/>
    <col min="6" max="6" width="10.19921875" style="396" bestFit="1" customWidth="1"/>
    <col min="7" max="7" width="12.09765625" style="397" bestFit="1" customWidth="1"/>
    <col min="8" max="16384" width="13" style="356"/>
  </cols>
  <sheetData>
    <row r="1" spans="1:7" ht="29.4" thickTop="1" thickBot="1" x14ac:dyDescent="0.35">
      <c r="A1" s="351" t="s">
        <v>182</v>
      </c>
      <c r="B1" s="352"/>
      <c r="C1" s="352"/>
      <c r="D1" s="353"/>
      <c r="E1" s="353"/>
      <c r="F1" s="354"/>
      <c r="G1" s="355" t="s">
        <v>181</v>
      </c>
    </row>
    <row r="2" spans="1:7" ht="17.399999999999999" thickTop="1" x14ac:dyDescent="0.3">
      <c r="A2" s="357" t="s">
        <v>162</v>
      </c>
      <c r="B2" s="358" t="s">
        <v>183</v>
      </c>
      <c r="C2" s="358"/>
      <c r="D2" s="359" t="s">
        <v>163</v>
      </c>
      <c r="E2" s="360" t="s">
        <v>140</v>
      </c>
      <c r="F2" s="359" t="s">
        <v>164</v>
      </c>
      <c r="G2" s="361" t="s">
        <v>73</v>
      </c>
    </row>
    <row r="3" spans="1:7" ht="17.399999999999999" thickBot="1" x14ac:dyDescent="0.35">
      <c r="A3" s="362"/>
      <c r="B3" s="363"/>
      <c r="C3" s="364"/>
      <c r="D3" s="365" t="s">
        <v>165</v>
      </c>
      <c r="E3" s="366" t="s">
        <v>166</v>
      </c>
      <c r="F3" s="365" t="s">
        <v>167</v>
      </c>
      <c r="G3" s="367" t="s">
        <v>86</v>
      </c>
    </row>
    <row r="4" spans="1:7" ht="17.399999999999999" thickTop="1" x14ac:dyDescent="0.3">
      <c r="A4" s="368" t="s">
        <v>168</v>
      </c>
      <c r="B4" s="369">
        <v>16</v>
      </c>
      <c r="C4" s="370" t="str">
        <f t="shared" ref="C4:C9" si="0">IF(B4&gt;9.9,CONCATENATE("+",ROUNDDOWN((B4-10)/2,0)),ROUNDUP((B4-10)/2,0))</f>
        <v>+3</v>
      </c>
      <c r="D4" s="371" t="s">
        <v>169</v>
      </c>
      <c r="E4" s="399">
        <v>22</v>
      </c>
      <c r="F4" s="403" t="s">
        <v>185</v>
      </c>
      <c r="G4" s="404" t="s">
        <v>186</v>
      </c>
    </row>
    <row r="5" spans="1:7" ht="17.399999999999999" thickBot="1" x14ac:dyDescent="0.35">
      <c r="A5" s="372" t="s">
        <v>170</v>
      </c>
      <c r="B5" s="373">
        <v>13</v>
      </c>
      <c r="C5" s="374" t="str">
        <f t="shared" si="0"/>
        <v>+1</v>
      </c>
      <c r="D5" s="402" t="s">
        <v>171</v>
      </c>
      <c r="E5" s="418">
        <f>14+2</f>
        <v>16</v>
      </c>
      <c r="F5" s="400" t="s">
        <v>184</v>
      </c>
      <c r="G5" s="401">
        <f>13+2</f>
        <v>15</v>
      </c>
    </row>
    <row r="6" spans="1:7" ht="17.399999999999999" thickTop="1" x14ac:dyDescent="0.3">
      <c r="A6" s="377" t="s">
        <v>172</v>
      </c>
      <c r="B6" s="373">
        <v>17</v>
      </c>
      <c r="C6" s="374" t="str">
        <f t="shared" si="0"/>
        <v>+3</v>
      </c>
      <c r="D6" s="371" t="s">
        <v>173</v>
      </c>
      <c r="E6" s="378">
        <v>2</v>
      </c>
      <c r="F6" s="379"/>
      <c r="G6" s="376"/>
    </row>
    <row r="7" spans="1:7" ht="16.8" x14ac:dyDescent="0.3">
      <c r="A7" s="380" t="s">
        <v>174</v>
      </c>
      <c r="B7" s="373">
        <v>2</v>
      </c>
      <c r="C7" s="374">
        <f t="shared" si="0"/>
        <v>-4</v>
      </c>
      <c r="D7" s="371" t="s">
        <v>175</v>
      </c>
      <c r="E7" s="378">
        <v>6</v>
      </c>
      <c r="F7" s="381"/>
      <c r="G7" s="376"/>
    </row>
    <row r="8" spans="1:7" ht="16.8" x14ac:dyDescent="0.3">
      <c r="A8" s="382" t="s">
        <v>176</v>
      </c>
      <c r="B8" s="373">
        <v>13</v>
      </c>
      <c r="C8" s="383" t="str">
        <f t="shared" si="0"/>
        <v>+1</v>
      </c>
      <c r="D8" s="384" t="s">
        <v>177</v>
      </c>
      <c r="E8" s="375" t="s">
        <v>178</v>
      </c>
      <c r="F8" s="381"/>
      <c r="G8" s="376"/>
    </row>
    <row r="9" spans="1:7" ht="17.399999999999999" thickBot="1" x14ac:dyDescent="0.35">
      <c r="A9" s="385" t="s">
        <v>179</v>
      </c>
      <c r="B9" s="386">
        <v>6</v>
      </c>
      <c r="C9" s="387">
        <f t="shared" si="0"/>
        <v>-2</v>
      </c>
      <c r="D9" s="388" t="s">
        <v>180</v>
      </c>
      <c r="E9" s="389">
        <v>2</v>
      </c>
      <c r="F9" s="381"/>
      <c r="G9" s="376"/>
    </row>
    <row r="10" spans="1:7" ht="17.399999999999999" thickTop="1" x14ac:dyDescent="0.3">
      <c r="A10" s="357"/>
      <c r="B10" s="390"/>
      <c r="C10" s="390"/>
      <c r="D10" s="390"/>
      <c r="E10" s="391"/>
      <c r="F10" s="381"/>
      <c r="G10" s="376"/>
    </row>
    <row r="11" spans="1:7" ht="16.8" x14ac:dyDescent="0.3">
      <c r="A11" s="357"/>
      <c r="B11" s="390"/>
      <c r="C11" s="390"/>
      <c r="D11" s="390"/>
      <c r="E11" s="391"/>
      <c r="F11" s="392"/>
      <c r="G11" s="376"/>
    </row>
    <row r="12" spans="1:7" ht="17.399999999999999" thickBot="1" x14ac:dyDescent="0.35">
      <c r="A12" s="393"/>
      <c r="B12" s="394"/>
      <c r="C12" s="394"/>
      <c r="D12" s="394"/>
      <c r="E12" s="395"/>
      <c r="F12" s="394"/>
      <c r="G12" s="395"/>
    </row>
    <row r="13" spans="1:7" ht="16.2" thickTop="1" x14ac:dyDescent="0.3"/>
  </sheetData>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Spells</vt:lpstr>
      <vt:lpstr>Feats</vt:lpstr>
      <vt:lpstr>Martial</vt:lpstr>
      <vt:lpstr>Equipment</vt:lpstr>
      <vt:lpstr>Mount</vt:lpstr>
      <vt:lpstr>Mount!Print_Area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2019-01-22T16:04:14Z</cp:lastPrinted>
  <dcterms:created xsi:type="dcterms:W3CDTF">2000-10-24T15:39:59Z</dcterms:created>
  <dcterms:modified xsi:type="dcterms:W3CDTF">2024-12-19T03:30:10Z</dcterms:modified>
</cp:coreProperties>
</file>