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A\Juegos\FoL\NPCs\"/>
    </mc:Choice>
  </mc:AlternateContent>
  <xr:revisionPtr revIDLastSave="0" documentId="13_ncr:1_{86FD4B3F-D463-48E8-AC0D-3D3CF87980BC}"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Lolth" sheetId="21" r:id="rId3"/>
    <sheet name="Spells" sheetId="20" r:id="rId4"/>
    <sheet name="Feats" sheetId="23" r:id="rId5"/>
    <sheet name="Martial" sheetId="6" r:id="rId6"/>
    <sheet name="Equipment" sheetId="19" r:id="rId7"/>
  </sheets>
  <externalReferences>
    <externalReference r:id="rId8"/>
  </externalReferences>
  <definedNames>
    <definedName name="NoShade">'[1]Spell Sheet'!$FH$1</definedName>
    <definedName name="OLE_LINK1" localSheetId="4">Feats!$C$3</definedName>
    <definedName name="OLE_LINK1" localSheetId="3">Spells!#REF!</definedName>
    <definedName name="_xlnm.Print_Area" localSheetId="6">Equipment!#REF!</definedName>
    <definedName name="_xlnm.Print_Area" localSheetId="4">Feats!#REF!</definedName>
    <definedName name="_xlnm.Print_Area" localSheetId="2">Lolth!$A$1:$I$14</definedName>
    <definedName name="_xlnm.Print_Area" localSheetId="5">Martial!#REF!</definedName>
    <definedName name="_xlnm.Print_Area" localSheetId="0">'Personal File'!$A$1:$H$13</definedName>
    <definedName name="_xlnm.Print_Area" localSheetId="1">Skills!$A$1:$K$28</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H22" i="15" l="1"/>
  <c r="B5" i="15" l="1"/>
  <c r="B4" i="15"/>
  <c r="B3" i="15"/>
  <c r="B6" i="4"/>
  <c r="G13" i="20" l="1"/>
  <c r="B10" i="4"/>
  <c r="D3" i="6" l="1"/>
  <c r="I3" i="6"/>
  <c r="D4" i="6"/>
  <c r="I4" i="6"/>
  <c r="D5" i="6"/>
  <c r="I5" i="6"/>
  <c r="D6" i="6"/>
  <c r="I6" i="6"/>
  <c r="M28" i="6" l="1"/>
  <c r="B43" i="15" l="1"/>
  <c r="B9" i="4" l="1"/>
  <c r="B12" i="4" l="1"/>
  <c r="I5" i="20" l="1"/>
  <c r="J5" i="20"/>
  <c r="G7" i="20" l="1"/>
  <c r="E6" i="4" l="1"/>
  <c r="B13" i="4" l="1"/>
  <c r="H10" i="15" l="1"/>
  <c r="H13" i="15"/>
  <c r="H11" i="15"/>
  <c r="H9" i="15"/>
  <c r="H8" i="15"/>
  <c r="M30" i="6" l="1"/>
  <c r="I13" i="6" l="1"/>
  <c r="I12" i="6"/>
  <c r="I11" i="6"/>
  <c r="F40" i="15" l="1"/>
  <c r="F34" i="15"/>
  <c r="F27" i="15"/>
  <c r="F23" i="15"/>
  <c r="F21" i="15"/>
  <c r="F16" i="15"/>
  <c r="F7" i="15"/>
  <c r="B17" i="6"/>
  <c r="H20" i="15" l="1"/>
  <c r="G23" i="6" l="1"/>
  <c r="I10" i="6" l="1"/>
  <c r="M27" i="6" l="1"/>
  <c r="F9" i="15" l="1"/>
  <c r="G6" i="19" l="1"/>
  <c r="H5" i="20" l="1"/>
  <c r="G17" i="20" l="1"/>
  <c r="G15" i="20"/>
  <c r="H24" i="15" l="1"/>
  <c r="G5" i="20" l="1"/>
  <c r="I7" i="6" l="1"/>
  <c r="G18" i="19" l="1"/>
  <c r="E9" i="4"/>
  <c r="H30" i="15" l="1"/>
  <c r="H29" i="15"/>
  <c r="H28" i="15"/>
  <c r="H27" i="15"/>
  <c r="H26" i="15"/>
  <c r="H25" i="15"/>
  <c r="H23" i="15"/>
  <c r="H21" i="15"/>
  <c r="H19" i="15"/>
  <c r="H18" i="15"/>
  <c r="H17" i="15"/>
  <c r="H16" i="15"/>
  <c r="H15" i="15"/>
  <c r="H14" i="15"/>
  <c r="H12" i="15"/>
  <c r="H39" i="15"/>
  <c r="I14" i="6" l="1"/>
  <c r="H42" i="15" l="1"/>
  <c r="H41" i="15"/>
  <c r="H40" i="15"/>
  <c r="H38" i="15"/>
  <c r="H37" i="15"/>
  <c r="H36" i="15"/>
  <c r="H35" i="15"/>
  <c r="H34" i="15"/>
  <c r="H33" i="15"/>
  <c r="H32" i="15"/>
  <c r="H31" i="15"/>
  <c r="H5" i="15"/>
  <c r="H4" i="15"/>
  <c r="H3" i="15"/>
  <c r="H7" i="15"/>
  <c r="H6" i="15"/>
  <c r="C13" i="4" l="1"/>
  <c r="C12" i="4"/>
  <c r="C11" i="4"/>
  <c r="C10" i="4"/>
  <c r="E10" i="4" s="1"/>
  <c r="C9" i="4"/>
  <c r="E11" i="4" s="1"/>
  <c r="C8" i="4"/>
  <c r="C3" i="23" l="1"/>
  <c r="C6" i="23"/>
  <c r="E50" i="15"/>
  <c r="E49" i="15"/>
  <c r="E56" i="15"/>
  <c r="E55" i="15"/>
  <c r="C3" i="6"/>
  <c r="C4" i="6"/>
  <c r="C5" i="6"/>
  <c r="C6" i="6"/>
  <c r="H6" i="6"/>
  <c r="J6" i="6" s="1"/>
  <c r="H3" i="6"/>
  <c r="F3" i="15"/>
  <c r="F5" i="15"/>
  <c r="F4" i="15"/>
  <c r="C21" i="20"/>
  <c r="C7" i="20"/>
  <c r="C16" i="20"/>
  <c r="C19" i="20"/>
  <c r="C20" i="20"/>
  <c r="C17" i="20"/>
  <c r="C15" i="20"/>
  <c r="C14" i="20"/>
  <c r="C18" i="20"/>
  <c r="C6" i="20"/>
  <c r="B7" i="4"/>
  <c r="H10" i="6"/>
  <c r="C4" i="20"/>
  <c r="C8" i="20"/>
  <c r="C5" i="20"/>
  <c r="C9" i="20"/>
  <c r="C10" i="20"/>
  <c r="C3" i="20"/>
  <c r="G14" i="20"/>
  <c r="G16" i="20"/>
  <c r="G18" i="20"/>
  <c r="E13" i="4"/>
  <c r="E12" i="4" s="1"/>
  <c r="H14" i="6"/>
  <c r="J14" i="6" s="1"/>
  <c r="H7" i="6"/>
  <c r="J7" i="6" s="1"/>
  <c r="E54" i="15"/>
  <c r="D24" i="15"/>
  <c r="E44" i="15"/>
  <c r="D6" i="15"/>
  <c r="G6" i="15" s="1"/>
  <c r="E52" i="15"/>
  <c r="E46" i="15"/>
  <c r="E51" i="15"/>
  <c r="E45" i="15"/>
  <c r="E53" i="15"/>
  <c r="D25" i="15"/>
  <c r="E48" i="15"/>
  <c r="E47" i="15"/>
  <c r="D4" i="15"/>
  <c r="D5" i="15"/>
  <c r="D3" i="15"/>
  <c r="D36" i="15"/>
  <c r="D38" i="15"/>
  <c r="D35" i="15"/>
  <c r="D30" i="15"/>
  <c r="D40" i="15"/>
  <c r="D37" i="15"/>
  <c r="D39" i="15"/>
  <c r="D32" i="15"/>
  <c r="D19"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H4" i="6" l="1"/>
  <c r="J3" i="6"/>
  <c r="J10" i="6"/>
  <c r="H11" i="6"/>
  <c r="G24" i="15"/>
  <c r="I24" i="15" s="1"/>
  <c r="E24" i="15"/>
  <c r="E6" i="15"/>
  <c r="G25" i="15"/>
  <c r="I25" i="15" s="1"/>
  <c r="E25" i="15"/>
  <c r="E43" i="15"/>
  <c r="I6" i="15"/>
  <c r="E22" i="15"/>
  <c r="G22" i="15"/>
  <c r="E8" i="15"/>
  <c r="G8" i="15"/>
  <c r="E18" i="15"/>
  <c r="G18" i="15"/>
  <c r="E23" i="15"/>
  <c r="G23" i="15"/>
  <c r="E31" i="15"/>
  <c r="G31" i="15"/>
  <c r="E14" i="15"/>
  <c r="G14" i="15"/>
  <c r="E19" i="15"/>
  <c r="G19" i="15"/>
  <c r="E40" i="15"/>
  <c r="G40" i="15"/>
  <c r="E38" i="15"/>
  <c r="G38"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2" i="15"/>
  <c r="G42" i="15"/>
  <c r="E28" i="15"/>
  <c r="G28" i="15"/>
  <c r="E39" i="15"/>
  <c r="G39" i="15"/>
  <c r="E36" i="15"/>
  <c r="G36" i="15"/>
  <c r="E17" i="15"/>
  <c r="G17" i="15"/>
  <c r="E41" i="15"/>
  <c r="G41" i="15"/>
  <c r="E37" i="15"/>
  <c r="G37" i="15"/>
  <c r="E35" i="15"/>
  <c r="G35" i="15"/>
  <c r="E3" i="15"/>
  <c r="G3" i="15"/>
  <c r="E5" i="15"/>
  <c r="G5" i="15"/>
  <c r="H5" i="6" l="1"/>
  <c r="J5" i="6" s="1"/>
  <c r="J4" i="6"/>
  <c r="H12" i="6"/>
  <c r="J11" i="6"/>
  <c r="I3" i="15"/>
  <c r="I27" i="15"/>
  <c r="I16" i="15"/>
  <c r="I15" i="15"/>
  <c r="I29" i="15"/>
  <c r="I37" i="15"/>
  <c r="I17" i="15"/>
  <c r="I39" i="15"/>
  <c r="I42" i="15"/>
  <c r="I21" i="15"/>
  <c r="I10" i="15"/>
  <c r="I26" i="15"/>
  <c r="I13" i="15"/>
  <c r="I7" i="15"/>
  <c r="I30" i="15"/>
  <c r="I33" i="15"/>
  <c r="I9" i="15"/>
  <c r="I11" i="15"/>
  <c r="I38" i="15"/>
  <c r="I19" i="15"/>
  <c r="I31" i="15"/>
  <c r="I35" i="15"/>
  <c r="I36" i="15"/>
  <c r="I28" i="15"/>
  <c r="I34" i="15"/>
  <c r="I4" i="15"/>
  <c r="I32" i="15"/>
  <c r="I20" i="15"/>
  <c r="I12" i="15"/>
  <c r="I40" i="15"/>
  <c r="I14" i="15"/>
  <c r="I23" i="15"/>
  <c r="I5" i="15"/>
  <c r="I41" i="15"/>
  <c r="I8" i="15"/>
  <c r="I18" i="15"/>
  <c r="I22" i="15"/>
  <c r="H13" i="6" l="1"/>
  <c r="J13" i="6" s="1"/>
  <c r="J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i/>
            <sz val="12"/>
            <color indexed="81"/>
            <rFont val="Times New Roman"/>
            <family val="1"/>
          </rPr>
          <t>bless +1   haste +1
inspired greatness +2
divine favor +2</t>
        </r>
      </text>
    </comment>
    <comment ref="E7" authorId="0" shapeId="0" xr:uid="{00000000-0006-0000-0000-000002000000}">
      <text>
        <r>
          <rPr>
            <sz val="12"/>
            <color indexed="81"/>
            <rFont val="Times New Roman"/>
            <family val="1"/>
          </rPr>
          <t>Next level at 105,000 XPs</t>
        </r>
      </text>
    </comment>
    <comment ref="B8" authorId="0" shapeId="0" xr:uid="{00000000-0006-0000-0000-000003000000}">
      <text>
        <r>
          <rPr>
            <i/>
            <sz val="12"/>
            <color indexed="81"/>
            <rFont val="Times New Roman"/>
            <family val="1"/>
          </rPr>
          <t>bull’s strength +4
enlarge person +2
cripple -2 -4 -2</t>
        </r>
      </text>
    </comment>
    <comment ref="E8" authorId="0" shapeId="0" xr:uid="{00000000-0006-0000-0000-000004000000}">
      <text>
        <r>
          <rPr>
            <sz val="12"/>
            <color indexed="81"/>
            <rFont val="Times New Roman"/>
            <family val="1"/>
          </rPr>
          <t>See PHB 162</t>
        </r>
      </text>
    </comment>
    <comment ref="B9" authorId="0" shapeId="0" xr:uid="{00000000-0006-0000-0000-000005000000}">
      <text>
        <r>
          <rPr>
            <sz val="12"/>
            <color indexed="81"/>
            <rFont val="Times New Roman"/>
            <family val="1"/>
          </rPr>
          <t xml:space="preserve">Gloves of Dexterity +2
</t>
        </r>
        <r>
          <rPr>
            <i/>
            <sz val="12"/>
            <color indexed="81"/>
            <rFont val="Times New Roman"/>
            <family val="1"/>
          </rPr>
          <t>enlarge person -2
elation +2</t>
        </r>
      </text>
    </comment>
    <comment ref="E10" authorId="0" shapeId="0" xr:uid="{00000000-0006-0000-0000-000006000000}">
      <text>
        <r>
          <rPr>
            <sz val="12"/>
            <color indexed="81"/>
            <rFont val="Times New Roman"/>
            <family val="1"/>
          </rPr>
          <t>[(7 * 10 Paladin) * 75%] +
[(7 * 10 Pious Templar) * 75%] +
(14 * 2 Con) + 14 Improved Toughness</t>
        </r>
      </text>
    </comment>
    <comment ref="E11" authorId="0" shapeId="0" xr:uid="{00000000-0006-0000-0000-000007000000}">
      <text>
        <r>
          <rPr>
            <i/>
            <sz val="12"/>
            <color indexed="81"/>
            <rFont val="Times New Roman"/>
            <family val="1"/>
          </rPr>
          <t>haste +1
protection from evil +2</t>
        </r>
      </text>
    </comment>
    <comment ref="B12" authorId="0" shapeId="0" xr:uid="{00000000-0006-0000-0000-000008000000}">
      <text>
        <r>
          <rPr>
            <sz val="12"/>
            <color indexed="81"/>
            <rFont val="Times New Roman"/>
            <family val="1"/>
          </rPr>
          <t xml:space="preserve">Amulet of Wisdom +2
</t>
        </r>
        <r>
          <rPr>
            <i/>
            <sz val="12"/>
            <color indexed="81"/>
            <rFont val="Times New Roman"/>
            <family val="1"/>
          </rPr>
          <t>Wisdom drain -5</t>
        </r>
      </text>
    </comment>
    <comment ref="E12" authorId="0" shapeId="0" xr:uid="{00000000-0006-0000-0000-000009000000}">
      <text>
        <r>
          <rPr>
            <i/>
            <sz val="12"/>
            <color indexed="81"/>
            <rFont val="Times New Roman"/>
            <family val="1"/>
          </rPr>
          <t>protection from evil +2</t>
        </r>
      </text>
    </comment>
    <comment ref="B13" authorId="0" shapeId="0" xr:uid="{00000000-0006-0000-0000-00000A000000}">
      <text>
        <r>
          <rPr>
            <sz val="12"/>
            <color indexed="81"/>
            <rFont val="Times New Roman"/>
            <family val="1"/>
          </rPr>
          <t>Cloak of Charisma +2</t>
        </r>
      </text>
    </comment>
    <comment ref="E13" authorId="0" shapeId="0" xr:uid="{00000000-0006-0000-0000-00000B000000}">
      <text>
        <r>
          <rPr>
            <i/>
            <sz val="12"/>
            <color indexed="81"/>
            <rFont val="Times New Roman"/>
            <family val="1"/>
          </rPr>
          <t>haste +1
protection from evil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00000000-0006-0000-0100-000002000000}">
      <text>
        <r>
          <rPr>
            <i/>
            <sz val="12"/>
            <color indexed="81"/>
            <rFont val="Times New Roman"/>
            <family val="1"/>
          </rPr>
          <t>inspired greatness +1
vest of resistance +2
resistance +1</t>
        </r>
      </text>
    </comment>
    <comment ref="F4" authorId="0" shapeId="0" xr:uid="{00000000-0006-0000-0100-000003000000}">
      <text>
        <r>
          <rPr>
            <i/>
            <sz val="12"/>
            <color indexed="81"/>
            <rFont val="Times New Roman"/>
            <family val="1"/>
          </rPr>
          <t>vest of resistance +2
resistance +1</t>
        </r>
      </text>
    </comment>
    <comment ref="F5" authorId="0" shapeId="0" xr:uid="{00000000-0006-0000-0100-000005000000}">
      <text>
        <r>
          <rPr>
            <i/>
            <sz val="12"/>
            <color indexed="81"/>
            <rFont val="Times New Roman"/>
            <family val="1"/>
          </rPr>
          <t>vest of resistance +2
resistance +1</t>
        </r>
      </text>
    </comment>
    <comment ref="F7" authorId="0" shapeId="0" xr:uid="{00000000-0006-0000-0100-000006000000}">
      <text>
        <r>
          <rPr>
            <sz val="12"/>
            <color indexed="81"/>
            <rFont val="Times New Roman"/>
            <family val="1"/>
          </rPr>
          <t>Full Plate +3</t>
        </r>
      </text>
    </comment>
    <comment ref="F9" authorId="0" shapeId="0" xr:uid="{00000000-0006-0000-0100-000007000000}">
      <text>
        <r>
          <rPr>
            <sz val="12"/>
            <color indexed="81"/>
            <rFont val="Times New Roman"/>
            <family val="1"/>
          </rPr>
          <t>Full Plate +3</t>
        </r>
      </text>
    </comment>
    <comment ref="F16" authorId="0" shapeId="0" xr:uid="{00000000-0006-0000-0100-000008000000}">
      <text>
        <r>
          <rPr>
            <sz val="12"/>
            <color indexed="81"/>
            <rFont val="Times New Roman"/>
            <family val="1"/>
          </rPr>
          <t>Full Plate +3</t>
        </r>
      </text>
    </comment>
    <comment ref="F20" authorId="0" shapeId="0" xr:uid="{00000000-0006-0000-0100-000009000000}">
      <text>
        <r>
          <rPr>
            <sz val="12"/>
            <color indexed="81"/>
            <rFont val="Times New Roman"/>
            <family val="1"/>
          </rPr>
          <t>Healing Belt +2</t>
        </r>
      </text>
    </comment>
    <comment ref="F21" authorId="0" shapeId="0" xr:uid="{00000000-0006-0000-0100-00000A000000}">
      <text>
        <r>
          <rPr>
            <sz val="12"/>
            <color indexed="81"/>
            <rFont val="Times New Roman"/>
            <family val="1"/>
          </rPr>
          <t>Full Plate +3</t>
        </r>
      </text>
    </comment>
    <comment ref="F23" authorId="0" shapeId="0" xr:uid="{00000000-0006-0000-0100-00000B000000}">
      <text>
        <r>
          <rPr>
            <sz val="12"/>
            <color indexed="81"/>
            <rFont val="Times New Roman"/>
            <family val="1"/>
          </rPr>
          <t>Full Plate +3</t>
        </r>
      </text>
    </comment>
    <comment ref="F27" authorId="0" shapeId="0" xr:uid="{00000000-0006-0000-0100-00000C000000}">
      <text>
        <r>
          <rPr>
            <sz val="12"/>
            <color indexed="81"/>
            <rFont val="Times New Roman"/>
            <family val="1"/>
          </rPr>
          <t>Full Plate +3</t>
        </r>
      </text>
    </comment>
    <comment ref="F34" authorId="0" shapeId="0" xr:uid="{00000000-0006-0000-0100-00000D000000}">
      <text>
        <r>
          <rPr>
            <sz val="12"/>
            <color indexed="81"/>
            <rFont val="Times New Roman"/>
            <family val="1"/>
          </rPr>
          <t>Full Plate +3</t>
        </r>
      </text>
    </comment>
    <comment ref="F40" authorId="0" shapeId="0" xr:uid="{00000000-0006-0000-0100-00000E000000}">
      <text>
        <r>
          <rPr>
            <sz val="12"/>
            <color indexed="81"/>
            <rFont val="Times New Roman"/>
            <family val="1"/>
          </rPr>
          <t>Full Plate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200-000001000000}">
      <text>
        <r>
          <rPr>
            <sz val="12"/>
            <color indexed="81"/>
            <rFont val="Times New Roman"/>
            <family val="1"/>
          </rPr>
          <t>Pure Water</t>
        </r>
      </text>
    </comment>
    <comment ref="D11" authorId="0" shapeId="0" xr:uid="{00000000-0006-0000-0200-000002000000}">
      <text>
        <r>
          <rPr>
            <sz val="12"/>
            <color indexed="81"/>
            <rFont val="Times New Roman"/>
            <family val="1"/>
          </rPr>
          <t>Earth from grave</t>
        </r>
      </text>
    </comment>
    <comment ref="D18" authorId="0" shapeId="0" xr:uid="{00000000-0006-0000-0200-000003000000}">
      <text>
        <r>
          <rPr>
            <sz val="12"/>
            <color indexed="81"/>
            <rFont val="Times New Roman"/>
            <family val="1"/>
          </rPr>
          <t>Imbued weapon</t>
        </r>
      </text>
    </comment>
    <comment ref="D21" authorId="0" shapeId="0" xr:uid="{00000000-0006-0000-0200-000004000000}">
      <text>
        <r>
          <rPr>
            <sz val="12"/>
            <color indexed="81"/>
            <rFont val="Times New Roman"/>
            <family val="1"/>
          </rPr>
          <t>Prism, lens, or monocle</t>
        </r>
      </text>
    </comment>
    <comment ref="D23" authorId="0" shapeId="0" xr:uid="{00000000-0006-0000-0200-000005000000}">
      <text>
        <r>
          <rPr>
            <sz val="12"/>
            <color indexed="81"/>
            <rFont val="Times New Roman"/>
            <family val="1"/>
          </rPr>
          <t>Miniature cloak</t>
        </r>
      </text>
    </comment>
    <comment ref="H24" authorId="0" shapeId="0" xr:uid="{00000000-0006-0000-0200-000006000000}">
      <text>
        <r>
          <rPr>
            <sz val="12"/>
            <color indexed="81"/>
            <rFont val="Times New Roman"/>
            <family val="1"/>
          </rPr>
          <t>See Righteous Fury in Miniatures Handbook</t>
        </r>
      </text>
    </comment>
    <comment ref="D29" authorId="0" shapeId="0" xr:uid="{00000000-0006-0000-0200-000007000000}">
      <text>
        <r>
          <rPr>
            <sz val="12"/>
            <color indexed="81"/>
            <rFont val="Times New Roman"/>
            <family val="1"/>
          </rPr>
          <t>ruby dust &amp; blood</t>
        </r>
      </text>
    </comment>
    <comment ref="D31" authorId="0" shapeId="0" xr:uid="{00000000-0006-0000-0200-000008000000}">
      <text>
        <r>
          <rPr>
            <sz val="12"/>
            <color indexed="81"/>
            <rFont val="Times New Roman"/>
            <family val="1"/>
          </rPr>
          <t>Bull-shit or bull-hair</t>
        </r>
      </text>
    </comment>
    <comment ref="D38" authorId="0" shapeId="0" xr:uid="{00000000-0006-0000-0200-000009000000}">
      <text>
        <r>
          <rPr>
            <sz val="12"/>
            <color indexed="81"/>
            <rFont val="Times New Roman"/>
            <family val="1"/>
          </rPr>
          <t>Eagle feathers or droppings</t>
        </r>
      </text>
    </comment>
    <comment ref="D40" authorId="0" shapeId="0" xr:uid="{00000000-0006-0000-0200-00000A000000}">
      <text>
        <r>
          <rPr>
            <sz val="12"/>
            <color indexed="81"/>
            <rFont val="Times New Roman"/>
            <family val="1"/>
          </rPr>
          <t>Feathers or pinch of owl droppings</t>
        </r>
      </text>
    </comment>
    <comment ref="D44" authorId="0" shapeId="0" xr:uid="{00000000-0006-0000-0200-00000B000000}">
      <text>
        <r>
          <rPr>
            <sz val="12"/>
            <color indexed="81"/>
            <rFont val="Times New Roman"/>
            <family val="1"/>
          </rPr>
          <t>25 gp of sticks and bones</t>
        </r>
      </text>
    </comment>
    <comment ref="D55" authorId="0" shapeId="0" xr:uid="{00000000-0006-0000-0200-00000C000000}">
      <text>
        <r>
          <rPr>
            <sz val="12"/>
            <color indexed="81"/>
            <rFont val="Times New Roman"/>
            <family val="1"/>
          </rPr>
          <t>dragon’s claw or a giant’s fingernail.</t>
        </r>
      </text>
    </comment>
    <comment ref="D58" authorId="0" shapeId="0" xr:uid="{00000000-0006-0000-0200-00000D000000}">
      <text>
        <r>
          <rPr>
            <sz val="12"/>
            <color indexed="81"/>
            <rFont val="Times New Roman"/>
            <family val="1"/>
          </rPr>
          <t>Metal object with which to outline circle</t>
        </r>
      </text>
    </comment>
    <comment ref="D59" authorId="0" shapeId="0" xr:uid="{00000000-0006-0000-0200-00000E000000}">
      <text>
        <r>
          <rPr>
            <sz val="12"/>
            <color indexed="81"/>
            <rFont val="Times New Roman"/>
            <family val="1"/>
          </rPr>
          <t>Metal object with which to outline circle</t>
        </r>
      </text>
    </comment>
    <comment ref="D60" authorId="0" shapeId="0" xr:uid="{00000000-0006-0000-0200-00000F000000}">
      <text>
        <r>
          <rPr>
            <sz val="12"/>
            <color indexed="81"/>
            <rFont val="Times New Roman"/>
            <family val="1"/>
          </rPr>
          <t>Powdered lime and carbon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G16" authorId="0" shapeId="0" xr:uid="{00000000-0006-0000-0300-000001000000}">
      <text>
        <r>
          <rPr>
            <sz val="12"/>
            <color indexed="81"/>
            <rFont val="Times New Roman"/>
            <family val="1"/>
          </rPr>
          <t>Know: Religion synergy +2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2" authorId="0" shapeId="0" xr:uid="{00000000-0006-0000-0400-000002000000}">
      <text>
        <r>
          <rPr>
            <sz val="12"/>
            <color indexed="81"/>
            <rFont val="Times New Roman"/>
            <family val="1"/>
          </rPr>
          <t>The power of a paladin’s aura of good (see the detect good spell) is equal to her paladin level, just like the aura of a cleric of a good deity.
PHB 44</t>
        </r>
      </text>
    </comment>
    <comment ref="A3" authorId="0" shapeId="0" xr:uid="{00000000-0006-0000-0400-00000300000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C3" authorId="0" shapeId="0" xr:uid="{00000000-0006-0000-0400-000004000000}">
      <text>
        <r>
          <rPr>
            <sz val="12"/>
            <color indexed="81"/>
            <rFont val="Times New Roman"/>
            <family val="1"/>
          </rPr>
          <t>Beginning at 2nd level, a paladin with a Charisma score of 12 or higher can heal wounds (her own or those of others) by touch.  Each day she can heal a total number of hit points of damage equal to her paladin level × her Charisma bonus.  For example, a 7th-level paladin with a 16 Charisma (+3 bonus) can heal 21 points of damage per day.  A paladin may choose to divide her healing among multiple recipients, and she doesn’t have to use it all at once.  Using lay on hands is a standard action.
Alternatively, a paladin can use any or all of this healing power to deal damage to undead creatures.  Using lay on hands in this way requires a successful melee touch attack and doesn’t provoke an attack of opportunity.  The paladin decides how many of her daily allotment of points to use as damage after successfully touching an undead creature.  
PHB 44</t>
        </r>
      </text>
    </comment>
    <comment ref="A4" authorId="0" shapeId="0" xr:uid="{00000000-0006-0000-0400-00000500000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5" authorId="0" shapeId="0" xr:uid="{00000000-0006-0000-0400-00000700000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C5" authorId="0" shapeId="0" xr:uid="{00000000-0006-0000-0400-000008000000}">
      <text>
        <r>
          <rPr>
            <sz val="12"/>
            <color indexed="81"/>
            <rFont val="Times New Roman"/>
            <family val="1"/>
          </rPr>
          <t>At will, a paladin can use detect evil, as the spell.
PHB 44</t>
        </r>
      </text>
    </comment>
    <comment ref="C6" authorId="0" shapeId="0" xr:uid="{00000000-0006-0000-0400-00000A000000}">
      <text>
        <r>
          <rPr>
            <sz val="12"/>
            <color indexed="81"/>
            <rFont val="Times New Roman"/>
            <family val="1"/>
          </rPr>
          <t>Once per day, a paladin may attempt to smite evil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evil, the smite has no effect, but the ability is still used up for that day.
At 5th level, and at every five levels thereafter, the paladin may smite evil one additional time per day, as indicated on Table 3–12:  The Paladin, to a maximum of five times per day at 20th level.
PHB 44</t>
        </r>
      </text>
    </comment>
    <comment ref="A7" authorId="0" shapeId="0" xr:uid="{00000000-0006-0000-0400-00000B000000}">
      <text>
        <r>
          <rPr>
            <sz val="12"/>
            <color indexed="81"/>
            <rFont val="Times New Roman"/>
            <family val="1"/>
          </rPr>
          <t xml:space="preserve">You know how to fight in melee without being able to see your foes.
</t>
        </r>
        <r>
          <rPr>
            <b/>
            <sz val="12"/>
            <color indexed="81"/>
            <rFont val="Times New Roman"/>
            <family val="1"/>
          </rPr>
          <t xml:space="preserve">Benefit:  </t>
        </r>
        <r>
          <rPr>
            <sz val="12"/>
            <color indexed="81"/>
            <rFont val="Times New Roman"/>
            <family val="1"/>
          </rPr>
          <t xml:space="preserve">In melee, every time you miss because of concealment, you can reroll your miss chance percentile roll one time to see if you actually hit (see Concealment, page 152).
An invisible attacker gets no advantages related to hitting you in melee.  That is, you don’t lose your Dexterity bonus to Armor Class, and the attacker doesn’t get the usual +2 bonus for being invisible (see Table 8–5:  Attack Roll Modifiers and Table 8–6: Armor Class Modifiers, page 151).  The invisible attacker’s bonuses do still apply for ranged attacks, however.
You take only half the usual penalty to speed for being unable to see.  Darkness and poor visibility in general reduces your speed to three-quarters normal, instead of one-half (see Table 9–4: Hampered Movement, page 163).
</t>
        </r>
        <r>
          <rPr>
            <b/>
            <sz val="12"/>
            <color indexed="81"/>
            <rFont val="Times New Roman"/>
            <family val="1"/>
          </rPr>
          <t xml:space="preserve">Normal:  </t>
        </r>
        <r>
          <rPr>
            <sz val="12"/>
            <color indexed="81"/>
            <rFont val="Times New Roman"/>
            <family val="1"/>
          </rPr>
          <t xml:space="preserve">Regular attack roll modifiers for invisible attackers trying to hit you (see Table 8–5: Attack Roll Modifiers, page 151) apply, and you lose your Dexterity bonus to AC.  The speed reduction for darkness and poor visibility (see Table 9–4: Hampered Movement, page 163) also applies.
</t>
        </r>
        <r>
          <rPr>
            <b/>
            <sz val="12"/>
            <color indexed="81"/>
            <rFont val="Times New Roman"/>
            <family val="1"/>
          </rPr>
          <t xml:space="preserve">Special:  </t>
        </r>
        <r>
          <rPr>
            <sz val="12"/>
            <color indexed="81"/>
            <rFont val="Times New Roman"/>
            <family val="1"/>
          </rPr>
          <t>The Blind-Fight feat is of no use against a character who is the subject of a blink spell (see page 206).
A fighter may select Blind-Fight as one of his fighter bonus feats (see page 38).
PHB 89</t>
        </r>
      </text>
    </comment>
    <comment ref="C7" authorId="0" shapeId="0" xr:uid="{00000000-0006-0000-0400-00000C000000}">
      <text>
        <r>
          <rPr>
            <sz val="12"/>
            <color indexed="81"/>
            <rFont val="Times New Roman"/>
            <family val="1"/>
          </rPr>
          <t>At 2nd level, a paladin gains a bonus equal to her Charisma bonus (if any) on all saving throws.
PHB 44</t>
        </r>
      </text>
    </comment>
    <comment ref="C8" authorId="0" shapeId="0" xr:uid="{00000000-0006-0000-0400-00000D000000}">
      <text>
        <r>
          <rPr>
            <sz val="12"/>
            <color indexed="81"/>
            <rFont val="Times New Roman"/>
            <family val="1"/>
          </rPr>
          <t>At 3rd level, a paladin gains immunity to all diseases, including supernatural and magical diseases (such as mummy rot and lycanthropy).
PHB 44</t>
        </r>
      </text>
    </comment>
    <comment ref="C9" authorId="0" shapeId="0" xr:uid="{00000000-0006-0000-0400-00000E000000}">
      <text>
        <r>
          <rPr>
            <sz val="12"/>
            <color indexed="81"/>
            <rFont val="Times New Roman"/>
            <family val="1"/>
          </rPr>
          <t>Beginning at 3rd level, a paladin of freedom is immune to compulsion effects. Each ally within 10 feet of him gains a +4 morale bonus on saving throws against compulsion effects.  This ability otherwise functions identically to the paladin’s aura of courage class feature (see below).
UA 53
Beginning at 3rd level, a paladin is immune to fear (magical or otherwise).  Each ally within 10 feet of her gains a +4 morale bonus on saving throws against fear effects.
This ability functions while the paladin is conscious, but not if she is unconscious or dead.
PHB 44</t>
        </r>
      </text>
    </comment>
    <comment ref="C10" authorId="0" shapeId="0" xr:uid="{00000000-0006-0000-0400-000010000000}">
      <text>
        <r>
          <rPr>
            <sz val="12"/>
            <color indexed="81"/>
            <rFont val="Times New Roman"/>
            <family val="1"/>
          </rPr>
          <t xml:space="preserve">At 6th level, a paladin can produce a </t>
        </r>
        <r>
          <rPr>
            <i/>
            <sz val="12"/>
            <color indexed="81"/>
            <rFont val="Times New Roman"/>
            <family val="1"/>
          </rPr>
          <t xml:space="preserve">remove disease </t>
        </r>
        <r>
          <rPr>
            <sz val="12"/>
            <color indexed="81"/>
            <rFont val="Times New Roman"/>
            <family val="1"/>
          </rPr>
          <t>effect, as the spell, once per week.  She can use this ability one additional time per week for every three levels after 6th (twice per week at 9th, three times at 12th, and so forth).
PHB 44</t>
        </r>
      </text>
    </comment>
    <comment ref="C11" authorId="0" shapeId="0" xr:uid="{00000000-0006-0000-0400-00001200000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C12" authorId="0" shapeId="0" xr:uid="{00000000-0006-0000-0400-00001400000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B3" authorId="0" shapeId="0" xr:uid="{00000000-0006-0000-0500-000001000000}">
      <text>
        <r>
          <rPr>
            <sz val="12"/>
            <color indexed="81"/>
            <rFont val="Times New Roman"/>
            <family val="1"/>
          </rPr>
          <t>Weapon Specialization +2 dmg</t>
        </r>
      </text>
    </comment>
    <comment ref="D3" authorId="0" shapeId="0" xr:uid="{00000000-0006-0000-0500-000002000000}">
      <text>
        <r>
          <rPr>
            <i/>
            <sz val="12"/>
            <color indexed="81"/>
            <rFont val="Times New Roman"/>
            <family val="1"/>
          </rPr>
          <t>Divine Favor +2</t>
        </r>
      </text>
    </comment>
    <comment ref="E3" authorId="0" shapeId="0" xr:uid="{00000000-0006-0000-0500-000003000000}">
      <text>
        <r>
          <rPr>
            <sz val="12"/>
            <color indexed="81"/>
            <rFont val="Times New Roman"/>
            <family val="1"/>
          </rPr>
          <t>Improved Critical</t>
        </r>
      </text>
    </comment>
    <comment ref="B4" authorId="0" shapeId="0" xr:uid="{00000000-0006-0000-0500-000004000000}">
      <text>
        <r>
          <rPr>
            <sz val="12"/>
            <color indexed="81"/>
            <rFont val="Times New Roman"/>
            <family val="1"/>
          </rPr>
          <t>Weapon Specialization +2 dmg</t>
        </r>
      </text>
    </comment>
    <comment ref="E4" authorId="0" shapeId="0" xr:uid="{00000000-0006-0000-0500-000005000000}">
      <text>
        <r>
          <rPr>
            <sz val="12"/>
            <color indexed="81"/>
            <rFont val="Times New Roman"/>
            <family val="1"/>
          </rPr>
          <t>Improved Critical</t>
        </r>
      </text>
    </comment>
    <comment ref="B5" authorId="0" shapeId="0" xr:uid="{00000000-0006-0000-0500-000006000000}">
      <text>
        <r>
          <rPr>
            <sz val="12"/>
            <color indexed="81"/>
            <rFont val="Times New Roman"/>
            <family val="1"/>
          </rPr>
          <t>Weapon Specialization +2 dmg</t>
        </r>
      </text>
    </comment>
    <comment ref="E5" authorId="0" shapeId="0" xr:uid="{00000000-0006-0000-0500-000007000000}">
      <text>
        <r>
          <rPr>
            <sz val="12"/>
            <color indexed="81"/>
            <rFont val="Times New Roman"/>
            <family val="1"/>
          </rPr>
          <t>Improved Critical</t>
        </r>
      </text>
    </comment>
    <comment ref="B6" authorId="0" shapeId="0" xr:uid="{00000000-0006-0000-0500-000008000000}">
      <text>
        <r>
          <rPr>
            <sz val="12"/>
            <color indexed="81"/>
            <rFont val="Times New Roman"/>
            <family val="1"/>
          </rPr>
          <t>Weapon Specialization +2 dmg</t>
        </r>
      </text>
    </comment>
    <comment ref="E6" authorId="0" shapeId="0" xr:uid="{00000000-0006-0000-0500-000009000000}">
      <text>
        <r>
          <rPr>
            <sz val="12"/>
            <color indexed="81"/>
            <rFont val="Times New Roman"/>
            <family val="1"/>
          </rPr>
          <t>Improved Critical</t>
        </r>
      </text>
    </comment>
    <comment ref="D16" authorId="0" shapeId="0" xr:uid="{00000000-0006-0000-0500-00000A000000}">
      <text>
        <r>
          <rPr>
            <sz val="12"/>
            <color indexed="81"/>
            <rFont val="Times New Roman"/>
            <family val="1"/>
          </rPr>
          <t>Balance, Climb, Escape Artist, Hide, Jump, Move Silently, Sleight of Hand, Tumble.</t>
        </r>
      </text>
    </comment>
    <comment ref="A18" authorId="0" shapeId="0" xr:uid="{00000000-0006-0000-0500-00000B00000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6" authorId="0" shapeId="0" xr:uid="{00000000-0006-0000-0600-00000100000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7" authorId="0" shapeId="0" xr:uid="{00000000-0006-0000-0600-000002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0" authorId="0" shapeId="0" xr:uid="{00000000-0006-0000-0600-00000300000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11" authorId="0" shapeId="0" xr:uid="{00000000-0006-0000-0600-00000400000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 ref="A15" authorId="0" shapeId="0" xr:uid="{00000000-0006-0000-0600-000005000000}">
      <text>
        <r>
          <rPr>
            <sz val="12"/>
            <color indexed="81"/>
            <rFont val="Times New Roman"/>
            <family val="1"/>
          </rPr>
          <t>DMG 238</t>
        </r>
      </text>
    </comment>
  </commentList>
</comments>
</file>

<file path=xl/sharedStrings.xml><?xml version="1.0" encoding="utf-8"?>
<sst xmlns="http://schemas.openxmlformats.org/spreadsheetml/2006/main" count="871" uniqueCount="354">
  <si>
    <t>Level</t>
  </si>
  <si>
    <t>Properties</t>
  </si>
  <si>
    <t>Melee Weapon</t>
  </si>
  <si>
    <t>Qty.</t>
  </si>
  <si>
    <t>Ranged Weapon</t>
  </si>
  <si>
    <t>Dmg.</t>
  </si>
  <si>
    <t>Rng.</t>
  </si>
  <si>
    <t>Skills</t>
  </si>
  <si>
    <t>Concentration</t>
  </si>
  <si>
    <t>AC Mod.</t>
  </si>
  <si>
    <t>Handle Animal</t>
  </si>
  <si>
    <t>Move Silently</t>
  </si>
  <si>
    <t>Ride</t>
  </si>
  <si>
    <t>Search</t>
  </si>
  <si>
    <t>Swim</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</si>
  <si>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</si>
  <si>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</si>
  <si>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</si>
  <si>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</si>
  <si>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</si>
  <si>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</si>
  <si>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</si>
  <si>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</si>
  <si>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</si>
  <si>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</si>
  <si>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</si>
  <si>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</si>
  <si>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</si>
  <si>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</si>
  <si>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</si>
  <si>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</si>
  <si>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</si>
  <si>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</si>
  <si>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</si>
  <si>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</si>
  <si>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</si>
  <si>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</si>
  <si>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</si>
  <si>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</si>
  <si>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</si>
  <si>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</si>
  <si>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</si>
  <si>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</si>
  <si>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</si>
  <si>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</si>
  <si>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</si>
  <si>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</si>
  <si>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</si>
  <si>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</si>
  <si>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</si>
  <si>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</si>
  <si>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</si>
  <si>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</si>
  <si>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</si>
  <si>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</si>
  <si>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Total</t>
  </si>
  <si>
    <t>Critical</t>
  </si>
  <si>
    <t>Fortitude</t>
  </si>
  <si>
    <t>Reflex</t>
  </si>
  <si>
    <t>Will</t>
  </si>
  <si>
    <t>Armor &amp; Shield</t>
  </si>
  <si>
    <t>Missiles</t>
  </si>
  <si>
    <t>Spell</t>
  </si>
  <si>
    <t>Cast?</t>
  </si>
  <si>
    <t>Languages</t>
  </si>
  <si>
    <t>Equipment Worn</t>
  </si>
  <si>
    <t>Item</t>
  </si>
  <si>
    <t>Effects/</t>
  </si>
  <si>
    <t>Notes</t>
  </si>
  <si>
    <t>Equipment Carried</t>
  </si>
  <si>
    <t>Check</t>
  </si>
  <si>
    <t>Arcane</t>
  </si>
  <si>
    <t>Speed</t>
  </si>
  <si>
    <t>Craft:  (type)</t>
  </si>
  <si>
    <t>Speak Language</t>
  </si>
  <si>
    <t>Knowledge:  Religion</t>
  </si>
  <si>
    <t>Perform:  (type)</t>
  </si>
  <si>
    <t>Sleight of Hand</t>
  </si>
  <si>
    <t>Survival</t>
  </si>
  <si>
    <t>Prepared Spells</t>
  </si>
  <si>
    <t>Divine Health</t>
  </si>
  <si>
    <t>General Feats</t>
  </si>
  <si>
    <t>DC</t>
  </si>
  <si>
    <t>School</t>
  </si>
  <si>
    <t>Components</t>
  </si>
  <si>
    <t>Casting</t>
  </si>
  <si>
    <t>Range</t>
  </si>
  <si>
    <t>Duration</t>
  </si>
  <si>
    <t>Create Water</t>
  </si>
  <si>
    <t>Conjuration</t>
  </si>
  <si>
    <t>V S</t>
  </si>
  <si>
    <t>1 SA</t>
  </si>
  <si>
    <t>25’ + 2½’/lvl</t>
  </si>
  <si>
    <t>Instant</t>
  </si>
  <si>
    <t>Universal</t>
  </si>
  <si>
    <t>Touch</t>
  </si>
  <si>
    <t>1 min/lvl</t>
  </si>
  <si>
    <t>Detect Poison</t>
  </si>
  <si>
    <t>Divination</t>
  </si>
  <si>
    <t>1 minute</t>
  </si>
  <si>
    <t>Evocation</t>
  </si>
  <si>
    <t>10 min/lvl</t>
  </si>
  <si>
    <t>Read Magic</t>
  </si>
  <si>
    <t>V S F</t>
  </si>
  <si>
    <t>Personal</t>
  </si>
  <si>
    <t>Resistance</t>
  </si>
  <si>
    <t>Abjuration</t>
  </si>
  <si>
    <t>V S M/DF</t>
  </si>
  <si>
    <t>Virtue</t>
  </si>
  <si>
    <t>V S DF</t>
  </si>
  <si>
    <t>50’</t>
  </si>
  <si>
    <t>V S M</t>
  </si>
  <si>
    <t>1 round</t>
  </si>
  <si>
    <t>Divine Favor</t>
  </si>
  <si>
    <t>Endure Elements</t>
  </si>
  <si>
    <t>24 hours</t>
  </si>
  <si>
    <t>Magic Weapon</t>
  </si>
  <si>
    <t>V S F/DF</t>
  </si>
  <si>
    <t>Detect Undead</t>
  </si>
  <si>
    <t>Atk</t>
  </si>
  <si>
    <t>Conduit of Life</t>
  </si>
  <si>
    <t>Divine Presence</t>
  </si>
  <si>
    <t>Master Cavalier</t>
  </si>
  <si>
    <t>1 rnd/lvl</t>
  </si>
  <si>
    <t>Summon Holy Symbol</t>
  </si>
  <si>
    <t>Touch of Restoration</t>
  </si>
  <si>
    <t>Turn Anathema</t>
  </si>
  <si>
    <t>10 minutes</t>
  </si>
  <si>
    <t>War Mount</t>
  </si>
  <si>
    <t>Lesser Restoration</t>
  </si>
  <si>
    <t>2</t>
  </si>
  <si>
    <t>Special Mount</t>
  </si>
  <si>
    <t>Divine Sacrifice</t>
  </si>
  <si>
    <t>Belt Pouch</t>
  </si>
  <si>
    <t>Whetstone</t>
  </si>
  <si>
    <t>Roll</t>
  </si>
  <si>
    <t>All Armor and Shields (not tower)</t>
  </si>
  <si>
    <t>Simple and Martial Weapons</t>
  </si>
  <si>
    <t>five</t>
  </si>
  <si>
    <t>Divine Grace</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</si>
  <si>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</si>
  <si>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Knowledge:  Nobility</t>
  </si>
  <si>
    <t>Turn Undead</t>
  </si>
  <si>
    <t>Silver Holy Symbol</t>
  </si>
  <si>
    <t>Cloak of Charisma +2</t>
  </si>
  <si>
    <t>Gloves of Dexterity +2</t>
  </si>
  <si>
    <t>Crystal of Adaptation, Least</t>
  </si>
  <si>
    <t>Scrolls and Potions</t>
  </si>
  <si>
    <t>CLev</t>
  </si>
  <si>
    <t>Value</t>
  </si>
  <si>
    <t>1</t>
  </si>
  <si>
    <t>Male</t>
  </si>
  <si>
    <t>x2</t>
  </si>
  <si>
    <t>30’</t>
  </si>
  <si>
    <t>x3</t>
  </si>
  <si>
    <t>Human:  Power Attack</t>
  </si>
  <si>
    <t>Slashing</t>
  </si>
  <si>
    <t>Total Equity:</t>
  </si>
  <si>
    <t>20’</t>
  </si>
  <si>
    <t>-</t>
  </si>
  <si>
    <t>1st</t>
  </si>
  <si>
    <t>2nd</t>
  </si>
  <si>
    <t>3rd</t>
  </si>
  <si>
    <t>4th</t>
  </si>
  <si>
    <t>Total Daily Spells</t>
  </si>
  <si>
    <t>Spells by Level</t>
  </si>
  <si>
    <t>Paladin Spells</t>
  </si>
  <si>
    <t>Wisdom Bonus 1</t>
  </si>
  <si>
    <t>Transmutation</t>
  </si>
  <si>
    <t>Enchantment</t>
  </si>
  <si>
    <t>Paladin Features</t>
  </si>
  <si>
    <t>True Believer bonus +2 when invoked</t>
  </si>
  <si>
    <t>40’</t>
  </si>
  <si>
    <t>0’</t>
  </si>
  <si>
    <t>1st:  True Believer</t>
  </si>
  <si>
    <t>3rd:  Weapon Focus:  Greatsword</t>
  </si>
  <si>
    <t>Rhino’s Rush</t>
  </si>
  <si>
    <t>Swift</t>
  </si>
  <si>
    <t>Bull’s Strength</t>
  </si>
  <si>
    <t>6th:  Improved Toughness</t>
  </si>
  <si>
    <t>Grapple</t>
  </si>
  <si>
    <t>Skill/Save</t>
  </si>
  <si>
    <t>Javelins, 3</t>
  </si>
  <si>
    <t>17-20/x2</t>
  </si>
  <si>
    <t>Max HD Turned</t>
  </si>
  <si>
    <t>Turns/Day</t>
  </si>
  <si>
    <t>1d20 Roll</t>
  </si>
  <si>
    <t>Turn Check</t>
  </si>
  <si>
    <t>2d6 Roll</t>
  </si>
  <si>
    <t>Turns Used</t>
  </si>
  <si>
    <t>Vest of Resistance +2</t>
  </si>
  <si>
    <r>
      <t xml:space="preserve">Potion of </t>
    </r>
    <r>
      <rPr>
        <i/>
        <sz val="12"/>
        <rFont val="Times New Roman"/>
        <family val="1"/>
      </rPr>
      <t>enlarge person</t>
    </r>
  </si>
  <si>
    <r>
      <t xml:space="preserve">Wand of </t>
    </r>
    <r>
      <rPr>
        <i/>
        <sz val="12"/>
        <rFont val="Times New Roman"/>
        <family val="1"/>
      </rPr>
      <t>cure light wounds</t>
    </r>
  </si>
  <si>
    <t>50 charges</t>
  </si>
  <si>
    <t>110’</t>
  </si>
  <si>
    <t>Arrows</t>
  </si>
  <si>
    <t>Weapons and Armor</t>
  </si>
  <si>
    <t>Tomorrow’s Spells</t>
  </si>
  <si>
    <t>Righteous Fury</t>
  </si>
  <si>
    <t>Reference</t>
  </si>
  <si>
    <t>Page</t>
  </si>
  <si>
    <t>PHB</t>
  </si>
  <si>
    <t>Complete Divine</t>
  </si>
  <si>
    <t>Complete Champion</t>
  </si>
  <si>
    <t>Spell Compendium</t>
  </si>
  <si>
    <t>Amulet of Wisdom +2</t>
  </si>
  <si>
    <t>Lesser Metamagic Rod of Extend</t>
  </si>
  <si>
    <t>MW Composite Longbow, Str +3</t>
  </si>
  <si>
    <t>3rd Attack</t>
  </si>
  <si>
    <r>
      <t xml:space="preserve">4th Attack, </t>
    </r>
    <r>
      <rPr>
        <i/>
        <sz val="12"/>
        <rFont val="Times New Roman"/>
        <family val="1"/>
      </rPr>
      <t>haste</t>
    </r>
  </si>
  <si>
    <t>3</t>
  </si>
  <si>
    <r>
      <t xml:space="preserve">Potion of </t>
    </r>
    <r>
      <rPr>
        <i/>
        <sz val="12"/>
        <rFont val="Times New Roman"/>
        <family val="1"/>
      </rPr>
      <t>cure moderate wounds</t>
    </r>
  </si>
  <si>
    <t>Weapon Proficiency</t>
  </si>
  <si>
    <t>+2 to stay on saddle (Military Saddle)</t>
  </si>
  <si>
    <t>?</t>
  </si>
  <si>
    <t>Protection from Law</t>
  </si>
  <si>
    <t>Magic Circle vs. Law</t>
  </si>
  <si>
    <t>Remove Curse</t>
  </si>
  <si>
    <t>Delay Poison</t>
  </si>
  <si>
    <t>Eagle’s Splendor</t>
  </si>
  <si>
    <t>Owl’s Wisdom</t>
  </si>
  <si>
    <t>Remove Paralysis</t>
  </si>
  <si>
    <t>Resist Energy</t>
  </si>
  <si>
    <t>Shield Other</t>
  </si>
  <si>
    <t>Undetectable Alignment</t>
  </si>
  <si>
    <t>Zone of Truth</t>
  </si>
  <si>
    <t>Discern Lies</t>
  </si>
  <si>
    <t>Dispel Magic</t>
  </si>
  <si>
    <t>Magic Weapon, Greater</t>
  </si>
  <si>
    <t>Prayer</t>
  </si>
  <si>
    <t>Remove Blindness/Deafness</t>
  </si>
  <si>
    <t>1 hr/lvl</t>
  </si>
  <si>
    <t>100’ + 10’/lvl</t>
  </si>
  <si>
    <t>M</t>
  </si>
  <si>
    <t>10’ radius</t>
  </si>
  <si>
    <t>Traveler’s Mount</t>
  </si>
  <si>
    <t>Branch to Branch</t>
  </si>
  <si>
    <t>Grave Strike</t>
  </si>
  <si>
    <t>Resist Planar Alignment</t>
  </si>
  <si>
    <t>Bladebane</t>
  </si>
  <si>
    <t>Cloak of Bravery</t>
  </si>
  <si>
    <t>Curse of the Brute</t>
  </si>
  <si>
    <t>Divine Insight</t>
  </si>
  <si>
    <t>Deific Bastion</t>
  </si>
  <si>
    <t>Invoke the Cerulean Sign</t>
  </si>
  <si>
    <t>Complete Adventurer</t>
  </si>
  <si>
    <t>V DF</t>
  </si>
  <si>
    <t>Planar Handbook</t>
  </si>
  <si>
    <t>Unapproachable East</t>
  </si>
  <si>
    <t>60’</t>
  </si>
  <si>
    <t>Defenders of the Faith</t>
  </si>
  <si>
    <t>S</t>
  </si>
  <si>
    <t>Lords of Madness</t>
  </si>
  <si>
    <t>Zeal</t>
  </si>
  <si>
    <t>Traveler’s Outfit</t>
  </si>
  <si>
    <t>Golden Barding</t>
  </si>
  <si>
    <t>Shield of Warding</t>
  </si>
  <si>
    <t>V</t>
  </si>
  <si>
    <t>Draconomicon</t>
  </si>
  <si>
    <t>Fell the Greatest Foe</t>
  </si>
  <si>
    <t>Find the Gap</t>
  </si>
  <si>
    <t>Soul of Light</t>
  </si>
  <si>
    <t>1 hour</t>
  </si>
  <si>
    <t>Dragon Magic</t>
  </si>
  <si>
    <t>Soul of Anarchy</t>
  </si>
  <si>
    <t>Blaze of Light</t>
  </si>
  <si>
    <t>Heroes of Battle</t>
  </si>
  <si>
    <t>Resist Taint</t>
  </si>
  <si>
    <t>Heroes of Horror</t>
  </si>
  <si>
    <t>Pearls of Power, 1st level</t>
  </si>
  <si>
    <t>Affixed to Full Plate</t>
  </si>
  <si>
    <t>q</t>
  </si>
  <si>
    <t>Caster Level:</t>
  </si>
  <si>
    <t>Turn Damage</t>
  </si>
  <si>
    <t>ignores 20 hardness</t>
  </si>
  <si>
    <t>Healing Belt</t>
  </si>
  <si>
    <t>1d8[2d6]</t>
  </si>
  <si>
    <t>1d6[1d8]</t>
  </si>
  <si>
    <t>2nd Attack [damage while Large]</t>
  </si>
  <si>
    <t>12th:  Blind-Fight</t>
  </si>
  <si>
    <t>Bear’s Endurance</t>
  </si>
  <si>
    <t>NPC</t>
  </si>
  <si>
    <t>2d6[3d6]+2</t>
  </si>
  <si>
    <t>Dmg[Large]</t>
  </si>
  <si>
    <r>
      <t xml:space="preserve">Potion of </t>
    </r>
    <r>
      <rPr>
        <i/>
        <sz val="12"/>
        <rFont val="Times New Roman"/>
        <family val="1"/>
      </rPr>
      <t>owl’s wisdom</t>
    </r>
  </si>
  <si>
    <t>Race</t>
  </si>
  <si>
    <t>Sex</t>
  </si>
  <si>
    <t>Class</t>
  </si>
  <si>
    <t>Alignment</t>
  </si>
  <si>
    <t>Deity</t>
  </si>
  <si>
    <t>Attack Bonus</t>
  </si>
  <si>
    <t>Initiative</t>
  </si>
  <si>
    <t>XP</t>
  </si>
  <si>
    <t>Strength</t>
  </si>
  <si>
    <t>Lb. Capacity</t>
  </si>
  <si>
    <t>Dexterity</t>
  </si>
  <si>
    <t>Lb. Carried</t>
  </si>
  <si>
    <t>Constitution</t>
  </si>
  <si>
    <t>Hit Points</t>
  </si>
  <si>
    <t>Intelligence</t>
  </si>
  <si>
    <t>Touch AC</t>
  </si>
  <si>
    <t>Wisdom</t>
  </si>
  <si>
    <t>FF AC</t>
  </si>
  <si>
    <t>Charisma</t>
  </si>
  <si>
    <t>AC</t>
  </si>
  <si>
    <t>the Nibbler</t>
  </si>
  <si>
    <t>Ettercap</t>
  </si>
  <si>
    <t>Paladin of Slaughter</t>
  </si>
  <si>
    <t>Chaotic Evil</t>
  </si>
  <si>
    <t>Lolth</t>
  </si>
  <si>
    <t>Inflict Light Wounds</t>
  </si>
  <si>
    <t>Spells Granted by Lolth</t>
  </si>
  <si>
    <t>Curse</t>
  </si>
  <si>
    <t>Curse Water</t>
  </si>
  <si>
    <t>Curse Weapon</t>
  </si>
  <si>
    <t>Curseed Aim</t>
  </si>
  <si>
    <t>Protection from Good</t>
  </si>
  <si>
    <t>Magic Circle vs. Good</t>
  </si>
  <si>
    <t>Undercommon</t>
  </si>
  <si>
    <t>Aura of Evil</t>
  </si>
  <si>
    <t>Unholy Greatsword +1</t>
  </si>
  <si>
    <t>Full Plate +3</t>
  </si>
  <si>
    <t>Code of Conduct:  ??????</t>
  </si>
  <si>
    <t>Low-Light Vision</t>
  </si>
  <si>
    <r>
      <t xml:space="preserve">2nd Attack </t>
    </r>
    <r>
      <rPr>
        <i/>
        <sz val="12"/>
        <rFont val="Times New Roman"/>
        <family val="1"/>
      </rPr>
      <t>[damage while Large]</t>
    </r>
  </si>
  <si>
    <t>þ</t>
  </si>
  <si>
    <t>Racial Abilities</t>
  </si>
  <si>
    <t>Darkvision 120’</t>
  </si>
  <si>
    <t>9th:  Combat Casting</t>
  </si>
  <si>
    <t>Detect Good</t>
  </si>
  <si>
    <t>Cause Disease 3/week</t>
  </si>
  <si>
    <t>Rebuking Undead</t>
  </si>
  <si>
    <t>Debilitating Aura</t>
  </si>
  <si>
    <t>Inflict Moderate Wounds</t>
  </si>
  <si>
    <t>Necromancy</t>
  </si>
  <si>
    <t>Jinx</t>
  </si>
  <si>
    <t>+2d6 to good</t>
  </si>
  <si>
    <t>A</t>
  </si>
  <si>
    <t>F</t>
  </si>
  <si>
    <t>Allisa</t>
  </si>
  <si>
    <t>K</t>
  </si>
  <si>
    <t>Paladin of Slaughter 1</t>
  </si>
  <si>
    <t>Paladin of Slaughter 2</t>
  </si>
  <si>
    <t>Paladin of Slaughter 3</t>
  </si>
  <si>
    <t>Paladin of Slaughter 4</t>
  </si>
  <si>
    <t>Paladin of Slaughter 5</t>
  </si>
  <si>
    <t>Paladin of Slaughter 6</t>
  </si>
  <si>
    <t>Paladin of Slaughter 7</t>
  </si>
  <si>
    <t>Paladin of Slaughter 8</t>
  </si>
  <si>
    <t>Paladin of Slaughter 9</t>
  </si>
  <si>
    <t>Paladin of Slaughter 10</t>
  </si>
  <si>
    <t>Paladin of Slaughter 11</t>
  </si>
  <si>
    <t>Paladin of Slaughter 12</t>
  </si>
  <si>
    <t>Paladin of Slaughter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</si>
</sst>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3C0A]\ #,##0"/>
  </numFmts>
  <fonts count="66"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sz val="13"/>
      <name val="Wingdings"/>
      <charset val="2"/>
    </font>
    <font>
      <sz val="13"/>
      <color indexed="12"/>
      <name val="Times New Roman"/>
      <family val="1"/>
    </font>
    <font>
      <sz val="12"/>
      <color indexed="81"/>
      <name val="Times New Roman"/>
      <family val="1"/>
    </font>
    <font>
      <i/>
      <sz val="12"/>
      <color indexed="81"/>
      <name val="Times New Roman"/>
      <family val="1"/>
    </font>
    <font>
      <i/>
      <sz val="12"/>
      <color indexed="52"/>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
      <i/>
      <sz val="18"/>
      <color rgb="FF0000FF"/>
      <name val="Times New Roman"/>
      <family val="1"/>
    </font>
    <font>
      <sz val="12"/>
      <color rgb="FFFF0000"/>
      <name val="Times New Roman"/>
      <family val="1"/>
    </font>
    <font>
      <i/>
      <sz val="16"/>
      <color indexed="21"/>
      <name val="Times New Roman"/>
      <family val="1"/>
    </font>
    <font>
      <i/>
      <sz val="16"/>
      <color indexed="53"/>
      <name val="Times New Roman"/>
      <family val="1"/>
    </font>
    <font>
      <i/>
      <sz val="16"/>
      <color indexed="10"/>
      <name val="Times New Roman"/>
      <family val="1"/>
    </font>
    <font>
      <sz val="13"/>
      <color theme="0"/>
      <name val="Times New Roman"/>
      <family val="1"/>
    </font>
    <font>
      <i/>
      <sz val="22"/>
      <color rgb="FFFF0000"/>
      <name val="Times New Roman"/>
      <family val="1"/>
    </font>
    <font>
      <sz val="13"/>
      <color rgb="FFFFFF00"/>
      <name val="Times New Roman"/>
      <family val="1"/>
    </font>
    <font>
      <i/>
      <sz val="16"/>
      <color indexed="17"/>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9933FF"/>
        <bgColor indexed="64"/>
      </patternFill>
    </fill>
    <fill>
      <patternFill patternType="solid">
        <fgColor theme="0"/>
        <bgColor indexed="64"/>
      </patternFill>
    </fill>
    <fill>
      <patternFill patternType="solid">
        <fgColor rgb="FFCCFFCC"/>
        <bgColor indexed="55"/>
      </patternFill>
    </fill>
  </fills>
  <borders count="14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hair">
        <color indexed="64"/>
      </right>
      <top style="hair">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1" fillId="0" borderId="0"/>
    <xf numFmtId="0" fontId="5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07">
    <xf numFmtId="0" fontId="0" fillId="0" borderId="0" xfId="0"/>
    <xf numFmtId="0" fontId="5" fillId="0" borderId="0" xfId="0" applyFont="1"/>
    <xf numFmtId="0" fontId="4" fillId="0" borderId="0" xfId="0" applyFont="1" applyAlignment="1">
      <alignment horizontal="right"/>
    </xf>
    <xf numFmtId="0" fontId="5" fillId="0" borderId="0" xfId="0" applyFont="1" applyAlignment="1">
      <alignment horizontal="left"/>
    </xf>
    <xf numFmtId="0" fontId="19"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45" fillId="10"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20" xfId="0" applyFont="1" applyFill="1" applyBorder="1" applyAlignment="1">
      <alignment horizontal="centerContinuous" vertical="center" wrapText="1"/>
    </xf>
    <xf numFmtId="0" fontId="12" fillId="3" borderId="21" xfId="0" applyFont="1" applyFill="1" applyBorder="1" applyAlignment="1">
      <alignment horizontal="center" vertical="center" wrapText="1"/>
    </xf>
    <xf numFmtId="0" fontId="4" fillId="0" borderId="0" xfId="0" applyFont="1" applyAlignment="1">
      <alignment vertical="center" wrapText="1"/>
    </xf>
    <xf numFmtId="0" fontId="2" fillId="0" borderId="44" xfId="0" applyFont="1" applyBorder="1" applyAlignment="1">
      <alignment horizontal="center" vertical="center"/>
    </xf>
    <xf numFmtId="0" fontId="3" fillId="0" borderId="0" xfId="0" applyFont="1" applyAlignment="1">
      <alignment horizontal="centerContinuous" vertical="center"/>
    </xf>
    <xf numFmtId="0" fontId="5" fillId="0" borderId="0" xfId="0" applyFont="1" applyAlignment="1">
      <alignment vertical="center"/>
    </xf>
    <xf numFmtId="0" fontId="21" fillId="12" borderId="14" xfId="0" applyFont="1" applyFill="1" applyBorder="1" applyAlignment="1">
      <alignment horizontal="center" vertical="center"/>
    </xf>
    <xf numFmtId="0" fontId="21" fillId="12" borderId="15" xfId="0" applyFont="1" applyFill="1" applyBorder="1" applyAlignment="1">
      <alignment horizontal="center" vertical="center"/>
    </xf>
    <xf numFmtId="49" fontId="21" fillId="12" borderId="15" xfId="0" applyNumberFormat="1" applyFont="1" applyFill="1" applyBorder="1" applyAlignment="1">
      <alignment horizontal="center" vertical="center"/>
    </xf>
    <xf numFmtId="0" fontId="21" fillId="12" borderId="19" xfId="0" applyFont="1" applyFill="1" applyBorder="1" applyAlignment="1">
      <alignment horizontal="center" vertical="center"/>
    </xf>
    <xf numFmtId="0" fontId="48" fillId="10" borderId="19" xfId="0" applyFont="1" applyFill="1" applyBorder="1" applyAlignment="1">
      <alignment horizontal="center" vertical="center"/>
    </xf>
    <xf numFmtId="0" fontId="21" fillId="12" borderId="16"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Fill="1" applyBorder="1" applyAlignment="1">
      <alignment horizontal="center" vertical="center"/>
    </xf>
    <xf numFmtId="164" fontId="2" fillId="0" borderId="50" xfId="0" applyNumberFormat="1" applyFont="1" applyBorder="1" applyAlignment="1">
      <alignment horizontal="center" vertical="center"/>
    </xf>
    <xf numFmtId="164" fontId="5" fillId="0" borderId="50" xfId="0" applyNumberFormat="1" applyFont="1" applyBorder="1" applyAlignment="1">
      <alignment horizontal="center" vertical="center"/>
    </xf>
    <xf numFmtId="0" fontId="2" fillId="0" borderId="52" xfId="0" applyFont="1" applyBorder="1" applyAlignment="1">
      <alignment horizontal="center" vertical="center"/>
    </xf>
    <xf numFmtId="0" fontId="5" fillId="0" borderId="0" xfId="0" applyFont="1" applyAlignment="1">
      <alignment horizontal="center" vertical="center"/>
    </xf>
    <xf numFmtId="0" fontId="5" fillId="0" borderId="55" xfId="0" applyFont="1" applyBorder="1" applyAlignment="1">
      <alignment horizontal="center" vertical="center"/>
    </xf>
    <xf numFmtId="164" fontId="5" fillId="0" borderId="55" xfId="0" applyNumberFormat="1" applyFont="1" applyBorder="1" applyAlignment="1">
      <alignment horizontal="center" vertical="center"/>
    </xf>
    <xf numFmtId="0" fontId="5" fillId="0" borderId="0" xfId="0" applyFont="1" applyAlignment="1">
      <alignment horizontal="centerContinuous" vertical="center"/>
    </xf>
    <xf numFmtId="164" fontId="5" fillId="0" borderId="0" xfId="0" applyNumberFormat="1" applyFont="1" applyAlignment="1">
      <alignment horizontal="center" vertical="center"/>
    </xf>
    <xf numFmtId="0" fontId="21" fillId="12" borderId="19" xfId="0" applyFont="1" applyFill="1" applyBorder="1" applyAlignment="1">
      <alignment horizontal="centerContinuous" vertical="center"/>
    </xf>
    <xf numFmtId="0" fontId="21" fillId="12" borderId="60" xfId="0" applyFont="1" applyFill="1" applyBorder="1" applyAlignment="1">
      <alignment horizontal="centerContinuous" vertical="center"/>
    </xf>
    <xf numFmtId="0" fontId="21" fillId="12" borderId="61" xfId="0" applyFont="1" applyFill="1" applyBorder="1" applyAlignment="1">
      <alignment horizontal="centerContinuous" vertical="center"/>
    </xf>
    <xf numFmtId="164" fontId="5" fillId="0" borderId="63" xfId="0" applyNumberFormat="1" applyFont="1" applyBorder="1" applyAlignment="1">
      <alignment horizontal="centerContinuous" vertical="center"/>
    </xf>
    <xf numFmtId="9" fontId="5" fillId="0" borderId="55" xfId="0" applyNumberFormat="1" applyFont="1" applyBorder="1" applyAlignment="1">
      <alignment horizontal="center" vertical="center"/>
    </xf>
    <xf numFmtId="164" fontId="5" fillId="0" borderId="9" xfId="0" applyNumberFormat="1" applyFont="1" applyBorder="1" applyAlignment="1">
      <alignment horizontal="centerContinuous" vertical="center"/>
    </xf>
    <xf numFmtId="0" fontId="5" fillId="0" borderId="10" xfId="0" applyFont="1" applyBorder="1" applyAlignment="1">
      <alignment horizontal="centerContinuous" vertical="center"/>
    </xf>
    <xf numFmtId="0" fontId="18" fillId="0" borderId="0" xfId="0" applyFont="1" applyAlignment="1">
      <alignment horizontal="right" vertical="center"/>
    </xf>
    <xf numFmtId="0" fontId="21" fillId="12" borderId="17" xfId="0" applyFont="1" applyFill="1" applyBorder="1" applyAlignment="1">
      <alignment horizontal="centerContinuous" vertical="center"/>
    </xf>
    <xf numFmtId="0" fontId="21" fillId="12" borderId="18" xfId="0" applyFont="1" applyFill="1" applyBorder="1" applyAlignment="1">
      <alignment horizontal="centerContinuous" vertical="center"/>
    </xf>
    <xf numFmtId="0" fontId="21" fillId="12" borderId="61" xfId="0" applyFont="1" applyFill="1" applyBorder="1" applyAlignment="1">
      <alignment horizontal="center" vertical="center"/>
    </xf>
    <xf numFmtId="0" fontId="5" fillId="0" borderId="63" xfId="0" applyFont="1" applyBorder="1" applyAlignment="1">
      <alignment horizontal="centerContinuous" vertical="center"/>
    </xf>
    <xf numFmtId="0" fontId="5" fillId="0" borderId="77" xfId="0" applyFont="1" applyBorder="1" applyAlignment="1">
      <alignment horizontal="centerContinuous" vertical="center"/>
    </xf>
    <xf numFmtId="0" fontId="5" fillId="0" borderId="76" xfId="0" applyFont="1" applyBorder="1" applyAlignment="1">
      <alignment horizontal="center" vertical="center"/>
    </xf>
    <xf numFmtId="49" fontId="2" fillId="0" borderId="77" xfId="0" applyNumberFormat="1" applyFont="1" applyBorder="1" applyAlignment="1">
      <alignment horizontal="center" vertical="center"/>
    </xf>
    <xf numFmtId="0" fontId="5" fillId="0" borderId="64" xfId="0" applyFont="1" applyBorder="1" applyAlignment="1">
      <alignment horizontal="center" vertical="center"/>
    </xf>
    <xf numFmtId="0" fontId="5" fillId="0" borderId="49" xfId="0" applyFont="1" applyBorder="1" applyAlignment="1">
      <alignment horizontal="centerContinuous" vertical="center"/>
    </xf>
    <xf numFmtId="0" fontId="5" fillId="0" borderId="80" xfId="0" applyFont="1" applyBorder="1" applyAlignment="1">
      <alignment horizontal="centerContinuous" vertical="center"/>
    </xf>
    <xf numFmtId="0" fontId="5" fillId="0" borderId="78" xfId="0" applyFont="1" applyBorder="1" applyAlignment="1">
      <alignment horizontal="centerContinuous" vertical="center"/>
    </xf>
    <xf numFmtId="164" fontId="5" fillId="0" borderId="79" xfId="0" applyNumberFormat="1" applyFont="1" applyBorder="1" applyAlignment="1">
      <alignment horizontal="center" vertical="center"/>
    </xf>
    <xf numFmtId="49" fontId="5" fillId="0" borderId="78" xfId="0" applyNumberFormat="1" applyFont="1" applyBorder="1" applyAlignment="1">
      <alignment horizontal="center" vertical="center"/>
    </xf>
    <xf numFmtId="164" fontId="5" fillId="0" borderId="81" xfId="0" applyNumberFormat="1" applyFont="1" applyBorder="1" applyAlignment="1">
      <alignment horizontal="centerContinuous" vertical="center"/>
    </xf>
    <xf numFmtId="0" fontId="5" fillId="0" borderId="82" xfId="0" applyFont="1" applyBorder="1" applyAlignment="1">
      <alignment horizontal="center" vertical="center"/>
    </xf>
    <xf numFmtId="164" fontId="3" fillId="0" borderId="0" xfId="0" applyNumberFormat="1" applyFont="1" applyAlignment="1">
      <alignment horizontal="centerContinuous" vertical="center"/>
    </xf>
    <xf numFmtId="0" fontId="21" fillId="3" borderId="41" xfId="0" applyFont="1" applyFill="1" applyBorder="1" applyAlignment="1">
      <alignment horizontal="center" vertical="center"/>
    </xf>
    <xf numFmtId="164" fontId="21" fillId="3" borderId="42" xfId="0" applyNumberFormat="1" applyFont="1" applyFill="1" applyBorder="1" applyAlignment="1">
      <alignment horizontal="center" vertical="center"/>
    </xf>
    <xf numFmtId="0" fontId="21" fillId="3" borderId="41" xfId="0" applyFont="1" applyFill="1" applyBorder="1" applyAlignment="1">
      <alignment horizontal="right" vertical="center"/>
    </xf>
    <xf numFmtId="0" fontId="21" fillId="3" borderId="43" xfId="0" applyFont="1" applyFill="1" applyBorder="1" applyAlignment="1">
      <alignment vertical="center"/>
    </xf>
    <xf numFmtId="0" fontId="2" fillId="0" borderId="68" xfId="0" applyFont="1" applyBorder="1" applyAlignment="1">
      <alignment horizontal="center" vertical="center" shrinkToFit="1"/>
    </xf>
    <xf numFmtId="164" fontId="5" fillId="0" borderId="44" xfId="0" applyNumberFormat="1" applyFont="1" applyBorder="1" applyAlignment="1">
      <alignment horizontal="center"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shrinkToFit="1"/>
    </xf>
    <xf numFmtId="0" fontId="5" fillId="0" borderId="68" xfId="0" applyFont="1" applyBorder="1" applyAlignment="1">
      <alignment horizontal="center" vertical="center" shrinkToFit="1"/>
    </xf>
    <xf numFmtId="164" fontId="2" fillId="0" borderId="44"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0" fontId="34" fillId="0" borderId="31" xfId="0" applyFont="1" applyBorder="1" applyAlignment="1">
      <alignment horizontal="centerContinuous" vertical="center" wrapText="1"/>
    </xf>
    <xf numFmtId="0" fontId="15" fillId="0" borderId="32" xfId="0" applyFont="1" applyBorder="1" applyAlignment="1">
      <alignment horizontal="centerContinuous" vertical="center" wrapText="1"/>
    </xf>
    <xf numFmtId="0" fontId="15" fillId="0" borderId="33" xfId="0" applyFont="1" applyBorder="1" applyAlignment="1">
      <alignment horizontal="centerContinuous" vertical="center" wrapText="1"/>
    </xf>
    <xf numFmtId="0" fontId="5" fillId="0" borderId="0" xfId="0" applyFont="1" applyAlignment="1">
      <alignment vertical="center" wrapText="1"/>
    </xf>
    <xf numFmtId="0" fontId="12" fillId="9" borderId="35" xfId="0" applyFont="1" applyFill="1" applyBorder="1" applyAlignment="1">
      <alignment horizontal="centerContinuous" vertical="center" wrapText="1"/>
    </xf>
    <xf numFmtId="0" fontId="12" fillId="9" borderId="36"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5" fillId="0" borderId="0" xfId="0" applyFont="1" applyAlignment="1">
      <alignment horizontal="left" vertical="center"/>
    </xf>
    <xf numFmtId="0" fontId="46" fillId="0" borderId="40" xfId="0" applyFont="1" applyBorder="1" applyAlignment="1">
      <alignment horizontal="centerContinuous" vertical="center" shrinkToFit="1"/>
    </xf>
    <xf numFmtId="0" fontId="2" fillId="0" borderId="0" xfId="0" applyFont="1" applyAlignment="1">
      <alignment vertical="center" wrapText="1"/>
    </xf>
    <xf numFmtId="0" fontId="35" fillId="8" borderId="38" xfId="2" applyNumberFormat="1" applyFont="1" applyFill="1" applyBorder="1" applyAlignment="1">
      <alignment horizontal="center" vertical="center" shrinkToFit="1"/>
    </xf>
    <xf numFmtId="0" fontId="17" fillId="0" borderId="40" xfId="0" applyFont="1" applyBorder="1" applyAlignment="1">
      <alignment horizontal="center" vertical="center" shrinkToFit="1"/>
    </xf>
    <xf numFmtId="0" fontId="27" fillId="0" borderId="40" xfId="0" applyFont="1" applyBorder="1" applyAlignment="1">
      <alignment horizontal="centerContinuous" vertical="center"/>
    </xf>
    <xf numFmtId="0" fontId="5" fillId="0" borderId="0" xfId="0" applyFont="1" applyAlignment="1">
      <alignment horizontal="left" vertical="center" wrapText="1"/>
    </xf>
    <xf numFmtId="0" fontId="4" fillId="0" borderId="0" xfId="0" applyFont="1" applyAlignment="1">
      <alignment horizontal="right" vertical="center" wrapText="1"/>
    </xf>
    <xf numFmtId="0" fontId="7" fillId="0" borderId="59" xfId="0" applyFont="1" applyBorder="1" applyAlignment="1">
      <alignment horizontal="center" vertical="center" shrinkToFit="1"/>
    </xf>
    <xf numFmtId="0" fontId="25" fillId="0" borderId="23" xfId="0" applyFont="1" applyBorder="1" applyAlignment="1">
      <alignment horizontal="centerContinuous" vertical="center"/>
    </xf>
    <xf numFmtId="0" fontId="15" fillId="0" borderId="0" xfId="0" applyFont="1" applyAlignment="1">
      <alignment horizontal="centerContinuous" vertical="center"/>
    </xf>
    <xf numFmtId="0" fontId="7" fillId="0" borderId="25" xfId="0" applyFont="1" applyBorder="1" applyAlignment="1">
      <alignment horizontal="center" vertical="center"/>
    </xf>
    <xf numFmtId="0" fontId="27" fillId="0" borderId="26" xfId="0" applyFont="1" applyBorder="1" applyAlignment="1">
      <alignment horizontal="center" vertical="center"/>
    </xf>
    <xf numFmtId="49" fontId="7" fillId="0" borderId="25" xfId="0" applyNumberFormat="1" applyFont="1" applyBorder="1" applyAlignment="1">
      <alignment horizontal="center" vertical="center"/>
    </xf>
    <xf numFmtId="1" fontId="7" fillId="0" borderId="25" xfId="0" applyNumberFormat="1" applyFont="1" applyBorder="1" applyAlignment="1">
      <alignment horizontal="center" vertical="center" wrapText="1"/>
    </xf>
    <xf numFmtId="0" fontId="43" fillId="10" borderId="26" xfId="0" applyFont="1" applyFill="1" applyBorder="1" applyAlignment="1">
      <alignment horizontal="center" vertical="center"/>
    </xf>
    <xf numFmtId="0" fontId="44" fillId="0" borderId="1" xfId="0" applyFont="1" applyBorder="1" applyAlignment="1">
      <alignment vertical="center"/>
    </xf>
    <xf numFmtId="0" fontId="24" fillId="0" borderId="26" xfId="0" applyFont="1" applyBorder="1" applyAlignment="1">
      <alignment horizontal="center" vertical="center"/>
    </xf>
    <xf numFmtId="0" fontId="13" fillId="0" borderId="26" xfId="0" applyFont="1" applyBorder="1" applyAlignment="1">
      <alignment horizontal="center" vertical="center"/>
    </xf>
    <xf numFmtId="49" fontId="7" fillId="0" borderId="25" xfId="0" applyNumberFormat="1" applyFont="1" applyBorder="1" applyAlignment="1">
      <alignment horizontal="center" vertical="center" wrapText="1"/>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28" fillId="0" borderId="12" xfId="0" applyFont="1" applyBorder="1" applyAlignment="1">
      <alignment horizontal="center" vertical="center"/>
    </xf>
    <xf numFmtId="0" fontId="28" fillId="0" borderId="54" xfId="0" applyFont="1" applyBorder="1" applyAlignment="1">
      <alignment horizontal="center" vertical="center"/>
    </xf>
    <xf numFmtId="49" fontId="7" fillId="0" borderId="54" xfId="0" applyNumberFormat="1" applyFont="1" applyBorder="1" applyAlignment="1">
      <alignment horizontal="center" vertical="center" wrapText="1"/>
    </xf>
    <xf numFmtId="1" fontId="7" fillId="0" borderId="54" xfId="0" applyNumberFormat="1" applyFont="1" applyBorder="1" applyAlignment="1">
      <alignment horizontal="center" vertical="center" wrapText="1"/>
    </xf>
    <xf numFmtId="0" fontId="43" fillId="10" borderId="54" xfId="0" applyFont="1" applyFill="1" applyBorder="1" applyAlignment="1">
      <alignment horizontal="center" vertical="center"/>
    </xf>
    <xf numFmtId="0" fontId="11"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7" fillId="0" borderId="26" xfId="0" applyFont="1" applyBorder="1" applyAlignment="1">
      <alignment horizontal="center" vertical="center"/>
    </xf>
    <xf numFmtId="49" fontId="7" fillId="0" borderId="26" xfId="0" applyNumberFormat="1" applyFont="1" applyBorder="1" applyAlignment="1">
      <alignment horizontal="center" vertical="center"/>
    </xf>
    <xf numFmtId="0" fontId="13" fillId="0" borderId="1" xfId="0" applyFont="1" applyBorder="1" applyAlignment="1">
      <alignment vertical="center"/>
    </xf>
    <xf numFmtId="49" fontId="24" fillId="0" borderId="25" xfId="0" applyNumberFormat="1" applyFont="1" applyBorder="1" applyAlignment="1">
      <alignment horizontal="center" vertical="center"/>
    </xf>
    <xf numFmtId="0" fontId="14"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4" fillId="0" borderId="26" xfId="0" applyFont="1" applyBorder="1" applyAlignment="1">
      <alignment horizontal="center" vertical="center"/>
    </xf>
    <xf numFmtId="0" fontId="8" fillId="0" borderId="1" xfId="0" applyFont="1" applyBorder="1" applyAlignment="1">
      <alignment vertical="center"/>
    </xf>
    <xf numFmtId="49" fontId="17" fillId="0" borderId="25" xfId="0" applyNumberFormat="1" applyFont="1" applyBorder="1" applyAlignment="1">
      <alignment horizontal="center" vertical="center"/>
    </xf>
    <xf numFmtId="0" fontId="17" fillId="0" borderId="26" xfId="0" applyFont="1" applyBorder="1" applyAlignment="1">
      <alignment horizontal="center" vertical="center"/>
    </xf>
    <xf numFmtId="0" fontId="7" fillId="13" borderId="25" xfId="0" applyFont="1" applyFill="1" applyBorder="1" applyAlignment="1">
      <alignment horizontal="center" vertical="center"/>
    </xf>
    <xf numFmtId="49" fontId="7" fillId="13" borderId="26" xfId="0" applyNumberFormat="1" applyFont="1" applyFill="1" applyBorder="1" applyAlignment="1">
      <alignment horizontal="center" vertical="center"/>
    </xf>
    <xf numFmtId="0" fontId="7" fillId="13" borderId="27" xfId="0" applyFont="1" applyFill="1" applyBorder="1" applyAlignment="1">
      <alignment horizontal="center" vertical="center"/>
    </xf>
    <xf numFmtId="0" fontId="11" fillId="5" borderId="1" xfId="0" applyFont="1" applyFill="1" applyBorder="1" applyAlignment="1">
      <alignment vertical="center"/>
    </xf>
    <xf numFmtId="0" fontId="7" fillId="5" borderId="25" xfId="0" applyFont="1" applyFill="1" applyBorder="1" applyAlignment="1">
      <alignment horizontal="center" vertical="center"/>
    </xf>
    <xf numFmtId="49" fontId="16" fillId="5" borderId="25" xfId="0" applyNumberFormat="1" applyFont="1" applyFill="1" applyBorder="1" applyAlignment="1">
      <alignment horizontal="center" vertical="center"/>
    </xf>
    <xf numFmtId="0" fontId="16" fillId="5" borderId="26" xfId="0" applyFont="1" applyFill="1" applyBorder="1" applyAlignment="1">
      <alignment horizontal="center" vertical="center"/>
    </xf>
    <xf numFmtId="49" fontId="7" fillId="5" borderId="26" xfId="0" applyNumberFormat="1" applyFont="1" applyFill="1" applyBorder="1" applyAlignment="1">
      <alignment horizontal="center" vertical="center"/>
    </xf>
    <xf numFmtId="0" fontId="7" fillId="5" borderId="27" xfId="0" applyFont="1" applyFill="1" applyBorder="1" applyAlignment="1">
      <alignment horizontal="center" vertical="center"/>
    </xf>
    <xf numFmtId="0" fontId="14" fillId="13" borderId="1" xfId="0" applyFont="1" applyFill="1" applyBorder="1" applyAlignment="1">
      <alignment vertical="center"/>
    </xf>
    <xf numFmtId="49" fontId="23" fillId="13" borderId="25" xfId="0" applyNumberFormat="1" applyFont="1" applyFill="1" applyBorder="1" applyAlignment="1">
      <alignment horizontal="center" vertical="center"/>
    </xf>
    <xf numFmtId="0" fontId="23" fillId="13" borderId="26" xfId="0" applyFont="1" applyFill="1" applyBorder="1" applyAlignment="1">
      <alignment horizontal="center" vertical="center"/>
    </xf>
    <xf numFmtId="0" fontId="14" fillId="13" borderId="26" xfId="0" applyFont="1" applyFill="1" applyBorder="1" applyAlignment="1">
      <alignment horizontal="center" vertical="center"/>
    </xf>
    <xf numFmtId="0" fontId="7" fillId="0" borderId="27" xfId="0" applyFont="1" applyBorder="1" applyAlignment="1">
      <alignment horizontal="center" vertical="center" wrapText="1"/>
    </xf>
    <xf numFmtId="0" fontId="11" fillId="6" borderId="1" xfId="0" applyFont="1" applyFill="1" applyBorder="1" applyAlignment="1">
      <alignment vertical="center"/>
    </xf>
    <xf numFmtId="0" fontId="7" fillId="6" borderId="25" xfId="0" applyFont="1" applyFill="1" applyBorder="1" applyAlignment="1">
      <alignment horizontal="center" vertical="center"/>
    </xf>
    <xf numFmtId="49" fontId="16" fillId="6" borderId="25" xfId="0" applyNumberFormat="1" applyFont="1" applyFill="1" applyBorder="1" applyAlignment="1">
      <alignment horizontal="center" vertical="center"/>
    </xf>
    <xf numFmtId="0" fontId="16" fillId="6" borderId="26" xfId="0" applyFont="1" applyFill="1" applyBorder="1" applyAlignment="1">
      <alignment horizontal="center" vertical="center"/>
    </xf>
    <xf numFmtId="49" fontId="7" fillId="6" borderId="26" xfId="0" applyNumberFormat="1" applyFont="1" applyFill="1" applyBorder="1" applyAlignment="1">
      <alignment horizontal="center" vertical="center"/>
    </xf>
    <xf numFmtId="0" fontId="22" fillId="0" borderId="1" xfId="0" applyFont="1" applyBorder="1" applyAlignment="1">
      <alignment vertical="center"/>
    </xf>
    <xf numFmtId="49" fontId="28" fillId="0" borderId="25" xfId="0" applyNumberFormat="1" applyFont="1" applyBorder="1" applyAlignment="1">
      <alignment horizontal="center" vertical="center"/>
    </xf>
    <xf numFmtId="0" fontId="28" fillId="0" borderId="26" xfId="0" applyFont="1" applyBorder="1" applyAlignment="1">
      <alignment horizontal="center" vertical="center"/>
    </xf>
    <xf numFmtId="0" fontId="11" fillId="13" borderId="1" xfId="0" applyFont="1" applyFill="1" applyBorder="1" applyAlignment="1">
      <alignment vertical="center"/>
    </xf>
    <xf numFmtId="49" fontId="16" fillId="13" borderId="25" xfId="0" applyNumberFormat="1" applyFont="1" applyFill="1" applyBorder="1" applyAlignment="1">
      <alignment horizontal="center" vertical="center"/>
    </xf>
    <xf numFmtId="0" fontId="16" fillId="13" borderId="26" xfId="0" applyFont="1" applyFill="1" applyBorder="1" applyAlignment="1">
      <alignment horizontal="center" vertical="center"/>
    </xf>
    <xf numFmtId="0" fontId="22" fillId="0" borderId="26" xfId="0" applyFont="1" applyBorder="1" applyAlignment="1">
      <alignment horizontal="center" vertical="center"/>
    </xf>
    <xf numFmtId="0" fontId="13" fillId="5" borderId="1" xfId="0" applyFont="1" applyFill="1" applyBorder="1" applyAlignment="1">
      <alignment vertical="center"/>
    </xf>
    <xf numFmtId="49" fontId="24" fillId="5" borderId="25"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14" fillId="4" borderId="1" xfId="0" applyFont="1" applyFill="1" applyBorder="1" applyAlignment="1">
      <alignment vertical="center"/>
    </xf>
    <xf numFmtId="49" fontId="28" fillId="5" borderId="25" xfId="0" applyNumberFormat="1" applyFont="1" applyFill="1" applyBorder="1" applyAlignment="1">
      <alignment horizontal="center" vertical="center"/>
    </xf>
    <xf numFmtId="0" fontId="28" fillId="5" borderId="26" xfId="0" applyFont="1" applyFill="1" applyBorder="1" applyAlignment="1">
      <alignment horizontal="center" vertical="center"/>
    </xf>
    <xf numFmtId="0" fontId="13" fillId="7" borderId="1" xfId="0" applyFont="1" applyFill="1" applyBorder="1" applyAlignment="1">
      <alignment vertical="center"/>
    </xf>
    <xf numFmtId="0" fontId="7" fillId="7" borderId="25" xfId="0" applyFont="1" applyFill="1" applyBorder="1" applyAlignment="1">
      <alignment horizontal="center" vertical="center"/>
    </xf>
    <xf numFmtId="49" fontId="24" fillId="7" borderId="25" xfId="0" applyNumberFormat="1" applyFont="1" applyFill="1" applyBorder="1" applyAlignment="1">
      <alignment horizontal="center" vertical="center"/>
    </xf>
    <xf numFmtId="0" fontId="24" fillId="7" borderId="26" xfId="0" applyFont="1" applyFill="1" applyBorder="1" applyAlignment="1">
      <alignment horizontal="center" vertical="center"/>
    </xf>
    <xf numFmtId="0" fontId="13" fillId="7" borderId="26" xfId="0" applyFont="1" applyFill="1" applyBorder="1" applyAlignment="1">
      <alignment horizontal="center" vertical="center"/>
    </xf>
    <xf numFmtId="49" fontId="7" fillId="7" borderId="26" xfId="0" applyNumberFormat="1" applyFont="1" applyFill="1" applyBorder="1" applyAlignment="1">
      <alignment horizontal="center" vertical="center"/>
    </xf>
    <xf numFmtId="0" fontId="7" fillId="7" borderId="27" xfId="0" applyFont="1" applyFill="1" applyBorder="1" applyAlignment="1">
      <alignment horizontal="center" vertical="center"/>
    </xf>
    <xf numFmtId="0" fontId="22" fillId="7" borderId="1" xfId="0" applyFont="1" applyFill="1" applyBorder="1" applyAlignment="1">
      <alignment vertical="center"/>
    </xf>
    <xf numFmtId="49" fontId="28" fillId="7" borderId="25" xfId="0" applyNumberFormat="1" applyFont="1" applyFill="1" applyBorder="1" applyAlignment="1">
      <alignment horizontal="center" vertical="center"/>
    </xf>
    <xf numFmtId="0" fontId="28" fillId="7" borderId="26" xfId="0" applyFont="1" applyFill="1" applyBorder="1" applyAlignment="1">
      <alignment horizontal="center" vertical="center"/>
    </xf>
    <xf numFmtId="0" fontId="11" fillId="4" borderId="1" xfId="0" applyFont="1" applyFill="1" applyBorder="1" applyAlignment="1">
      <alignment vertical="center"/>
    </xf>
    <xf numFmtId="0" fontId="7" fillId="4" borderId="25" xfId="0" applyFont="1" applyFill="1" applyBorder="1" applyAlignment="1">
      <alignment horizontal="center" vertical="center"/>
    </xf>
    <xf numFmtId="49" fontId="16" fillId="4" borderId="25" xfId="0" applyNumberFormat="1" applyFont="1" applyFill="1" applyBorder="1" applyAlignment="1">
      <alignment horizontal="center" vertical="center"/>
    </xf>
    <xf numFmtId="0" fontId="16" fillId="4" borderId="26" xfId="0" applyFont="1" applyFill="1" applyBorder="1" applyAlignment="1">
      <alignment horizontal="center" vertical="center"/>
    </xf>
    <xf numFmtId="49" fontId="7" fillId="4" borderId="26"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7" fillId="0" borderId="27" xfId="0" quotePrefix="1" applyFont="1" applyBorder="1" applyAlignment="1">
      <alignment horizontal="center" vertical="center"/>
    </xf>
    <xf numFmtId="0" fontId="13" fillId="4" borderId="1" xfId="0" applyFont="1" applyFill="1" applyBorder="1" applyAlignment="1">
      <alignment vertical="center"/>
    </xf>
    <xf numFmtId="49" fontId="24" fillId="4" borderId="25" xfId="0" applyNumberFormat="1" applyFont="1" applyFill="1" applyBorder="1" applyAlignment="1">
      <alignment horizontal="center" vertical="center"/>
    </xf>
    <xf numFmtId="0" fontId="24" fillId="4" borderId="26" xfId="0" applyFont="1" applyFill="1" applyBorder="1" applyAlignment="1">
      <alignment horizontal="center" vertical="center"/>
    </xf>
    <xf numFmtId="0" fontId="14"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3" fillId="6" borderId="8" xfId="0" applyFont="1" applyFill="1" applyBorder="1" applyAlignment="1">
      <alignment vertical="center"/>
    </xf>
    <xf numFmtId="0" fontId="7" fillId="6" borderId="55" xfId="0" applyFont="1" applyFill="1" applyBorder="1" applyAlignment="1">
      <alignment horizontal="center" vertical="center"/>
    </xf>
    <xf numFmtId="49" fontId="24" fillId="6" borderId="55" xfId="0" applyNumberFormat="1" applyFont="1" applyFill="1" applyBorder="1" applyAlignment="1">
      <alignment horizontal="center" vertical="center"/>
    </xf>
    <xf numFmtId="0" fontId="24" fillId="6" borderId="56" xfId="0" applyFont="1" applyFill="1" applyBorder="1" applyAlignment="1">
      <alignment horizontal="center" vertical="center"/>
    </xf>
    <xf numFmtId="49" fontId="7" fillId="6" borderId="56" xfId="0" applyNumberFormat="1" applyFont="1" applyFill="1" applyBorder="1" applyAlignment="1">
      <alignment horizontal="center" vertical="center"/>
    </xf>
    <xf numFmtId="0" fontId="43" fillId="10" borderId="56" xfId="0" applyFont="1" applyFill="1" applyBorder="1" applyAlignment="1">
      <alignment horizontal="center" vertical="center"/>
    </xf>
    <xf numFmtId="0" fontId="7" fillId="6" borderId="39" xfId="0" applyFont="1" applyFill="1" applyBorder="1" applyAlignment="1">
      <alignment horizontal="center" vertical="center"/>
    </xf>
    <xf numFmtId="0" fontId="4" fillId="0" borderId="0" xfId="0" applyFont="1" applyAlignment="1">
      <alignment horizontal="right" vertical="center"/>
    </xf>
    <xf numFmtId="0" fontId="15" fillId="0" borderId="0" xfId="0" applyFont="1" applyAlignment="1">
      <alignment horizontal="centerContinuous" vertical="center" wrapText="1"/>
    </xf>
    <xf numFmtId="0" fontId="12" fillId="9" borderId="20" xfId="0" applyFont="1" applyFill="1" applyBorder="1" applyAlignment="1">
      <alignment horizontal="centerContinuous" vertical="center" wrapText="1"/>
    </xf>
    <xf numFmtId="0" fontId="12" fillId="9" borderId="21"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12" fillId="9" borderId="22" xfId="0" applyFont="1" applyFill="1" applyBorder="1" applyAlignment="1">
      <alignment horizontal="centerContinuous" vertical="center" wrapText="1"/>
    </xf>
    <xf numFmtId="0" fontId="20" fillId="2" borderId="71" xfId="0" applyFont="1" applyFill="1" applyBorder="1" applyAlignment="1">
      <alignment horizontal="left" vertical="center"/>
    </xf>
    <xf numFmtId="0" fontId="4" fillId="2" borderId="71" xfId="0" applyFont="1" applyFill="1" applyBorder="1" applyAlignment="1">
      <alignment horizontal="centerContinuous" vertical="center"/>
    </xf>
    <xf numFmtId="0" fontId="5" fillId="2" borderId="71" xfId="0" applyFont="1" applyFill="1" applyBorder="1" applyAlignment="1">
      <alignment horizontal="centerContinuous" vertical="center"/>
    </xf>
    <xf numFmtId="0" fontId="39" fillId="2" borderId="72" xfId="1" applyFont="1" applyFill="1" applyBorder="1" applyAlignment="1" applyProtection="1">
      <alignment horizontal="right" vertical="center"/>
    </xf>
    <xf numFmtId="0" fontId="6" fillId="0" borderId="1" xfId="0" applyFont="1" applyBorder="1" applyAlignment="1">
      <alignment horizontal="righ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7" xfId="0" applyFont="1" applyFill="1" applyBorder="1" applyAlignment="1">
      <alignment horizontal="right" vertical="center"/>
    </xf>
    <xf numFmtId="0" fontId="7" fillId="0" borderId="0" xfId="0" applyFont="1" applyAlignment="1">
      <alignment horizontal="left" vertical="center"/>
    </xf>
    <xf numFmtId="0" fontId="8" fillId="2" borderId="11" xfId="0" applyFont="1" applyFill="1" applyBorder="1" applyAlignment="1">
      <alignment horizontal="right" vertical="center"/>
    </xf>
    <xf numFmtId="0" fontId="26" fillId="0" borderId="12" xfId="0" applyFont="1" applyBorder="1" applyAlignment="1">
      <alignment horizontal="center" vertical="center"/>
    </xf>
    <xf numFmtId="0" fontId="10" fillId="4" borderId="70"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2" xfId="0" applyNumberFormat="1" applyFont="1" applyBorder="1" applyAlignment="1">
      <alignment horizontal="center" vertical="center"/>
    </xf>
    <xf numFmtId="0" fontId="10" fillId="4" borderId="65" xfId="0" applyFont="1" applyFill="1" applyBorder="1" applyAlignment="1">
      <alignment horizontal="right" vertical="center"/>
    </xf>
    <xf numFmtId="164" fontId="6" fillId="8" borderId="30"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8" fillId="4" borderId="65" xfId="0" applyFont="1" applyFill="1" applyBorder="1" applyAlignment="1">
      <alignment horizontal="right" vertical="center"/>
    </xf>
    <xf numFmtId="0" fontId="40"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1" fillId="4" borderId="65" xfId="0" applyFont="1" applyFill="1" applyBorder="1" applyAlignment="1">
      <alignment horizontal="right" vertical="center"/>
    </xf>
    <xf numFmtId="0" fontId="14" fillId="2" borderId="13" xfId="0" applyFont="1" applyFill="1" applyBorder="1" applyAlignment="1">
      <alignment horizontal="right" vertical="center"/>
    </xf>
    <xf numFmtId="0" fontId="11" fillId="4" borderId="66" xfId="0" applyFont="1" applyFill="1" applyBorder="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64" fontId="3" fillId="0" borderId="0" xfId="0" applyNumberFormat="1" applyFont="1" applyAlignment="1">
      <alignment horizontal="centerContinuous" vertical="center" shrinkToFit="1"/>
    </xf>
    <xf numFmtId="0" fontId="3" fillId="0" borderId="0" xfId="0" applyFont="1" applyAlignment="1">
      <alignment horizontal="centerContinuous" vertical="center" shrinkToFit="1"/>
    </xf>
    <xf numFmtId="0" fontId="5" fillId="0" borderId="44" xfId="0" applyFont="1" applyBorder="1" applyAlignment="1">
      <alignment horizontal="left" vertical="center"/>
    </xf>
    <xf numFmtId="0" fontId="5" fillId="0" borderId="67" xfId="0" applyFont="1" applyBorder="1" applyAlignment="1">
      <alignment horizontal="center" vertical="center" shrinkToFit="1"/>
    </xf>
    <xf numFmtId="1" fontId="6" fillId="0" borderId="28" xfId="0" applyNumberFormat="1" applyFont="1" applyBorder="1" applyAlignment="1">
      <alignment horizontal="center" vertical="center"/>
    </xf>
    <xf numFmtId="49" fontId="16" fillId="0" borderId="38" xfId="0" applyNumberFormat="1" applyFont="1" applyBorder="1" applyAlignment="1">
      <alignment horizontal="center" shrinkToFit="1"/>
    </xf>
    <xf numFmtId="0" fontId="6" fillId="4" borderId="84" xfId="0" applyFont="1" applyFill="1" applyBorder="1" applyAlignment="1">
      <alignment horizontal="right" vertical="center"/>
    </xf>
    <xf numFmtId="1" fontId="4" fillId="0" borderId="0" xfId="0" applyNumberFormat="1" applyFont="1" applyAlignment="1">
      <alignment horizontal="right" vertical="center"/>
    </xf>
    <xf numFmtId="1" fontId="4" fillId="0" borderId="0" xfId="0" applyNumberFormat="1" applyFont="1" applyAlignment="1">
      <alignment horizontal="center" vertical="center"/>
    </xf>
    <xf numFmtId="1" fontId="5" fillId="0" borderId="0" xfId="0" applyNumberFormat="1" applyFont="1" applyAlignment="1">
      <alignment horizontal="left" vertical="center"/>
    </xf>
    <xf numFmtId="1" fontId="4" fillId="0" borderId="0" xfId="0" applyNumberFormat="1" applyFont="1" applyAlignment="1">
      <alignment horizontal="left"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4" fillId="0" borderId="0" xfId="0" applyNumberFormat="1" applyFont="1" applyAlignment="1">
      <alignment horizontal="right"/>
    </xf>
    <xf numFmtId="1" fontId="5" fillId="0" borderId="0" xfId="0" applyNumberFormat="1" applyFont="1" applyAlignment="1">
      <alignment horizontal="left"/>
    </xf>
    <xf numFmtId="0" fontId="8" fillId="13" borderId="1" xfId="0" applyFont="1" applyFill="1" applyBorder="1" applyAlignment="1">
      <alignment vertical="center"/>
    </xf>
    <xf numFmtId="49" fontId="17" fillId="13" borderId="25" xfId="0" applyNumberFormat="1" applyFont="1" applyFill="1" applyBorder="1" applyAlignment="1">
      <alignment horizontal="center" vertical="center"/>
    </xf>
    <xf numFmtId="0" fontId="17" fillId="13" borderId="26" xfId="0" applyFont="1" applyFill="1" applyBorder="1" applyAlignment="1">
      <alignment horizontal="center" vertical="center"/>
    </xf>
    <xf numFmtId="0" fontId="7" fillId="0" borderId="25" xfId="0" applyFont="1" applyBorder="1" applyAlignment="1">
      <alignment horizontal="center" vertical="center" wrapText="1"/>
    </xf>
    <xf numFmtId="9" fontId="7" fillId="0" borderId="25" xfId="2" applyFont="1" applyFill="1" applyBorder="1" applyAlignment="1">
      <alignment horizontal="center" vertical="center" shrinkToFit="1"/>
    </xf>
    <xf numFmtId="9" fontId="7" fillId="0" borderId="26" xfId="2" applyFont="1" applyFill="1" applyBorder="1" applyAlignment="1">
      <alignment horizontal="center" vertical="center" shrinkToFit="1"/>
    </xf>
    <xf numFmtId="0" fontId="7" fillId="0" borderId="26" xfId="2" applyNumberFormat="1" applyFont="1" applyFill="1" applyBorder="1" applyAlignment="1">
      <alignment horizontal="center" vertical="center" shrinkToFit="1"/>
    </xf>
    <xf numFmtId="0" fontId="7" fillId="0" borderId="27" xfId="0" quotePrefix="1" applyFont="1" applyBorder="1" applyAlignment="1">
      <alignment horizontal="center" vertical="center" wrapText="1"/>
    </xf>
    <xf numFmtId="0" fontId="7" fillId="0" borderId="54" xfId="0" applyFont="1" applyBorder="1" applyAlignment="1">
      <alignment horizontal="center" vertical="center" wrapText="1"/>
    </xf>
    <xf numFmtId="9" fontId="7" fillId="0" borderId="54" xfId="2" applyFont="1" applyFill="1" applyBorder="1" applyAlignment="1">
      <alignment horizontal="center" vertical="center" shrinkToFit="1"/>
    </xf>
    <xf numFmtId="9" fontId="7" fillId="0" borderId="12" xfId="2" applyFont="1" applyFill="1" applyBorder="1" applyAlignment="1">
      <alignment horizontal="center" vertical="center" shrinkToFit="1"/>
    </xf>
    <xf numFmtId="0" fontId="7" fillId="0" borderId="12" xfId="2" applyNumberFormat="1" applyFont="1" applyFill="1" applyBorder="1" applyAlignment="1">
      <alignment horizontal="center" vertical="center" shrinkToFit="1"/>
    </xf>
    <xf numFmtId="49" fontId="7" fillId="0" borderId="38" xfId="0" applyNumberFormat="1" applyFont="1" applyBorder="1" applyAlignment="1">
      <alignment horizontal="center" vertical="center" wrapText="1"/>
    </xf>
    <xf numFmtId="0" fontId="7" fillId="0" borderId="35" xfId="0" applyFont="1" applyBorder="1" applyAlignment="1">
      <alignment horizontal="center" vertical="center" shrinkToFit="1"/>
    </xf>
    <xf numFmtId="0" fontId="36" fillId="0" borderId="40" xfId="0" applyFont="1" applyBorder="1" applyAlignment="1">
      <alignment horizontal="centerContinuous" vertical="center"/>
    </xf>
    <xf numFmtId="0" fontId="34" fillId="0" borderId="23" xfId="0" applyFont="1" applyBorder="1" applyAlignment="1">
      <alignment horizontal="centerContinuous" vertical="center" wrapText="1"/>
    </xf>
    <xf numFmtId="0" fontId="2" fillId="0" borderId="13" xfId="0" applyFont="1" applyBorder="1" applyAlignment="1">
      <alignment horizontal="center" vertical="center"/>
    </xf>
    <xf numFmtId="0" fontId="2" fillId="0" borderId="69" xfId="0" applyFont="1" applyBorder="1" applyAlignment="1">
      <alignment horizontal="center" vertical="center"/>
    </xf>
    <xf numFmtId="164" fontId="5" fillId="0" borderId="83" xfId="0" applyNumberFormat="1" applyFont="1" applyBorder="1" applyAlignment="1">
      <alignment horizontal="center" vertical="center" shrinkToFit="1"/>
    </xf>
    <xf numFmtId="0" fontId="21" fillId="12" borderId="85" xfId="0" applyFont="1" applyFill="1" applyBorder="1" applyAlignment="1">
      <alignment horizontal="center" vertical="center"/>
    </xf>
    <xf numFmtId="0" fontId="2" fillId="0" borderId="0" xfId="0" applyFont="1" applyAlignment="1">
      <alignment vertical="center"/>
    </xf>
    <xf numFmtId="1" fontId="21" fillId="12" borderId="34" xfId="0" applyNumberFormat="1" applyFont="1" applyFill="1" applyBorder="1" applyAlignment="1">
      <alignment horizontal="center" vertical="center"/>
    </xf>
    <xf numFmtId="0" fontId="2" fillId="0" borderId="62" xfId="0" applyFont="1" applyBorder="1" applyAlignment="1">
      <alignment horizontal="centerContinuous" vertical="center" shrinkToFit="1"/>
    </xf>
    <xf numFmtId="0" fontId="21" fillId="0" borderId="63" xfId="0" applyFont="1" applyBorder="1" applyAlignment="1">
      <alignment horizontal="centerContinuous" vertical="center"/>
    </xf>
    <xf numFmtId="0" fontId="21" fillId="0" borderId="86" xfId="0" applyFont="1" applyBorder="1" applyAlignment="1">
      <alignment horizontal="centerContinuous" vertical="center"/>
    </xf>
    <xf numFmtId="0" fontId="2" fillId="0" borderId="87" xfId="0" applyFont="1" applyBorder="1" applyAlignment="1">
      <alignment horizontal="center" vertical="center"/>
    </xf>
    <xf numFmtId="0" fontId="2" fillId="0" borderId="53" xfId="0" applyFont="1" applyBorder="1" applyAlignment="1">
      <alignment horizontal="center" vertical="center"/>
    </xf>
    <xf numFmtId="0" fontId="2" fillId="0" borderId="64" xfId="0" applyFont="1" applyBorder="1" applyAlignment="1">
      <alignment horizontal="centerContinuous" vertical="center"/>
    </xf>
    <xf numFmtId="1" fontId="2" fillId="0" borderId="88" xfId="0" applyNumberFormat="1" applyFont="1" applyBorder="1" applyAlignment="1">
      <alignment horizontal="center" vertical="center"/>
    </xf>
    <xf numFmtId="0" fontId="2" fillId="0" borderId="89" xfId="0" applyFont="1" applyBorder="1" applyAlignment="1">
      <alignment horizontal="centerContinuous" vertical="center" shrinkToFit="1"/>
    </xf>
    <xf numFmtId="0" fontId="21" fillId="0" borderId="90" xfId="0" applyFont="1" applyBorder="1" applyAlignment="1">
      <alignment horizontal="centerContinuous" vertical="center"/>
    </xf>
    <xf numFmtId="0" fontId="21" fillId="0" borderId="91" xfId="0" applyFont="1" applyBorder="1" applyAlignment="1">
      <alignment horizontal="centerContinuous" vertical="center"/>
    </xf>
    <xf numFmtId="0" fontId="2" fillId="0" borderId="45" xfId="0" applyFont="1" applyBorder="1" applyAlignment="1">
      <alignment horizontal="center" vertical="center"/>
    </xf>
    <xf numFmtId="0" fontId="2" fillId="0" borderId="92" xfId="0" applyFont="1" applyBorder="1" applyAlignment="1">
      <alignment horizontal="centerContinuous" vertical="center"/>
    </xf>
    <xf numFmtId="1" fontId="2" fillId="0" borderId="93" xfId="0" applyNumberFormat="1" applyFont="1" applyBorder="1" applyAlignment="1">
      <alignment horizontal="center" vertical="center"/>
    </xf>
    <xf numFmtId="0" fontId="2" fillId="0" borderId="49" xfId="0" applyFont="1" applyBorder="1" applyAlignment="1">
      <alignment horizontal="centerContinuous" vertical="center" shrinkToFit="1"/>
    </xf>
    <xf numFmtId="0" fontId="2" fillId="0" borderId="81" xfId="0" applyFont="1" applyBorder="1" applyAlignment="1">
      <alignment horizontal="centerContinuous" vertical="center"/>
    </xf>
    <xf numFmtId="0" fontId="2" fillId="0" borderId="94" xfId="0" applyFont="1" applyBorder="1" applyAlignment="1">
      <alignment horizontal="centerContinuous" vertical="center"/>
    </xf>
    <xf numFmtId="49" fontId="2" fillId="0" borderId="51"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2" fillId="0" borderId="82" xfId="0" applyFont="1" applyBorder="1" applyAlignment="1">
      <alignment horizontal="centerContinuous" vertical="center"/>
    </xf>
    <xf numFmtId="1" fontId="2" fillId="0" borderId="59" xfId="0" applyNumberFormat="1" applyFont="1" applyBorder="1" applyAlignment="1">
      <alignment horizontal="center" vertical="center"/>
    </xf>
    <xf numFmtId="164" fontId="21" fillId="3" borderId="34" xfId="0" applyNumberFormat="1" applyFont="1" applyFill="1" applyBorder="1" applyAlignment="1">
      <alignment horizontal="center" vertical="center"/>
    </xf>
    <xf numFmtId="1" fontId="2" fillId="0" borderId="40" xfId="0" applyNumberFormat="1" applyFont="1" applyBorder="1" applyAlignment="1">
      <alignment horizontal="center" vertical="center" shrinkToFit="1"/>
    </xf>
    <xf numFmtId="1" fontId="2" fillId="0" borderId="59" xfId="0" applyNumberFormat="1" applyFont="1" applyBorder="1" applyAlignment="1">
      <alignment horizontal="center" vertical="center" shrinkToFit="1"/>
    </xf>
    <xf numFmtId="0" fontId="7" fillId="0" borderId="2" xfId="0" applyFont="1" applyBorder="1" applyAlignment="1">
      <alignment horizontal="center" vertical="center"/>
    </xf>
    <xf numFmtId="0" fontId="2" fillId="0" borderId="69" xfId="0" applyFont="1" applyBorder="1" applyAlignment="1">
      <alignment horizontal="center" vertical="center" shrinkToFit="1"/>
    </xf>
    <xf numFmtId="1" fontId="2" fillId="11" borderId="40" xfId="0" applyNumberFormat="1" applyFont="1" applyFill="1" applyBorder="1" applyAlignment="1">
      <alignment horizontal="center" vertical="center" shrinkToFit="1"/>
    </xf>
    <xf numFmtId="165" fontId="5" fillId="0" borderId="0" xfId="0" applyNumberFormat="1" applyFont="1" applyAlignment="1">
      <alignment vertical="center"/>
    </xf>
    <xf numFmtId="164" fontId="2" fillId="0" borderId="40" xfId="0" applyNumberFormat="1" applyFont="1" applyBorder="1" applyAlignment="1">
      <alignment horizontal="center" vertical="center" shrinkToFit="1"/>
    </xf>
    <xf numFmtId="0" fontId="2" fillId="0" borderId="55" xfId="0" applyFont="1" applyBorder="1" applyAlignment="1">
      <alignment horizontal="center" vertical="center"/>
    </xf>
    <xf numFmtId="0" fontId="4" fillId="0" borderId="97" xfId="0" applyFont="1" applyBorder="1" applyAlignment="1">
      <alignment horizontal="right" vertical="center"/>
    </xf>
    <xf numFmtId="0" fontId="2" fillId="0" borderId="98" xfId="0" applyFont="1" applyBorder="1" applyAlignment="1">
      <alignment horizontal="center" vertical="center" wrapText="1"/>
    </xf>
    <xf numFmtId="0" fontId="4" fillId="0" borderId="40" xfId="0" applyFont="1" applyBorder="1" applyAlignment="1">
      <alignment horizontal="right" vertical="center"/>
    </xf>
    <xf numFmtId="0" fontId="2" fillId="0" borderId="91" xfId="0" applyFont="1" applyBorder="1" applyAlignment="1">
      <alignment horizontal="center" vertical="center" wrapText="1"/>
    </xf>
    <xf numFmtId="0" fontId="4" fillId="0" borderId="59" xfId="0" applyFont="1" applyBorder="1" applyAlignment="1">
      <alignment horizontal="right" vertical="center"/>
    </xf>
    <xf numFmtId="0" fontId="55" fillId="0" borderId="5" xfId="0" applyFont="1" applyBorder="1" applyAlignment="1">
      <alignment horizontal="centerContinuous" vertical="center"/>
    </xf>
    <xf numFmtId="0" fontId="56" fillId="0" borderId="6" xfId="0" applyFont="1" applyBorder="1" applyAlignment="1">
      <alignment horizontal="centerContinuous" vertical="center" wrapText="1"/>
    </xf>
    <xf numFmtId="0" fontId="56" fillId="0" borderId="7" xfId="0" applyFont="1" applyBorder="1" applyAlignment="1">
      <alignment horizontal="centerContinuous" vertical="center" wrapText="1"/>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54" fillId="15" borderId="94" xfId="0" applyFont="1" applyFill="1" applyBorder="1" applyAlignment="1">
      <alignment horizontal="center" vertical="center" wrapText="1"/>
    </xf>
    <xf numFmtId="0" fontId="7" fillId="0" borderId="101" xfId="0" applyFont="1" applyBorder="1" applyAlignment="1">
      <alignment horizontal="center" vertical="center" shrinkToFit="1"/>
    </xf>
    <xf numFmtId="0" fontId="7" fillId="0" borderId="102" xfId="0" applyFont="1" applyBorder="1" applyAlignment="1">
      <alignment horizontal="center" vertical="center"/>
    </xf>
    <xf numFmtId="0" fontId="35" fillId="8" borderId="103" xfId="2" applyNumberFormat="1" applyFont="1" applyFill="1" applyBorder="1" applyAlignment="1">
      <alignment horizontal="center" vertical="center" shrinkToFit="1"/>
    </xf>
    <xf numFmtId="0" fontId="7" fillId="0" borderId="37" xfId="0" applyFont="1" applyBorder="1" applyAlignment="1">
      <alignment horizontal="center" vertical="center"/>
    </xf>
    <xf numFmtId="0" fontId="54" fillId="15" borderId="50" xfId="0" applyFont="1" applyFill="1" applyBorder="1" applyAlignment="1">
      <alignment horizontal="center" vertical="center" wrapText="1"/>
    </xf>
    <xf numFmtId="0" fontId="2" fillId="16" borderId="99" xfId="0"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6" borderId="100" xfId="0" applyFont="1" applyFill="1" applyBorder="1" applyAlignment="1">
      <alignment horizontal="center" vertical="center" wrapText="1"/>
    </xf>
    <xf numFmtId="0" fontId="2" fillId="16" borderId="46" xfId="0" applyFont="1" applyFill="1" applyBorder="1" applyAlignment="1">
      <alignment horizontal="center" vertical="center" wrapText="1"/>
    </xf>
    <xf numFmtId="0" fontId="4" fillId="16" borderId="52" xfId="0" applyFont="1" applyFill="1" applyBorder="1" applyAlignment="1">
      <alignment horizontal="center" vertical="center" wrapText="1"/>
    </xf>
    <xf numFmtId="0" fontId="7" fillId="0" borderId="89" xfId="0" applyFont="1" applyBorder="1" applyAlignment="1">
      <alignment horizontal="center" vertical="center" shrinkToFit="1"/>
    </xf>
    <xf numFmtId="0" fontId="7" fillId="0" borderId="95" xfId="0" applyFont="1" applyBorder="1" applyAlignment="1">
      <alignment horizontal="center" vertical="center"/>
    </xf>
    <xf numFmtId="0" fontId="35" fillId="8" borderId="96" xfId="2" applyNumberFormat="1" applyFont="1" applyFill="1" applyBorder="1" applyAlignment="1">
      <alignment horizontal="center" vertical="center" shrinkToFit="1"/>
    </xf>
    <xf numFmtId="0" fontId="46" fillId="0" borderId="40" xfId="0" applyFont="1" applyBorder="1" applyAlignment="1">
      <alignment horizontal="centerContinuous" vertical="center"/>
    </xf>
    <xf numFmtId="1" fontId="7" fillId="0" borderId="102" xfId="0" applyNumberFormat="1" applyFont="1" applyBorder="1" applyAlignment="1">
      <alignment horizontal="center" vertical="center"/>
    </xf>
    <xf numFmtId="1" fontId="7" fillId="0" borderId="95" xfId="0" applyNumberFormat="1" applyFont="1" applyBorder="1" applyAlignment="1">
      <alignment horizontal="center" vertical="center"/>
    </xf>
    <xf numFmtId="1" fontId="7" fillId="0" borderId="54" xfId="0" applyNumberFormat="1" applyFont="1" applyBorder="1" applyAlignment="1">
      <alignment horizontal="center" vertical="center"/>
    </xf>
    <xf numFmtId="1" fontId="49" fillId="10" borderId="50" xfId="0" applyNumberFormat="1" applyFont="1" applyFill="1" applyBorder="1" applyAlignment="1">
      <alignment horizontal="center" vertical="center"/>
    </xf>
    <xf numFmtId="1" fontId="2" fillId="0" borderId="50" xfId="0" applyNumberFormat="1" applyFont="1" applyBorder="1" applyAlignment="1">
      <alignment horizontal="center" vertical="center"/>
    </xf>
    <xf numFmtId="0" fontId="47" fillId="0" borderId="59" xfId="0" applyFont="1" applyBorder="1" applyAlignment="1">
      <alignment horizontal="centerContinuous" vertical="center"/>
    </xf>
    <xf numFmtId="0" fontId="7" fillId="0" borderId="26" xfId="0" applyFont="1" applyBorder="1" applyAlignment="1">
      <alignment horizontal="center" vertical="center" shrinkToFit="1"/>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6" xfId="0" applyFont="1" applyBorder="1" applyAlignment="1">
      <alignment horizontal="center" vertical="center" shrinkToFit="1"/>
    </xf>
    <xf numFmtId="1" fontId="49" fillId="10" borderId="106" xfId="0" applyNumberFormat="1" applyFont="1" applyFill="1" applyBorder="1" applyAlignment="1">
      <alignment horizontal="center" vertical="center"/>
    </xf>
    <xf numFmtId="1" fontId="2" fillId="0" borderId="106" xfId="0" applyNumberFormat="1" applyFont="1" applyBorder="1" applyAlignment="1">
      <alignment horizontal="center" vertical="center"/>
    </xf>
    <xf numFmtId="0" fontId="2" fillId="0" borderId="107" xfId="0" applyFont="1" applyBorder="1" applyAlignment="1">
      <alignment horizontal="center" vertical="center"/>
    </xf>
    <xf numFmtId="164" fontId="5" fillId="0" borderId="83" xfId="0" applyNumberFormat="1" applyFont="1" applyBorder="1" applyAlignment="1">
      <alignment horizontal="center" vertical="center"/>
    </xf>
    <xf numFmtId="1" fontId="49" fillId="10" borderId="83" xfId="0" applyNumberFormat="1" applyFont="1" applyFill="1" applyBorder="1" applyAlignment="1">
      <alignment horizontal="center" vertical="center"/>
    </xf>
    <xf numFmtId="1" fontId="2" fillId="0" borderId="83" xfId="0" applyNumberFormat="1"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0" xfId="0" applyFont="1" applyBorder="1" applyAlignment="1">
      <alignment horizontal="center" vertical="center" shrinkToFit="1"/>
    </xf>
    <xf numFmtId="1" fontId="49" fillId="10" borderId="110" xfId="0" applyNumberFormat="1" applyFont="1" applyFill="1" applyBorder="1" applyAlignment="1">
      <alignment horizontal="center" vertical="center"/>
    </xf>
    <xf numFmtId="1" fontId="2" fillId="0" borderId="110" xfId="0" applyNumberFormat="1" applyFont="1" applyBorder="1" applyAlignment="1">
      <alignment horizontal="center" vertical="center"/>
    </xf>
    <xf numFmtId="1" fontId="2" fillId="0" borderId="112" xfId="0" applyNumberFormat="1" applyFont="1" applyBorder="1" applyAlignment="1">
      <alignment horizontal="center" vertical="center"/>
    </xf>
    <xf numFmtId="1" fontId="2" fillId="11" borderId="113" xfId="0" applyNumberFormat="1" applyFont="1" applyFill="1" applyBorder="1" applyAlignment="1">
      <alignment horizontal="center" vertical="center"/>
    </xf>
    <xf numFmtId="1" fontId="2" fillId="11" borderId="59" xfId="0" applyNumberFormat="1" applyFont="1" applyFill="1" applyBorder="1" applyAlignment="1">
      <alignment horizontal="center" vertical="center"/>
    </xf>
    <xf numFmtId="164" fontId="5" fillId="11" borderId="106" xfId="0" applyNumberFormat="1" applyFont="1" applyFill="1" applyBorder="1" applyAlignment="1">
      <alignment horizontal="center" vertical="center"/>
    </xf>
    <xf numFmtId="164" fontId="2" fillId="0" borderId="106" xfId="0" applyNumberFormat="1" applyFont="1" applyBorder="1" applyAlignment="1">
      <alignment horizontal="center" vertical="center"/>
    </xf>
    <xf numFmtId="164" fontId="2" fillId="11" borderId="106" xfId="0" applyNumberFormat="1"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5" xfId="0" applyFont="1" applyBorder="1" applyAlignment="1">
      <alignment horizontal="center" vertical="center" shrinkToFit="1"/>
    </xf>
    <xf numFmtId="164" fontId="5" fillId="0" borderId="115" xfId="0" applyNumberFormat="1" applyFont="1" applyBorder="1" applyAlignment="1">
      <alignment horizontal="center" vertical="center"/>
    </xf>
    <xf numFmtId="1" fontId="49" fillId="10" borderId="115" xfId="0" applyNumberFormat="1" applyFont="1" applyFill="1" applyBorder="1" applyAlignment="1">
      <alignment horizontal="center" vertical="center"/>
    </xf>
    <xf numFmtId="1" fontId="2" fillId="0" borderId="115" xfId="0" applyNumberFormat="1" applyFont="1" applyBorder="1" applyAlignment="1">
      <alignment horizontal="center" vertical="center"/>
    </xf>
    <xf numFmtId="0" fontId="2" fillId="0" borderId="116" xfId="0" applyFont="1" applyBorder="1" applyAlignment="1">
      <alignment horizontal="center" vertical="center"/>
    </xf>
    <xf numFmtId="164" fontId="2" fillId="0" borderId="110" xfId="0" applyNumberFormat="1" applyFont="1" applyBorder="1" applyAlignment="1">
      <alignment horizontal="center" vertical="center"/>
    </xf>
    <xf numFmtId="1" fontId="2" fillId="0" borderId="117" xfId="0" applyNumberFormat="1" applyFont="1" applyBorder="1" applyAlignment="1">
      <alignment horizontal="center" vertical="center"/>
    </xf>
    <xf numFmtId="49" fontId="2" fillId="14" borderId="110" xfId="2" applyNumberFormat="1" applyFont="1" applyFill="1" applyBorder="1" applyAlignment="1">
      <alignment horizontal="center" vertical="center"/>
    </xf>
    <xf numFmtId="49" fontId="2" fillId="14" borderId="106" xfId="2" applyNumberFormat="1" applyFont="1" applyFill="1" applyBorder="1" applyAlignment="1">
      <alignment horizontal="center" vertical="center"/>
    </xf>
    <xf numFmtId="0" fontId="57" fillId="0" borderId="118" xfId="0" applyFont="1" applyBorder="1" applyAlignment="1">
      <alignment horizontal="centerContinuous" vertical="center"/>
    </xf>
    <xf numFmtId="0" fontId="56" fillId="0" borderId="119" xfId="0" applyFont="1" applyBorder="1" applyAlignment="1">
      <alignment horizontal="centerContinuous" vertical="center"/>
    </xf>
    <xf numFmtId="1" fontId="2" fillId="0" borderId="96" xfId="0" applyNumberFormat="1" applyFont="1" applyBorder="1" applyAlignment="1">
      <alignment horizontal="centerContinuous" vertical="center"/>
    </xf>
    <xf numFmtId="1" fontId="2" fillId="0" borderId="103" xfId="0" applyNumberFormat="1" applyFont="1" applyBorder="1" applyAlignment="1">
      <alignment horizontal="centerContinuous" vertical="center"/>
    </xf>
    <xf numFmtId="1" fontId="49" fillId="15" borderId="122" xfId="0" applyNumberFormat="1" applyFont="1" applyFill="1" applyBorder="1" applyAlignment="1">
      <alignment horizontal="centerContinuous" vertical="center"/>
    </xf>
    <xf numFmtId="1" fontId="49" fillId="15" borderId="96" xfId="0" applyNumberFormat="1" applyFont="1" applyFill="1" applyBorder="1" applyAlignment="1">
      <alignment horizontal="centerContinuous" vertical="center"/>
    </xf>
    <xf numFmtId="1" fontId="2" fillId="18" borderId="123" xfId="0" applyNumberFormat="1" applyFont="1" applyFill="1" applyBorder="1" applyAlignment="1">
      <alignment horizontal="centerContinuous" vertical="center"/>
    </xf>
    <xf numFmtId="0" fontId="7" fillId="5" borderId="27" xfId="0" quotePrefix="1" applyFont="1" applyFill="1" applyBorder="1" applyAlignment="1">
      <alignment horizontal="center" vertical="center"/>
    </xf>
    <xf numFmtId="0" fontId="7" fillId="13" borderId="27" xfId="0" quotePrefix="1" applyFont="1" applyFill="1" applyBorder="1" applyAlignment="1">
      <alignment horizontal="center" vertical="center"/>
    </xf>
    <xf numFmtId="0" fontId="7" fillId="6" borderId="27" xfId="0" quotePrefix="1" applyFont="1" applyFill="1" applyBorder="1" applyAlignment="1">
      <alignment horizontal="center" vertical="center"/>
    </xf>
    <xf numFmtId="0" fontId="21" fillId="12" borderId="124" xfId="0" applyFont="1" applyFill="1" applyBorder="1" applyAlignment="1">
      <alignment horizontal="center" vertical="center"/>
    </xf>
    <xf numFmtId="0" fontId="21" fillId="12" borderId="125" xfId="0" applyFont="1" applyFill="1" applyBorder="1" applyAlignment="1">
      <alignment horizontal="center" vertical="center"/>
    </xf>
    <xf numFmtId="49" fontId="21" fillId="12" borderId="125" xfId="0" applyNumberFormat="1" applyFont="1" applyFill="1" applyBorder="1" applyAlignment="1">
      <alignment horizontal="center" vertical="center"/>
    </xf>
    <xf numFmtId="0" fontId="21" fillId="12" borderId="126" xfId="0" applyFont="1" applyFill="1" applyBorder="1" applyAlignment="1">
      <alignment horizontal="center" vertical="center"/>
    </xf>
    <xf numFmtId="0" fontId="48" fillId="10" borderId="126" xfId="0" applyFont="1" applyFill="1" applyBorder="1" applyAlignment="1">
      <alignment horizontal="center" vertical="center"/>
    </xf>
    <xf numFmtId="0" fontId="21" fillId="12" borderId="127" xfId="0" applyFont="1" applyFill="1" applyBorder="1" applyAlignment="1">
      <alignment horizontal="center" vertical="center"/>
    </xf>
    <xf numFmtId="49" fontId="58" fillId="0" borderId="50" xfId="0" applyNumberFormat="1" applyFont="1" applyBorder="1" applyAlignment="1">
      <alignment horizontal="center" vertical="center"/>
    </xf>
    <xf numFmtId="0" fontId="5" fillId="0" borderId="50" xfId="0" applyFont="1" applyBorder="1" applyAlignment="1">
      <alignment horizontal="center" vertical="center"/>
    </xf>
    <xf numFmtId="49" fontId="5" fillId="0" borderId="50" xfId="0" applyNumberFormat="1" applyFont="1" applyBorder="1" applyAlignment="1">
      <alignment horizontal="center" vertical="center"/>
    </xf>
    <xf numFmtId="0" fontId="2" fillId="0" borderId="91" xfId="0" applyFont="1" applyBorder="1" applyAlignment="1">
      <alignment horizontal="center" vertical="center" shrinkToFit="1"/>
    </xf>
    <xf numFmtId="0" fontId="5" fillId="0" borderId="91" xfId="0" applyFont="1" applyBorder="1" applyAlignment="1">
      <alignment horizontal="center" vertical="center" shrinkToFit="1"/>
    </xf>
    <xf numFmtId="0" fontId="2" fillId="0" borderId="94" xfId="0" applyFont="1" applyBorder="1" applyAlignment="1">
      <alignment horizontal="center" vertical="center" shrinkToFit="1"/>
    </xf>
    <xf numFmtId="0" fontId="5" fillId="0" borderId="86" xfId="0" applyFont="1" applyBorder="1" applyAlignment="1">
      <alignment horizontal="center" vertical="center" shrinkToFit="1"/>
    </xf>
    <xf numFmtId="1" fontId="7" fillId="0" borderId="26" xfId="0" applyNumberFormat="1" applyFont="1" applyBorder="1" applyAlignment="1">
      <alignment horizontal="center" vertical="center"/>
    </xf>
    <xf numFmtId="0" fontId="2" fillId="0" borderId="111" xfId="0" quotePrefix="1" applyFont="1" applyBorder="1" applyAlignment="1">
      <alignment horizontal="center" vertical="center"/>
    </xf>
    <xf numFmtId="49" fontId="2" fillId="0" borderId="115" xfId="0" applyNumberFormat="1" applyFont="1" applyBorder="1" applyAlignment="1">
      <alignment horizontal="center" vertical="center"/>
    </xf>
    <xf numFmtId="164" fontId="2" fillId="0" borderId="115" xfId="0" applyNumberFormat="1" applyFont="1" applyBorder="1" applyAlignment="1">
      <alignment horizontal="center" vertical="center"/>
    </xf>
    <xf numFmtId="0" fontId="5" fillId="0" borderId="116" xfId="0" applyFont="1" applyBorder="1" applyAlignment="1">
      <alignment horizontal="center" vertical="center"/>
    </xf>
    <xf numFmtId="0" fontId="2" fillId="0" borderId="62" xfId="0" applyFont="1" applyBorder="1" applyAlignment="1">
      <alignment horizontal="centerContinuous" vertical="center"/>
    </xf>
    <xf numFmtId="0" fontId="6" fillId="4" borderId="128" xfId="0" applyFont="1" applyFill="1" applyBorder="1" applyAlignment="1">
      <alignment horizontal="right" vertical="center"/>
    </xf>
    <xf numFmtId="1" fontId="7" fillId="0" borderId="24" xfId="0" applyNumberFormat="1" applyFont="1" applyBorder="1" applyAlignment="1">
      <alignment horizontal="centerContinuous" vertical="center"/>
    </xf>
    <xf numFmtId="1" fontId="2" fillId="0" borderId="129" xfId="0" applyNumberFormat="1" applyFont="1" applyBorder="1" applyAlignment="1">
      <alignment horizontal="centerContinuous" vertical="center"/>
    </xf>
    <xf numFmtId="0" fontId="22" fillId="13" borderId="1" xfId="0" applyFont="1" applyFill="1" applyBorder="1" applyAlignment="1">
      <alignment vertical="center"/>
    </xf>
    <xf numFmtId="49" fontId="28" fillId="13" borderId="25" xfId="0" applyNumberFormat="1" applyFont="1" applyFill="1" applyBorder="1" applyAlignment="1">
      <alignment horizontal="center" vertical="center"/>
    </xf>
    <xf numFmtId="0" fontId="28" fillId="13" borderId="26" xfId="0" applyFont="1" applyFill="1" applyBorder="1" applyAlignment="1">
      <alignment horizontal="center" vertical="center"/>
    </xf>
    <xf numFmtId="0" fontId="7" fillId="0" borderId="88" xfId="0" applyFont="1" applyBorder="1" applyAlignment="1">
      <alignment horizontal="centerContinuous" vertical="center"/>
    </xf>
    <xf numFmtId="0" fontId="7" fillId="0" borderId="131" xfId="0" applyFont="1" applyBorder="1" applyAlignment="1">
      <alignment horizontal="centerContinuous" vertical="center"/>
    </xf>
    <xf numFmtId="0" fontId="7" fillId="0" borderId="55" xfId="0" applyFont="1" applyBorder="1" applyAlignment="1">
      <alignment horizontal="center" vertical="center" wrapText="1"/>
    </xf>
    <xf numFmtId="9" fontId="7" fillId="0" borderId="55" xfId="2" applyFont="1" applyFill="1" applyBorder="1" applyAlignment="1">
      <alignment horizontal="center" vertical="center" shrinkToFit="1"/>
    </xf>
    <xf numFmtId="9" fontId="7" fillId="0" borderId="56" xfId="2" applyFont="1" applyFill="1" applyBorder="1" applyAlignment="1">
      <alignment horizontal="center" vertical="center" shrinkToFit="1"/>
    </xf>
    <xf numFmtId="0" fontId="7" fillId="0" borderId="56" xfId="2" applyNumberFormat="1" applyFont="1" applyFill="1" applyBorder="1" applyAlignment="1">
      <alignment horizontal="center" vertical="center" shrinkToFit="1"/>
    </xf>
    <xf numFmtId="0" fontId="7" fillId="0" borderId="39"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6"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56" xfId="0" applyFont="1" applyBorder="1" applyAlignment="1">
      <alignment horizontal="center" vertical="center" wrapText="1"/>
    </xf>
    <xf numFmtId="0" fontId="5" fillId="0" borderId="132" xfId="0" applyFont="1" applyBorder="1" applyAlignment="1">
      <alignment horizontal="center" vertical="center" shrinkToFit="1"/>
    </xf>
    <xf numFmtId="0" fontId="5" fillId="0" borderId="83" xfId="0" applyFont="1" applyBorder="1" applyAlignment="1">
      <alignment horizontal="left" vertical="center"/>
    </xf>
    <xf numFmtId="1" fontId="2" fillId="0" borderId="93" xfId="0" applyNumberFormat="1" applyFont="1" applyBorder="1" applyAlignment="1">
      <alignment horizontal="center" vertical="center" shrinkToFit="1"/>
    </xf>
    <xf numFmtId="0" fontId="2" fillId="0" borderId="108" xfId="0" applyFont="1" applyBorder="1" applyAlignment="1">
      <alignment horizontal="center" vertical="center" shrinkToFit="1"/>
    </xf>
    <xf numFmtId="49" fontId="2" fillId="14" borderId="115" xfId="2" applyNumberFormat="1" applyFont="1" applyFill="1" applyBorder="1" applyAlignment="1">
      <alignment horizontal="center" vertical="center"/>
    </xf>
    <xf numFmtId="0" fontId="2" fillId="0" borderId="116" xfId="0" quotePrefix="1" applyFont="1" applyBorder="1" applyAlignment="1">
      <alignment horizontal="center" vertical="center"/>
    </xf>
    <xf numFmtId="164" fontId="2" fillId="11" borderId="115" xfId="0" applyNumberFormat="1" applyFont="1" applyFill="1" applyBorder="1" applyAlignment="1">
      <alignment horizontal="center" vertical="center"/>
    </xf>
    <xf numFmtId="164" fontId="5" fillId="11" borderId="115" xfId="0" applyNumberFormat="1" applyFont="1" applyFill="1" applyBorder="1" applyAlignment="1">
      <alignment horizontal="center" vertical="center"/>
    </xf>
    <xf numFmtId="1" fontId="2" fillId="11" borderId="117" xfId="0" applyNumberFormat="1" applyFont="1" applyFill="1" applyBorder="1" applyAlignment="1">
      <alignment horizontal="center" vertical="center"/>
    </xf>
    <xf numFmtId="0" fontId="2" fillId="0" borderId="110" xfId="0" quotePrefix="1" applyFont="1" applyBorder="1" applyAlignment="1">
      <alignment horizontal="center" vertical="center" wrapText="1"/>
    </xf>
    <xf numFmtId="0" fontId="2" fillId="0" borderId="115" xfId="0" quotePrefix="1" applyFont="1" applyBorder="1" applyAlignment="1">
      <alignment horizontal="center" vertical="center" wrapText="1"/>
    </xf>
    <xf numFmtId="0" fontId="2" fillId="0" borderId="106" xfId="0" quotePrefix="1" applyFont="1" applyBorder="1" applyAlignment="1">
      <alignment horizontal="center" vertical="center" wrapText="1"/>
    </xf>
    <xf numFmtId="1" fontId="2" fillId="0" borderId="40" xfId="0" applyNumberFormat="1" applyFont="1" applyBorder="1" applyAlignment="1">
      <alignment horizontal="center" vertical="center"/>
    </xf>
    <xf numFmtId="0" fontId="7" fillId="0" borderId="49" xfId="0" applyFont="1" applyBorder="1" applyAlignment="1">
      <alignment horizontal="center" vertical="center" shrinkToFit="1"/>
    </xf>
    <xf numFmtId="0" fontId="7" fillId="0" borderId="79" xfId="0" applyFont="1" applyBorder="1" applyAlignment="1">
      <alignment horizontal="center" vertical="center"/>
    </xf>
    <xf numFmtId="1" fontId="7" fillId="0" borderId="79" xfId="0" applyNumberFormat="1" applyFont="1" applyBorder="1" applyAlignment="1">
      <alignment horizontal="center" vertical="center"/>
    </xf>
    <xf numFmtId="0" fontId="35" fillId="8" borderId="123" xfId="2" applyNumberFormat="1" applyFont="1" applyFill="1" applyBorder="1" applyAlignment="1">
      <alignment horizontal="center" vertical="center" shrinkToFit="1"/>
    </xf>
    <xf numFmtId="0" fontId="59" fillId="0" borderId="34" xfId="0" applyFont="1" applyBorder="1" applyAlignment="1">
      <alignment horizontal="centerContinuous" vertical="center"/>
    </xf>
    <xf numFmtId="0" fontId="60" fillId="0" borderId="34" xfId="0" applyFont="1" applyBorder="1" applyAlignment="1">
      <alignment horizontal="centerContinuous"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5" xfId="0" quotePrefix="1" applyFont="1" applyBorder="1" applyAlignment="1">
      <alignment horizontal="center" vertical="center"/>
    </xf>
    <xf numFmtId="9" fontId="2" fillId="0" borderId="25"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26" xfId="0" applyNumberFormat="1" applyFont="1" applyBorder="1" applyAlignment="1">
      <alignment horizontal="centerContinuous" vertical="center"/>
    </xf>
    <xf numFmtId="164" fontId="5" fillId="0" borderId="0" xfId="0" applyNumberFormat="1" applyFont="1" applyAlignment="1">
      <alignment horizontal="centerContinuous" vertical="center"/>
    </xf>
    <xf numFmtId="0" fontId="5" fillId="0" borderId="2" xfId="0" quotePrefix="1" applyFont="1" applyBorder="1" applyAlignment="1">
      <alignment horizontal="centerContinuous" vertical="center"/>
    </xf>
    <xf numFmtId="164" fontId="2" fillId="0" borderId="56" xfId="0" applyNumberFormat="1" applyFont="1" applyBorder="1" applyAlignment="1">
      <alignment horizontal="centerContinuous"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34" xfId="0" quotePrefix="1" applyFont="1" applyBorder="1" applyAlignment="1">
      <alignment horizontal="center" vertical="center"/>
    </xf>
    <xf numFmtId="9" fontId="2" fillId="0" borderId="134" xfId="0" applyNumberFormat="1" applyFont="1" applyBorder="1" applyAlignment="1">
      <alignment horizontal="center" vertical="center"/>
    </xf>
    <xf numFmtId="164" fontId="2" fillId="0" borderId="134" xfId="0" applyNumberFormat="1" applyFont="1" applyBorder="1" applyAlignment="1">
      <alignment horizontal="center" vertical="center"/>
    </xf>
    <xf numFmtId="0" fontId="2" fillId="0" borderId="138" xfId="0" applyFont="1" applyBorder="1" applyAlignment="1">
      <alignment horizontal="center" vertical="center"/>
    </xf>
    <xf numFmtId="0" fontId="2" fillId="0" borderId="139" xfId="0" applyFont="1" applyBorder="1" applyAlignment="1">
      <alignment horizontal="center" vertical="center"/>
    </xf>
    <xf numFmtId="0" fontId="2" fillId="0" borderId="139" xfId="0" quotePrefix="1" applyFont="1" applyBorder="1" applyAlignment="1">
      <alignment horizontal="center" vertical="center"/>
    </xf>
    <xf numFmtId="9" fontId="2" fillId="0" borderId="139" xfId="0" applyNumberFormat="1" applyFont="1" applyBorder="1" applyAlignment="1">
      <alignment horizontal="center" vertical="center"/>
    </xf>
    <xf numFmtId="164" fontId="2" fillId="0" borderId="139" xfId="0" applyNumberFormat="1" applyFont="1" applyBorder="1" applyAlignment="1">
      <alignment horizontal="center" vertical="center"/>
    </xf>
    <xf numFmtId="164" fontId="2" fillId="0" borderId="140" xfId="0" applyNumberFormat="1" applyFont="1" applyBorder="1" applyAlignment="1">
      <alignment horizontal="centerContinuous" vertical="center"/>
    </xf>
    <xf numFmtId="164" fontId="5" fillId="0" borderId="121" xfId="0" applyNumberFormat="1" applyFont="1" applyBorder="1" applyAlignment="1">
      <alignment horizontal="centerContinuous" vertical="center"/>
    </xf>
    <xf numFmtId="0" fontId="5" fillId="0" borderId="141" xfId="0" quotePrefix="1" applyFont="1" applyBorder="1" applyAlignment="1">
      <alignment horizontal="centerContinuous" vertical="center"/>
    </xf>
    <xf numFmtId="0" fontId="61" fillId="0" borderId="34" xfId="0" applyFont="1" applyBorder="1" applyAlignment="1">
      <alignment horizontal="centerContinuous" vertical="center" wrapText="1"/>
    </xf>
    <xf numFmtId="0" fontId="7" fillId="7" borderId="27" xfId="0" quotePrefix="1" applyFont="1" applyFill="1" applyBorder="1" applyAlignment="1">
      <alignment horizontal="center" vertical="center"/>
    </xf>
    <xf numFmtId="0" fontId="62" fillId="19" borderId="24" xfId="0" quotePrefix="1" applyFont="1" applyFill="1" applyBorder="1" applyAlignment="1">
      <alignment horizontal="center" vertical="center"/>
    </xf>
    <xf numFmtId="1" fontId="43" fillId="19" borderId="25" xfId="0" applyNumberFormat="1" applyFont="1" applyFill="1" applyBorder="1" applyAlignment="1">
      <alignment horizontal="center" vertical="center" wrapText="1"/>
    </xf>
    <xf numFmtId="1" fontId="43" fillId="19" borderId="54" xfId="0" applyNumberFormat="1" applyFont="1" applyFill="1" applyBorder="1" applyAlignment="1">
      <alignment horizontal="center" vertical="center" wrapText="1"/>
    </xf>
    <xf numFmtId="49" fontId="7" fillId="13" borderId="25" xfId="0" applyNumberFormat="1" applyFont="1" applyFill="1" applyBorder="1" applyAlignment="1">
      <alignment horizontal="center" vertical="center" wrapText="1"/>
    </xf>
    <xf numFmtId="0" fontId="14" fillId="20" borderId="1" xfId="0" applyFont="1" applyFill="1" applyBorder="1" applyAlignment="1">
      <alignment vertical="center"/>
    </xf>
    <xf numFmtId="0" fontId="7" fillId="20" borderId="25" xfId="0" applyFont="1" applyFill="1" applyBorder="1" applyAlignment="1">
      <alignment horizontal="center" vertical="center"/>
    </xf>
    <xf numFmtId="49" fontId="23" fillId="20" borderId="25" xfId="0" applyNumberFormat="1" applyFont="1" applyFill="1" applyBorder="1" applyAlignment="1">
      <alignment horizontal="center" vertical="center"/>
    </xf>
    <xf numFmtId="0" fontId="23" fillId="20" borderId="26" xfId="0" applyFont="1" applyFill="1" applyBorder="1" applyAlignment="1">
      <alignment horizontal="center" vertical="center"/>
    </xf>
    <xf numFmtId="0" fontId="14" fillId="20" borderId="26" xfId="0" applyFont="1" applyFill="1" applyBorder="1" applyAlignment="1">
      <alignment horizontal="center" vertical="center"/>
    </xf>
    <xf numFmtId="49" fontId="7" fillId="20" borderId="26" xfId="0" applyNumberFormat="1" applyFont="1" applyFill="1" applyBorder="1" applyAlignment="1">
      <alignment horizontal="center" vertical="center"/>
    </xf>
    <xf numFmtId="0" fontId="7" fillId="20" borderId="27" xfId="0" quotePrefix="1" applyFont="1" applyFill="1" applyBorder="1" applyAlignment="1">
      <alignment horizontal="center" vertical="center"/>
    </xf>
    <xf numFmtId="0" fontId="10" fillId="13" borderId="1" xfId="0" applyFont="1" applyFill="1" applyBorder="1" applyAlignment="1">
      <alignment vertical="center"/>
    </xf>
    <xf numFmtId="49" fontId="27" fillId="13" borderId="25" xfId="0" applyNumberFormat="1" applyFont="1" applyFill="1" applyBorder="1" applyAlignment="1">
      <alignment horizontal="center" vertical="center"/>
    </xf>
    <xf numFmtId="0" fontId="27" fillId="13" borderId="26" xfId="0" applyFont="1" applyFill="1" applyBorder="1" applyAlignment="1">
      <alignment horizontal="center" vertical="center"/>
    </xf>
    <xf numFmtId="9" fontId="7" fillId="0" borderId="25" xfId="7" applyFont="1" applyFill="1" applyBorder="1" applyAlignment="1">
      <alignment horizontal="center" vertical="center" shrinkToFit="1"/>
    </xf>
    <xf numFmtId="9" fontId="7" fillId="0" borderId="26" xfId="7" applyFont="1" applyFill="1" applyBorder="1" applyAlignment="1">
      <alignment horizontal="center" vertical="center" shrinkToFit="1"/>
    </xf>
    <xf numFmtId="0" fontId="7" fillId="0" borderId="26" xfId="7" applyNumberFormat="1" applyFont="1" applyFill="1" applyBorder="1" applyAlignment="1">
      <alignment horizontal="center" vertical="center" shrinkToFit="1"/>
    </xf>
    <xf numFmtId="0" fontId="7" fillId="0" borderId="27" xfId="6" applyFont="1" applyBorder="1" applyAlignment="1">
      <alignment horizontal="center" vertical="center" wrapText="1"/>
    </xf>
    <xf numFmtId="0" fontId="7" fillId="0" borderId="27" xfId="0" applyFont="1" applyBorder="1" applyAlignment="1">
      <alignment horizontal="center" vertical="center" shrinkToFit="1"/>
    </xf>
    <xf numFmtId="0" fontId="7" fillId="0" borderId="38" xfId="0" applyFont="1" applyBorder="1" applyAlignment="1">
      <alignment horizontal="center" vertical="center" wrapText="1"/>
    </xf>
    <xf numFmtId="0" fontId="7" fillId="0" borderId="26" xfId="6" applyFont="1" applyBorder="1" applyAlignment="1">
      <alignment horizontal="center" vertical="center"/>
    </xf>
    <xf numFmtId="0" fontId="7" fillId="0" borderId="25" xfId="6"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6" xfId="2" applyNumberFormat="1" applyFont="1" applyBorder="1" applyAlignment="1">
      <alignment horizontal="center" vertical="center" shrinkToFit="1"/>
    </xf>
    <xf numFmtId="0" fontId="27" fillId="0" borderId="40" xfId="0" applyFont="1" applyBorder="1" applyAlignment="1">
      <alignment horizontal="centerContinuous"/>
    </xf>
    <xf numFmtId="164" fontId="2" fillId="0" borderId="135" xfId="0" applyNumberFormat="1" applyFont="1" applyBorder="1" applyAlignment="1">
      <alignment horizontal="centerContinuous" vertical="center"/>
    </xf>
    <xf numFmtId="164" fontId="5" fillId="0" borderId="136" xfId="0" applyNumberFormat="1" applyFont="1" applyBorder="1" applyAlignment="1">
      <alignment horizontal="centerContinuous" vertical="center"/>
    </xf>
    <xf numFmtId="0" fontId="5" fillId="0" borderId="137" xfId="0" quotePrefix="1" applyFont="1" applyBorder="1" applyAlignment="1">
      <alignment horizontal="centerContinuous" vertical="center"/>
    </xf>
    <xf numFmtId="0" fontId="6" fillId="4" borderId="130" xfId="0" applyFont="1" applyFill="1" applyBorder="1" applyAlignment="1">
      <alignment horizontal="right" vertical="center"/>
    </xf>
    <xf numFmtId="3" fontId="7" fillId="0" borderId="29" xfId="0" applyNumberFormat="1" applyFont="1" applyBorder="1" applyAlignment="1">
      <alignment horizontal="center" vertical="center"/>
    </xf>
    <xf numFmtId="49" fontId="26" fillId="0" borderId="24" xfId="0" applyNumberFormat="1" applyFont="1" applyBorder="1" applyAlignment="1">
      <alignment horizontal="center" vertical="center"/>
    </xf>
    <xf numFmtId="0" fontId="4" fillId="0" borderId="89" xfId="0" applyFont="1" applyBorder="1" applyAlignment="1">
      <alignment horizontal="center" vertical="center"/>
    </xf>
    <xf numFmtId="49" fontId="48" fillId="15" borderId="120" xfId="0" applyNumberFormat="1" applyFont="1" applyFill="1" applyBorder="1" applyAlignment="1">
      <alignment horizontal="center" vertical="center"/>
    </xf>
    <xf numFmtId="49" fontId="4" fillId="0" borderId="89" xfId="0" applyNumberFormat="1" applyFont="1" applyBorder="1" applyAlignment="1">
      <alignment horizontal="center" vertical="center"/>
    </xf>
    <xf numFmtId="0" fontId="48" fillId="15" borderId="89" xfId="0" applyFont="1" applyFill="1" applyBorder="1" applyAlignment="1">
      <alignment horizontal="center" vertical="center"/>
    </xf>
    <xf numFmtId="49" fontId="4" fillId="0" borderId="49" xfId="0" applyNumberFormat="1" applyFont="1" applyBorder="1" applyAlignment="1">
      <alignment horizontal="center" vertical="center"/>
    </xf>
    <xf numFmtId="0" fontId="7" fillId="0" borderId="75" xfId="0" applyFont="1" applyBorder="1" applyAlignment="1">
      <alignment horizontal="center" vertical="center"/>
    </xf>
    <xf numFmtId="0" fontId="63" fillId="2" borderId="73" xfId="0" applyFont="1" applyFill="1" applyBorder="1" applyAlignment="1">
      <alignment horizontal="right" vertical="center"/>
    </xf>
    <xf numFmtId="0" fontId="63" fillId="2" borderId="71" xfId="0" applyFont="1" applyFill="1" applyBorder="1" applyAlignment="1">
      <alignment horizontal="left" vertical="center"/>
    </xf>
    <xf numFmtId="0" fontId="7" fillId="0" borderId="120" xfId="0" applyFont="1" applyBorder="1" applyAlignment="1">
      <alignment horizontal="center" vertical="center" shrinkToFit="1"/>
    </xf>
    <xf numFmtId="0" fontId="2" fillId="0" borderId="50" xfId="0" quotePrefix="1" applyFont="1" applyBorder="1" applyAlignment="1">
      <alignment horizontal="left" vertical="center"/>
    </xf>
    <xf numFmtId="1" fontId="7" fillId="0" borderId="28" xfId="0" applyNumberFormat="1" applyFont="1" applyBorder="1" applyAlignment="1">
      <alignment horizontal="center" vertical="center"/>
    </xf>
    <xf numFmtId="1" fontId="7" fillId="0" borderId="29" xfId="0" applyNumberFormat="1" applyFont="1" applyBorder="1" applyAlignment="1">
      <alignment horizontal="center" vertical="center"/>
    </xf>
    <xf numFmtId="0" fontId="2" fillId="0" borderId="44" xfId="0" applyFont="1" applyBorder="1" applyAlignment="1">
      <alignment horizontal="center" vertical="center" shrinkToFit="1"/>
    </xf>
    <xf numFmtId="0" fontId="2" fillId="0" borderId="46" xfId="0" applyFont="1" applyBorder="1" applyAlignment="1">
      <alignment horizontal="left" vertical="center" shrinkToFit="1"/>
    </xf>
    <xf numFmtId="0" fontId="2" fillId="0" borderId="0" xfId="0" applyFont="1" applyAlignment="1">
      <alignment horizontal="center" vertical="center"/>
    </xf>
    <xf numFmtId="1" fontId="2" fillId="0" borderId="113" xfId="0" applyNumberFormat="1" applyFont="1" applyBorder="1" applyAlignment="1">
      <alignment horizontal="center" vertical="center" shrinkToFit="1"/>
    </xf>
    <xf numFmtId="0" fontId="64" fillId="19" borderId="3" xfId="0" quotePrefix="1" applyFont="1" applyFill="1" applyBorder="1" applyAlignment="1">
      <alignment horizontal="center" vertical="center"/>
    </xf>
    <xf numFmtId="0" fontId="46" fillId="0" borderId="59" xfId="0" quotePrefix="1" applyFont="1" applyBorder="1" applyAlignment="1">
      <alignment horizontal="centerContinuous" vertical="center" shrinkToFit="1"/>
    </xf>
    <xf numFmtId="0" fontId="2" fillId="17" borderId="110" xfId="2" applyNumberFormat="1" applyFont="1" applyFill="1" applyBorder="1" applyAlignment="1">
      <alignment horizontal="center" vertical="center"/>
    </xf>
    <xf numFmtId="0" fontId="2" fillId="17" borderId="115" xfId="2" applyNumberFormat="1" applyFont="1" applyFill="1" applyBorder="1" applyAlignment="1">
      <alignment horizontal="center" vertical="center"/>
    </xf>
    <xf numFmtId="0" fontId="2" fillId="17" borderId="106" xfId="2" applyNumberFormat="1" applyFont="1" applyFill="1" applyBorder="1" applyAlignment="1">
      <alignment horizontal="center" vertical="center"/>
    </xf>
    <xf numFmtId="0" fontId="2" fillId="0" borderId="120" xfId="0" applyFont="1" applyBorder="1" applyAlignment="1">
      <alignment horizontal="centerContinuous" vertical="center" shrinkToFit="1"/>
    </xf>
    <xf numFmtId="0" fontId="21" fillId="0" borderId="121" xfId="0" applyFont="1" applyBorder="1" applyAlignment="1">
      <alignment horizontal="centerContinuous" vertical="center"/>
    </xf>
    <xf numFmtId="0" fontId="21" fillId="0" borderId="142" xfId="0" applyFont="1" applyBorder="1" applyAlignment="1">
      <alignment horizontal="centerContinuous" vertical="center"/>
    </xf>
    <xf numFmtId="0" fontId="2" fillId="0" borderId="143" xfId="0" applyFont="1" applyBorder="1" applyAlignment="1">
      <alignment horizontal="center" vertical="center"/>
    </xf>
    <xf numFmtId="0" fontId="2" fillId="0" borderId="141" xfId="0" applyFont="1" applyBorder="1" applyAlignment="1">
      <alignment horizontal="centerContinuous" vertical="center"/>
    </xf>
    <xf numFmtId="1" fontId="7" fillId="0" borderId="58" xfId="0" applyNumberFormat="1" applyFont="1" applyBorder="1" applyAlignment="1">
      <alignment horizontal="centerContinuous" vertical="center"/>
    </xf>
    <xf numFmtId="0" fontId="58" fillId="0" borderId="104" xfId="0" applyFont="1" applyBorder="1" applyAlignment="1">
      <alignment horizontal="centerContinuous" vertical="center"/>
    </xf>
    <xf numFmtId="0" fontId="41" fillId="0" borderId="1" xfId="0" applyFont="1" applyBorder="1" applyAlignment="1">
      <alignment vertical="center"/>
    </xf>
    <xf numFmtId="0" fontId="42" fillId="0" borderId="35" xfId="0" applyFont="1" applyBorder="1" applyAlignment="1">
      <alignment vertical="center"/>
    </xf>
    <xf numFmtId="0" fontId="65" fillId="0" borderId="34" xfId="0" applyFont="1" applyBorder="1" applyAlignment="1">
      <alignment horizontal="centerContinuous" vertical="center"/>
    </xf>
    <xf numFmtId="0" fontId="7" fillId="0" borderId="40" xfId="0" applyFont="1" applyBorder="1" applyAlignment="1">
      <alignment horizontal="centerContinuous" vertical="center"/>
    </xf>
    <xf numFmtId="0" fontId="7" fillId="0" borderId="59" xfId="0" applyFont="1" applyBorder="1" applyAlignment="1">
      <alignment horizontal="centerContinuous" vertical="center"/>
    </xf>
    <xf numFmtId="49" fontId="23" fillId="21" borderId="25" xfId="0" applyNumberFormat="1" applyFont="1" applyFill="1" applyBorder="1" applyAlignment="1">
      <alignment horizontal="center" vertical="center"/>
    </xf>
    <xf numFmtId="0" fontId="23" fillId="21" borderId="26" xfId="0" applyFont="1" applyFill="1" applyBorder="1" applyAlignment="1">
      <alignment horizontal="center" vertical="center"/>
    </xf>
    <xf numFmtId="0" fontId="46" fillId="0" borderId="40" xfId="0" applyFont="1" applyBorder="1" applyAlignment="1">
      <alignment horizontal="center" vertical="center" shrinkToFit="1"/>
    </xf>
    <xf numFmtId="1" fontId="5" fillId="0" borderId="0" xfId="0" applyNumberFormat="1" applyFont="1" applyAlignment="1">
      <alignment horizontal="center" vertical="center" wrapText="1"/>
    </xf>
    <xf numFmtId="0" fontId="7" fillId="17" borderId="12" xfId="0" applyFont="1" applyFill="1" applyBorder="1" applyAlignment="1">
      <alignment horizontal="center" vertical="center"/>
    </xf>
  </cellXfs>
  <cellStyles count="11">
    <cellStyle name="Excel Built-in Normal" xfId="4" xr:uid="{00000000-0005-0000-0000-000000000000}"/>
    <cellStyle name="Hyperlink" xfId="1" builtinId="8"/>
    <cellStyle name="Normal" xfId="0" builtinId="0"/>
    <cellStyle name="Normal 2" xfId="5" xr:uid="{00000000-0005-0000-0000-000003000000}"/>
    <cellStyle name="Normal 2 2" xfId="6" xr:uid="{00000000-0005-0000-0000-000004000000}"/>
    <cellStyle name="Normal 3" xfId="9" xr:uid="{00000000-0005-0000-0000-000005000000}"/>
    <cellStyle name="Normal 4" xfId="3" xr:uid="{00000000-0005-0000-0000-000006000000}"/>
    <cellStyle name="Normal 5" xfId="10" xr:uid="{00000000-0005-0000-0000-000007000000}"/>
    <cellStyle name="Percent" xfId="2" builtinId="5"/>
    <cellStyle name="Percent 2" xfId="7" xr:uid="{00000000-0005-0000-0000-000009000000}"/>
    <cellStyle name="Percent 2 2" xfId="8" xr:uid="{00000000-0005-0000-0000-00000A000000}"/>
  </cellStyles>
  <dxfs count="8">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FFCCFF"/>
      <color rgb="FF9933FF"/>
      <color rgb="FF9966FF"/>
      <color rgb="FFCC99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38100</xdr:colOff>
      <xdr:row>16</xdr:row>
      <xdr:rowOff>30480</xdr:rowOff>
    </xdr:from>
    <xdr:to>
      <xdr:col>7</xdr:col>
      <xdr:colOff>0</xdr:colOff>
      <xdr:row>22</xdr:row>
      <xdr:rowOff>106680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3413760"/>
          <a:ext cx="6720840" cy="2255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45720</xdr:colOff>
      <xdr:row>13</xdr:row>
      <xdr:rowOff>45720</xdr:rowOff>
    </xdr:from>
    <xdr:to>
      <xdr:col>6</xdr:col>
      <xdr:colOff>1242060</xdr:colOff>
      <xdr:row>15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3025140"/>
          <a:ext cx="6705600" cy="33528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200" b="1" baseline="0">
              <a:solidFill>
                <a:schemeClr val="bg1"/>
              </a:solidFill>
              <a:latin typeface="Times New Roman" panose="02020603050405020304" pitchFamily="18" charset="0"/>
              <a:cs typeface="Times New Roman" panose="02020603050405020304" pitchFamily="18" charset="0"/>
            </a:rPr>
            <a:t>Current Effects:   </a:t>
          </a:r>
          <a:r>
            <a:rPr lang="en-US" sz="1200" b="0" i="1" baseline="0">
              <a:solidFill>
                <a:schemeClr val="bg1"/>
              </a:solidFill>
              <a:latin typeface="Times New Roman" panose="02020603050405020304" pitchFamily="18" charset="0"/>
              <a:cs typeface="Times New Roman" panose="02020603050405020304" pitchFamily="18" charset="0"/>
            </a:rPr>
            <a:t>Protection from Good +2</a:t>
          </a:r>
        </a:p>
      </xdr:txBody>
    </xdr:sp>
    <xdr:clientData/>
  </xdr:twoCellAnchor>
  <xdr:twoCellAnchor editAs="oneCell">
    <xdr:from>
      <xdr:col>5</xdr:col>
      <xdr:colOff>45156</xdr:colOff>
      <xdr:row>1</xdr:row>
      <xdr:rowOff>83820</xdr:rowOff>
    </xdr:from>
    <xdr:to>
      <xdr:col>6</xdr:col>
      <xdr:colOff>910731</xdr:colOff>
      <xdr:row>12</xdr:row>
      <xdr:rowOff>153162</xdr:rowOff>
    </xdr:to>
    <xdr:pic>
      <xdr:nvPicPr>
        <xdr:cNvPr id="5" name="Picture 4">
          <a:extLst>
            <a:ext uri="{FF2B5EF4-FFF2-40B4-BE49-F238E27FC236}">
              <a16:creationId xmlns:a16="http://schemas.microsoft.com/office/drawing/2014/main" id="{125E0994-5A9D-48F7-BBB4-8EEBDF416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1896" y="457200"/>
          <a:ext cx="1818075" cy="2454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2</xdr:row>
      <xdr:rowOff>7620</xdr:rowOff>
    </xdr:from>
    <xdr:to>
      <xdr:col>10</xdr:col>
      <xdr:colOff>868680</xdr:colOff>
      <xdr:row>4</xdr:row>
      <xdr:rowOff>198120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581900" y="739140"/>
          <a:ext cx="830580" cy="617220"/>
        </a:xfrm>
        <a:prstGeom prst="rect">
          <a:avLst/>
        </a:prstGeom>
        <a:solidFill>
          <a:srgbClr val="0000FF">
            <a:alpha val="61000"/>
          </a:srgbClr>
        </a:solidFill>
        <a:ln w="44450" cmpd="dbl">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200" b="0" i="1" baseline="0">
              <a:solidFill>
                <a:schemeClr val="bg1"/>
              </a:solidFill>
              <a:latin typeface="Times New Roman" panose="02020603050405020304" pitchFamily="18" charset="0"/>
              <a:cs typeface="Times New Roman" panose="02020603050405020304" pitchFamily="18" charset="0"/>
            </a:rPr>
            <a:t>Protection from Good +2</a:t>
          </a:r>
          <a:endParaRPr lang="en-US" sz="1200" b="1" i="1" baseline="0">
            <a:solidFill>
              <a:schemeClr val="bg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8457" name="Rectangle 1">
          <a:extLst>
            <a:ext uri="{FF2B5EF4-FFF2-40B4-BE49-F238E27FC236}">
              <a16:creationId xmlns:a16="http://schemas.microsoft.com/office/drawing/2014/main" id="{00000000-0008-0000-0300-000019480000}"/>
            </a:ext>
          </a:extLst>
        </xdr:cNvPr>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39724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2478405</xdr:colOff>
      <xdr:row>1</xdr:row>
      <xdr:rowOff>123825</xdr:rowOff>
    </xdr:from>
    <xdr:to>
      <xdr:col>1</xdr:col>
      <xdr:colOff>291465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x14ac:dyDescent="0.3"/>
  <cols>
    <col min="1" max="1" width="13.69921875" style="180" bestFit="1" customWidth="1"/>
    <col min="2" max="2" width="12" style="77" customWidth="1"/>
    <col min="3" max="3" width="6.69921875" style="77" customWidth="1"/>
    <col min="4" max="4" width="13.69921875" style="180" bestFit="1" customWidth="1"/>
    <col min="5" max="5" width="10.8984375" style="77" bestFit="1" customWidth="1"/>
    <col min="6" max="6" width="12.5" style="180" customWidth="1"/>
    <col min="7" max="7" width="12.5" style="77" customWidth="1"/>
    <col min="8" max="16384" width="13" style="17"/>
  </cols>
  <sheetData>
    <row r="1" spans="1:7" ht="29.4" thickTop="1" thickBot="1" x14ac:dyDescent="0.35">
      <c r="A1" s="475" t="s">
        <v>335</v>
      </c>
      <c r="B1" s="476" t="s">
        <v>305</v>
      </c>
      <c r="C1" s="186"/>
      <c r="D1" s="187"/>
      <c r="E1" s="188"/>
      <c r="F1" s="187"/>
      <c r="G1" s="189" t="s">
        <v>281</v>
      </c>
    </row>
    <row r="2" spans="1:7" ht="17.399999999999999" thickTop="1" x14ac:dyDescent="0.3">
      <c r="A2" s="190" t="s">
        <v>285</v>
      </c>
      <c r="B2" s="191" t="s">
        <v>306</v>
      </c>
      <c r="C2" s="191"/>
      <c r="D2" s="192" t="s">
        <v>286</v>
      </c>
      <c r="E2" s="193" t="s">
        <v>151</v>
      </c>
      <c r="F2" s="194"/>
      <c r="G2" s="195"/>
    </row>
    <row r="3" spans="1:7" ht="16.8" x14ac:dyDescent="0.3">
      <c r="A3" s="190" t="s">
        <v>287</v>
      </c>
      <c r="B3" s="191" t="s">
        <v>306</v>
      </c>
      <c r="C3" s="191"/>
      <c r="D3" s="192" t="s">
        <v>0</v>
      </c>
      <c r="E3" s="193">
        <v>2</v>
      </c>
      <c r="F3" s="194"/>
      <c r="G3" s="195"/>
    </row>
    <row r="4" spans="1:7" ht="16.8" x14ac:dyDescent="0.3">
      <c r="A4" s="190" t="s">
        <v>287</v>
      </c>
      <c r="B4" s="191" t="s">
        <v>307</v>
      </c>
      <c r="C4" s="191"/>
      <c r="D4" s="192" t="s">
        <v>0</v>
      </c>
      <c r="E4" s="193">
        <v>13</v>
      </c>
      <c r="F4" s="192"/>
      <c r="G4" s="195"/>
    </row>
    <row r="5" spans="1:7" ht="17.399999999999999" thickBot="1" x14ac:dyDescent="0.35">
      <c r="A5" s="190" t="s">
        <v>288</v>
      </c>
      <c r="B5" s="191" t="s">
        <v>308</v>
      </c>
      <c r="C5" s="191"/>
      <c r="D5" s="192" t="s">
        <v>289</v>
      </c>
      <c r="E5" s="193" t="s">
        <v>309</v>
      </c>
      <c r="F5" s="192"/>
      <c r="G5" s="195"/>
    </row>
    <row r="6" spans="1:7" ht="17.399999999999999" thickTop="1" x14ac:dyDescent="0.3">
      <c r="A6" s="196" t="s">
        <v>290</v>
      </c>
      <c r="B6" s="495">
        <f>0+E4</f>
        <v>13</v>
      </c>
      <c r="C6" s="496"/>
      <c r="D6" s="225" t="s">
        <v>72</v>
      </c>
      <c r="E6" s="474" t="str">
        <f>Martial!F17</f>
        <v>20’</v>
      </c>
      <c r="F6" s="197"/>
      <c r="G6" s="195"/>
    </row>
    <row r="7" spans="1:7" ht="17.399999999999999" thickBot="1" x14ac:dyDescent="0.35">
      <c r="A7" s="378" t="s">
        <v>291</v>
      </c>
      <c r="B7" s="379" t="str">
        <f>C9</f>
        <v>+1</v>
      </c>
      <c r="C7" s="380"/>
      <c r="D7" s="466" t="s">
        <v>292</v>
      </c>
      <c r="E7" s="467" t="s">
        <v>281</v>
      </c>
      <c r="F7" s="197"/>
      <c r="G7" s="195"/>
    </row>
    <row r="8" spans="1:7" ht="17.399999999999999" thickTop="1" x14ac:dyDescent="0.3">
      <c r="A8" s="198" t="s">
        <v>293</v>
      </c>
      <c r="B8" s="506">
        <f>16+4</f>
        <v>20</v>
      </c>
      <c r="C8" s="199" t="str">
        <f t="shared" ref="C8:C13" si="0">IF(B8&gt;9.9,CONCATENATE("+",ROUNDDOWN((B8-10)/2,0)),ROUNDUP((B8-10)/2,0))</f>
        <v>+5</v>
      </c>
      <c r="D8" s="200" t="s">
        <v>294</v>
      </c>
      <c r="E8" s="224" t="s">
        <v>140</v>
      </c>
      <c r="F8" s="197"/>
      <c r="G8" s="195"/>
    </row>
    <row r="9" spans="1:7" ht="16.8" x14ac:dyDescent="0.3">
      <c r="A9" s="201" t="s">
        <v>295</v>
      </c>
      <c r="B9" s="485">
        <f>10+2</f>
        <v>12</v>
      </c>
      <c r="C9" s="202" t="str">
        <f t="shared" si="0"/>
        <v>+1</v>
      </c>
      <c r="D9" s="203" t="s">
        <v>296</v>
      </c>
      <c r="E9" s="204">
        <f>SUM(Martial!G3:G24,Equipment!C3:C16)</f>
        <v>78.5</v>
      </c>
      <c r="F9" s="197"/>
      <c r="G9" s="195"/>
    </row>
    <row r="10" spans="1:7" ht="16.8" x14ac:dyDescent="0.3">
      <c r="A10" s="205" t="s">
        <v>297</v>
      </c>
      <c r="B10" s="206">
        <f>14</f>
        <v>14</v>
      </c>
      <c r="C10" s="207" t="str">
        <f t="shared" si="0"/>
        <v>+2</v>
      </c>
      <c r="D10" s="208" t="s">
        <v>298</v>
      </c>
      <c r="E10" s="223">
        <f>ROUNDUP(((1*10)*0.75)+((E4*10)*0.75)+((1+E4)*C10),0)</f>
        <v>133</v>
      </c>
      <c r="F10" s="197"/>
      <c r="G10" s="195"/>
    </row>
    <row r="11" spans="1:7" ht="16.8" x14ac:dyDescent="0.3">
      <c r="A11" s="209" t="s">
        <v>299</v>
      </c>
      <c r="B11" s="206">
        <v>10</v>
      </c>
      <c r="C11" s="202" t="str">
        <f t="shared" si="0"/>
        <v>+0</v>
      </c>
      <c r="D11" s="211" t="s">
        <v>300</v>
      </c>
      <c r="E11" s="479">
        <f>10+C9</f>
        <v>11</v>
      </c>
      <c r="F11" s="190"/>
      <c r="G11" s="195"/>
    </row>
    <row r="12" spans="1:7" ht="16.8" x14ac:dyDescent="0.3">
      <c r="A12" s="210" t="s">
        <v>301</v>
      </c>
      <c r="B12" s="485">
        <f>14+2</f>
        <v>16</v>
      </c>
      <c r="C12" s="202" t="str">
        <f t="shared" si="0"/>
        <v>+3</v>
      </c>
      <c r="D12" s="211" t="s">
        <v>302</v>
      </c>
      <c r="E12" s="479">
        <f>E13-C9</f>
        <v>21</v>
      </c>
      <c r="F12" s="197"/>
      <c r="G12" s="195"/>
    </row>
    <row r="13" spans="1:7" ht="17.399999999999999" thickBot="1" x14ac:dyDescent="0.35">
      <c r="A13" s="212" t="s">
        <v>303</v>
      </c>
      <c r="B13" s="438">
        <f>14+2</f>
        <v>16</v>
      </c>
      <c r="C13" s="468" t="str">
        <f t="shared" si="0"/>
        <v>+3</v>
      </c>
      <c r="D13" s="213" t="s">
        <v>304</v>
      </c>
      <c r="E13" s="480">
        <f>E11+SUM(Martial!B17:B20)</f>
        <v>22</v>
      </c>
      <c r="F13" s="214"/>
      <c r="G13" s="215"/>
    </row>
    <row r="14" spans="1:7" ht="16.2" thickTop="1" x14ac:dyDescent="0.3"/>
  </sheetData>
  <phoneticPr fontId="0" type="noConversion"/>
  <conditionalFormatting sqref="E9">
    <cfRule type="cellIs" dxfId="7" priority="4" stopIfTrue="1" operator="greaterThan">
      <formula>763</formula>
    </cfRule>
    <cfRule type="cellIs" dxfId="6" priority="5" stopIfTrue="1" operator="between">
      <formula>43</formula>
      <formula>86</formula>
    </cfRule>
  </conditionalFormatting>
  <printOptions gridLinesSet="0"/>
  <pageMargins left="0.25" right="0.25"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showGridLines="0" workbookViewId="0">
      <pane ySplit="2" topLeftCell="A3" activePane="bottomLeft" state="frozen"/>
      <selection pane="bottomLeft" activeCell="A3" sqref="A3"/>
    </sheetView>
  </sheetViews>
  <sheetFormatPr defaultColWidth="13" defaultRowHeight="15.6" x14ac:dyDescent="0.3"/>
  <cols>
    <col min="1" max="1" width="21.398437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3" bestFit="1" customWidth="1"/>
    <col min="8" max="8" width="5.19921875" style="3" bestFit="1" customWidth="1"/>
    <col min="9" max="9" width="6.8984375" style="3" bestFit="1" customWidth="1"/>
    <col min="10" max="10" width="37.796875" style="2" customWidth="1"/>
    <col min="11" max="16384" width="13" style="1"/>
  </cols>
  <sheetData>
    <row r="1" spans="1:10" ht="23.4" thickBot="1" x14ac:dyDescent="0.35">
      <c r="A1" s="86" t="s">
        <v>7</v>
      </c>
      <c r="B1" s="87"/>
      <c r="C1" s="87"/>
      <c r="D1" s="87"/>
      <c r="E1" s="87"/>
      <c r="F1" s="87"/>
      <c r="G1" s="87"/>
      <c r="H1" s="87"/>
      <c r="I1" s="87"/>
      <c r="J1" s="87"/>
    </row>
    <row r="2" spans="1:10" s="14" customFormat="1" ht="34.200000000000003" thickBot="1" x14ac:dyDescent="0.35">
      <c r="A2" s="12" t="s">
        <v>181</v>
      </c>
      <c r="B2" s="13" t="s">
        <v>20</v>
      </c>
      <c r="C2" s="13" t="s">
        <v>27</v>
      </c>
      <c r="D2" s="13" t="s">
        <v>19</v>
      </c>
      <c r="E2" s="13" t="s">
        <v>53</v>
      </c>
      <c r="F2" s="13" t="s">
        <v>28</v>
      </c>
      <c r="G2" s="13" t="s">
        <v>55</v>
      </c>
      <c r="H2" s="9" t="s">
        <v>135</v>
      </c>
      <c r="I2" s="10" t="s">
        <v>70</v>
      </c>
      <c r="J2" s="11" t="s">
        <v>68</v>
      </c>
    </row>
    <row r="3" spans="1:10" s="4" customFormat="1" ht="16.8" x14ac:dyDescent="0.3">
      <c r="A3" s="497" t="s">
        <v>57</v>
      </c>
      <c r="B3" s="88">
        <f>0+5</f>
        <v>5</v>
      </c>
      <c r="C3" s="88" t="s">
        <v>22</v>
      </c>
      <c r="D3" s="89" t="str">
        <f>IF(C3="Str",'Personal File'!$C$8,IF(C3="Dex",'Personal File'!$C$9,IF(C3="Con",'Personal File'!$C$10,IF(C3="Int",'Personal File'!$C$11,IF(C3="Wis",'Personal File'!$C$12,IF(C3="Cha",'Personal File'!$C$13))))))</f>
        <v>+2</v>
      </c>
      <c r="E3" s="89" t="str">
        <f t="shared" ref="E3" si="0">CONCATENATE(C3," (",D3,")")</f>
        <v>Con (+2)</v>
      </c>
      <c r="F3" s="439">
        <f>'Personal File'!C$13+2+1</f>
        <v>6</v>
      </c>
      <c r="G3" s="91">
        <f t="shared" ref="G3:G42" si="1">B3+D3+F3</f>
        <v>13</v>
      </c>
      <c r="H3" s="92">
        <f t="shared" ref="H3:H5" ca="1" si="2">RANDBETWEEN(1,20)</f>
        <v>15</v>
      </c>
      <c r="I3" s="90">
        <f t="shared" ref="I3" ca="1" si="3">SUM(G3:H3)</f>
        <v>28</v>
      </c>
      <c r="J3" s="279" t="s">
        <v>171</v>
      </c>
    </row>
    <row r="4" spans="1:10" s="4" customFormat="1" ht="16.8" x14ac:dyDescent="0.3">
      <c r="A4" s="93" t="s">
        <v>58</v>
      </c>
      <c r="B4" s="88">
        <f>0+2</f>
        <v>2</v>
      </c>
      <c r="C4" s="88" t="s">
        <v>25</v>
      </c>
      <c r="D4" s="94" t="str">
        <f>IF(C4="Str",'Personal File'!$C$8,IF(C4="Dex",'Personal File'!$C$9,IF(C4="Con",'Personal File'!$C$10,IF(C4="Int",'Personal File'!$C$11,IF(C4="Wis",'Personal File'!$C$12,IF(C4="Cha",'Personal File'!$C$13))))))</f>
        <v>+1</v>
      </c>
      <c r="E4" s="95" t="str">
        <f t="shared" ref="E4:E5" si="4">CONCATENATE(C4," (",D4,")")</f>
        <v>Dex (+1)</v>
      </c>
      <c r="F4" s="439">
        <f>'Personal File'!C$13+2+1</f>
        <v>6</v>
      </c>
      <c r="G4" s="91">
        <f t="shared" si="1"/>
        <v>9</v>
      </c>
      <c r="H4" s="92">
        <f t="shared" ca="1" si="2"/>
        <v>4</v>
      </c>
      <c r="I4" s="96">
        <f t="shared" ref="I4:I42" ca="1" si="5">SUM(G4:H4)</f>
        <v>13</v>
      </c>
      <c r="J4" s="166"/>
    </row>
    <row r="5" spans="1:10" s="4" customFormat="1" ht="16.8" x14ac:dyDescent="0.3">
      <c r="A5" s="498" t="s">
        <v>59</v>
      </c>
      <c r="B5" s="98">
        <f>2+2</f>
        <v>4</v>
      </c>
      <c r="C5" s="98" t="s">
        <v>24</v>
      </c>
      <c r="D5" s="99" t="str">
        <f>IF(C5="Str",'Personal File'!$C$8,IF(C5="Dex",'Personal File'!$C$9,IF(C5="Con",'Personal File'!$C$10,IF(C5="Int",'Personal File'!$C$11,IF(C5="Wis",'Personal File'!$C$12,IF(C5="Cha",'Personal File'!$C$13))))))</f>
        <v>+3</v>
      </c>
      <c r="E5" s="100" t="str">
        <f t="shared" si="4"/>
        <v>Wis (+3)</v>
      </c>
      <c r="F5" s="440">
        <f>'Personal File'!C$13+2+1</f>
        <v>6</v>
      </c>
      <c r="G5" s="102">
        <f t="shared" si="1"/>
        <v>13</v>
      </c>
      <c r="H5" s="103">
        <f t="shared" ca="1" si="2"/>
        <v>13</v>
      </c>
      <c r="I5" s="101">
        <f t="shared" ca="1" si="5"/>
        <v>26</v>
      </c>
      <c r="J5" s="300" t="s">
        <v>171</v>
      </c>
    </row>
    <row r="6" spans="1:10" s="4" customFormat="1" ht="16.8" x14ac:dyDescent="0.3">
      <c r="A6" s="104" t="s">
        <v>29</v>
      </c>
      <c r="B6" s="88">
        <v>0</v>
      </c>
      <c r="C6" s="105" t="s">
        <v>23</v>
      </c>
      <c r="D6" s="106" t="str">
        <f>IF(C6="Str",'Personal File'!$C$8,IF(C6="Dex",'Personal File'!$C$9,IF(C6="Con",'Personal File'!$C$10,IF(C6="Int",'Personal File'!$C$11,IF(C6="Wis",'Personal File'!$C$12,IF(C6="Cha",'Personal File'!$C$13))))))</f>
        <v>+0</v>
      </c>
      <c r="E6" s="106" t="str">
        <f t="shared" ref="E6" si="6">CONCATENATE(C6," (",D6,")")</f>
        <v>Int (+0)</v>
      </c>
      <c r="F6" s="107" t="s">
        <v>54</v>
      </c>
      <c r="G6" s="108">
        <f t="shared" si="1"/>
        <v>0</v>
      </c>
      <c r="H6" s="92">
        <f ca="1">RANDBETWEEN(1,20)</f>
        <v>3</v>
      </c>
      <c r="I6" s="96">
        <f t="shared" ca="1" si="5"/>
        <v>3</v>
      </c>
      <c r="J6" s="166"/>
    </row>
    <row r="7" spans="1:10" s="8" customFormat="1" ht="16.8" x14ac:dyDescent="0.3">
      <c r="A7" s="109" t="s">
        <v>30</v>
      </c>
      <c r="B7" s="88">
        <v>0</v>
      </c>
      <c r="C7" s="110" t="s">
        <v>25</v>
      </c>
      <c r="D7" s="94" t="str">
        <f>IF(C7="Str",'Personal File'!$C$8,IF(C7="Dex",'Personal File'!$C$9,IF(C7="Con",'Personal File'!$C$10,IF(C7="Int",'Personal File'!$C$11,IF(C7="Wis",'Personal File'!$C$12,IF(C7="Cha",'Personal File'!$C$13))))))</f>
        <v>+1</v>
      </c>
      <c r="E7" s="94" t="str">
        <f t="shared" ref="E7:E42" si="7">CONCATENATE(C7," (",D7,")")</f>
        <v>Dex (+1)</v>
      </c>
      <c r="F7" s="372">
        <f>SUM(Martial!$D$17:$D$20)</f>
        <v>-5</v>
      </c>
      <c r="G7" s="108">
        <f t="shared" si="1"/>
        <v>-4</v>
      </c>
      <c r="H7" s="92">
        <f ca="1">RANDBETWEEN(1,20)</f>
        <v>20</v>
      </c>
      <c r="I7" s="96">
        <f t="shared" ca="1" si="5"/>
        <v>16</v>
      </c>
      <c r="J7" s="166"/>
    </row>
    <row r="8" spans="1:10" s="6" customFormat="1" ht="16.8" x14ac:dyDescent="0.3">
      <c r="A8" s="127" t="s">
        <v>31</v>
      </c>
      <c r="B8" s="118">
        <v>3</v>
      </c>
      <c r="C8" s="128" t="s">
        <v>21</v>
      </c>
      <c r="D8" s="129" t="str">
        <f>IF(C8="Str",'Personal File'!$C$8,IF(C8="Dex",'Personal File'!$C$9,IF(C8="Con",'Personal File'!$C$10,IF(C8="Int",'Personal File'!$C$11,IF(C8="Wis",'Personal File'!$C$12,IF(C8="Cha",'Personal File'!$C$13))))))</f>
        <v>+3</v>
      </c>
      <c r="E8" s="130" t="str">
        <f t="shared" si="7"/>
        <v>Cha (+3)</v>
      </c>
      <c r="F8" s="119" t="s">
        <v>54</v>
      </c>
      <c r="G8" s="119">
        <f t="shared" si="1"/>
        <v>6</v>
      </c>
      <c r="H8" s="92">
        <f t="shared" ref="H8:H42" ca="1" si="8">RANDBETWEEN(1,20)</f>
        <v>16</v>
      </c>
      <c r="I8" s="441">
        <f t="shared" ca="1" si="5"/>
        <v>22</v>
      </c>
      <c r="J8" s="357"/>
    </row>
    <row r="9" spans="1:10" s="5" customFormat="1" ht="16.8" x14ac:dyDescent="0.3">
      <c r="A9" s="115" t="s">
        <v>32</v>
      </c>
      <c r="B9" s="88">
        <v>0</v>
      </c>
      <c r="C9" s="116" t="s">
        <v>26</v>
      </c>
      <c r="D9" s="117" t="str">
        <f>IF(C9="Str",'Personal File'!$C$8,IF(C9="Dex",'Personal File'!$C$9,IF(C9="Con",'Personal File'!$C$10,IF(C9="Int",'Personal File'!$C$11,IF(C9="Wis",'Personal File'!$C$12,IF(C9="Cha",'Personal File'!$C$13))))))</f>
        <v>+5</v>
      </c>
      <c r="E9" s="117" t="str">
        <f t="shared" si="7"/>
        <v>Str (+5)</v>
      </c>
      <c r="F9" s="372">
        <f>SUM(Martial!$D$17:$D$20)</f>
        <v>-5</v>
      </c>
      <c r="G9" s="108">
        <f t="shared" si="1"/>
        <v>0</v>
      </c>
      <c r="H9" s="92">
        <f t="shared" ca="1" si="8"/>
        <v>20</v>
      </c>
      <c r="I9" s="96">
        <f t="shared" ca="1" si="5"/>
        <v>20</v>
      </c>
      <c r="J9" s="166"/>
    </row>
    <row r="10" spans="1:10" s="5" customFormat="1" ht="16.8" x14ac:dyDescent="0.3">
      <c r="A10" s="449" t="s">
        <v>8</v>
      </c>
      <c r="B10" s="118">
        <v>4</v>
      </c>
      <c r="C10" s="450" t="s">
        <v>22</v>
      </c>
      <c r="D10" s="451" t="str">
        <f>IF(C10="Str",'Personal File'!$C$8,IF(C10="Dex",'Personal File'!$C$9,IF(C10="Con",'Personal File'!$C$10,IF(C10="Int",'Personal File'!$C$11,IF(C10="Wis",'Personal File'!$C$12,IF(C10="Cha",'Personal File'!$C$13))))))</f>
        <v>+2</v>
      </c>
      <c r="E10" s="451" t="str">
        <f t="shared" si="7"/>
        <v>Con (+2)</v>
      </c>
      <c r="F10" s="119" t="s">
        <v>54</v>
      </c>
      <c r="G10" s="119">
        <f t="shared" si="1"/>
        <v>6</v>
      </c>
      <c r="H10" s="92">
        <f t="shared" ca="1" si="8"/>
        <v>15</v>
      </c>
      <c r="I10" s="441">
        <f t="shared" ca="1" si="5"/>
        <v>21</v>
      </c>
      <c r="J10" s="357"/>
    </row>
    <row r="11" spans="1:10" s="4" customFormat="1" ht="16.8" x14ac:dyDescent="0.3">
      <c r="A11" s="104" t="s">
        <v>73</v>
      </c>
      <c r="B11" s="88">
        <v>0</v>
      </c>
      <c r="C11" s="105" t="s">
        <v>23</v>
      </c>
      <c r="D11" s="106" t="str">
        <f>IF(C11="Str",'Personal File'!$C$8,IF(C11="Dex",'Personal File'!$C$9,IF(C11="Con",'Personal File'!$C$10,IF(C11="Int",'Personal File'!$C$11,IF(C11="Wis",'Personal File'!$C$12,IF(C11="Cha",'Personal File'!$C$13))))))</f>
        <v>+0</v>
      </c>
      <c r="E11" s="106" t="str">
        <f t="shared" si="7"/>
        <v>Int (+0)</v>
      </c>
      <c r="F11" s="108" t="s">
        <v>54</v>
      </c>
      <c r="G11" s="108">
        <f t="shared" si="1"/>
        <v>0</v>
      </c>
      <c r="H11" s="92">
        <f t="shared" ca="1" si="8"/>
        <v>5</v>
      </c>
      <c r="I11" s="96">
        <f t="shared" ca="1" si="5"/>
        <v>5</v>
      </c>
      <c r="J11" s="166"/>
    </row>
    <row r="12" spans="1:10" s="7" customFormat="1" ht="16.8" x14ac:dyDescent="0.3">
      <c r="A12" s="121" t="s">
        <v>33</v>
      </c>
      <c r="B12" s="122">
        <v>0</v>
      </c>
      <c r="C12" s="123" t="s">
        <v>23</v>
      </c>
      <c r="D12" s="124" t="str">
        <f>IF(C12="Str",'Personal File'!$C$8,IF(C12="Dex",'Personal File'!$C$9,IF(C12="Con",'Personal File'!$C$10,IF(C12="Int",'Personal File'!$C$11,IF(C12="Wis",'Personal File'!$C$12,IF(C12="Cha",'Personal File'!$C$13))))))</f>
        <v>+0</v>
      </c>
      <c r="E12" s="124" t="str">
        <f t="shared" si="7"/>
        <v>Int (+0)</v>
      </c>
      <c r="F12" s="125" t="s">
        <v>54</v>
      </c>
      <c r="G12" s="125">
        <f t="shared" si="1"/>
        <v>0</v>
      </c>
      <c r="H12" s="92">
        <f t="shared" ca="1" si="8"/>
        <v>20</v>
      </c>
      <c r="I12" s="125">
        <f t="shared" ca="1" si="5"/>
        <v>20</v>
      </c>
      <c r="J12" s="356"/>
    </row>
    <row r="13" spans="1:10" s="8" customFormat="1" ht="16.8" x14ac:dyDescent="0.3">
      <c r="A13" s="442" t="s">
        <v>34</v>
      </c>
      <c r="B13" s="443">
        <v>0</v>
      </c>
      <c r="C13" s="444" t="s">
        <v>21</v>
      </c>
      <c r="D13" s="445" t="str">
        <f>IF(C13="Str",'Personal File'!$C$8,IF(C13="Dex",'Personal File'!$C$9,IF(C13="Con",'Personal File'!$C$10,IF(C13="Int",'Personal File'!$C$11,IF(C13="Wis",'Personal File'!$C$12,IF(C13="Cha",'Personal File'!$C$13))))))</f>
        <v>+3</v>
      </c>
      <c r="E13" s="446" t="str">
        <f t="shared" si="7"/>
        <v>Cha (+3)</v>
      </c>
      <c r="F13" s="447" t="s">
        <v>130</v>
      </c>
      <c r="G13" s="447">
        <f t="shared" si="1"/>
        <v>5</v>
      </c>
      <c r="H13" s="92">
        <f t="shared" ca="1" si="8"/>
        <v>1</v>
      </c>
      <c r="I13" s="447">
        <f t="shared" ca="1" si="5"/>
        <v>6</v>
      </c>
      <c r="J13" s="448"/>
    </row>
    <row r="14" spans="1:10" s="8" customFormat="1" ht="16.8" x14ac:dyDescent="0.3">
      <c r="A14" s="121" t="s">
        <v>35</v>
      </c>
      <c r="B14" s="122">
        <v>0</v>
      </c>
      <c r="C14" s="123" t="s">
        <v>23</v>
      </c>
      <c r="D14" s="124" t="str">
        <f>IF(C14="Str",'Personal File'!$C$8,IF(C14="Dex",'Personal File'!$C$9,IF(C14="Con",'Personal File'!$C$10,IF(C14="Int",'Personal File'!$C$11,IF(C14="Wis",'Personal File'!$C$12,IF(C14="Cha",'Personal File'!$C$13))))))</f>
        <v>+0</v>
      </c>
      <c r="E14" s="124" t="str">
        <f t="shared" si="7"/>
        <v>Int (+0)</v>
      </c>
      <c r="F14" s="125" t="s">
        <v>54</v>
      </c>
      <c r="G14" s="125">
        <f t="shared" si="1"/>
        <v>0</v>
      </c>
      <c r="H14" s="92">
        <f t="shared" ca="1" si="8"/>
        <v>5</v>
      </c>
      <c r="I14" s="125">
        <f t="shared" ca="1" si="5"/>
        <v>5</v>
      </c>
      <c r="J14" s="356"/>
    </row>
    <row r="15" spans="1:10" s="8" customFormat="1" ht="16.8" x14ac:dyDescent="0.3">
      <c r="A15" s="111" t="s">
        <v>36</v>
      </c>
      <c r="B15" s="88">
        <v>0</v>
      </c>
      <c r="C15" s="112" t="s">
        <v>21</v>
      </c>
      <c r="D15" s="113" t="str">
        <f>IF(C15="Str",'Personal File'!$C$8,IF(C15="Dex",'Personal File'!$C$9,IF(C15="Con",'Personal File'!$C$10,IF(C15="Int",'Personal File'!$C$11,IF(C15="Wis",'Personal File'!$C$12,IF(C15="Cha",'Personal File'!$C$13))))))</f>
        <v>+3</v>
      </c>
      <c r="E15" s="114" t="str">
        <f t="shared" si="7"/>
        <v>Cha (+3)</v>
      </c>
      <c r="F15" s="108" t="s">
        <v>54</v>
      </c>
      <c r="G15" s="108">
        <f t="shared" si="1"/>
        <v>3</v>
      </c>
      <c r="H15" s="92">
        <f t="shared" ca="1" si="8"/>
        <v>9</v>
      </c>
      <c r="I15" s="108">
        <f t="shared" ca="1" si="5"/>
        <v>12</v>
      </c>
      <c r="J15" s="241"/>
    </row>
    <row r="16" spans="1:10" s="8" customFormat="1" ht="16.8" x14ac:dyDescent="0.3">
      <c r="A16" s="109" t="s">
        <v>37</v>
      </c>
      <c r="B16" s="88">
        <v>0</v>
      </c>
      <c r="C16" s="110" t="s">
        <v>25</v>
      </c>
      <c r="D16" s="94" t="str">
        <f>IF(C16="Str",'Personal File'!$C$8,IF(C16="Dex",'Personal File'!$C$9,IF(C16="Con",'Personal File'!$C$10,IF(C16="Int",'Personal File'!$C$11,IF(C16="Wis",'Personal File'!$C$12,IF(C16="Cha",'Personal File'!$C$13))))))</f>
        <v>+1</v>
      </c>
      <c r="E16" s="95" t="str">
        <f t="shared" si="7"/>
        <v>Dex (+1)</v>
      </c>
      <c r="F16" s="372">
        <f>SUM(Martial!$D$17:$D$20)</f>
        <v>-5</v>
      </c>
      <c r="G16" s="108">
        <f t="shared" si="1"/>
        <v>-4</v>
      </c>
      <c r="H16" s="92">
        <f t="shared" ca="1" si="8"/>
        <v>9</v>
      </c>
      <c r="I16" s="108">
        <f t="shared" ca="1" si="5"/>
        <v>5</v>
      </c>
      <c r="J16" s="166"/>
    </row>
    <row r="17" spans="1:10" s="8" customFormat="1" ht="16.8" x14ac:dyDescent="0.3">
      <c r="A17" s="132" t="s">
        <v>38</v>
      </c>
      <c r="B17" s="133">
        <v>0</v>
      </c>
      <c r="C17" s="134" t="s">
        <v>23</v>
      </c>
      <c r="D17" s="135" t="str">
        <f>IF(C17="Str",'Personal File'!$C$8,IF(C17="Dex",'Personal File'!$C$9,IF(C17="Con",'Personal File'!$C$10,IF(C17="Int",'Personal File'!$C$11,IF(C17="Wis",'Personal File'!$C$12,IF(C17="Cha",'Personal File'!$C$13))))))</f>
        <v>+0</v>
      </c>
      <c r="E17" s="135" t="str">
        <f t="shared" si="7"/>
        <v>Int (+0)</v>
      </c>
      <c r="F17" s="136" t="s">
        <v>54</v>
      </c>
      <c r="G17" s="136">
        <f t="shared" si="1"/>
        <v>0</v>
      </c>
      <c r="H17" s="92">
        <f t="shared" ca="1" si="8"/>
        <v>13</v>
      </c>
      <c r="I17" s="136">
        <f t="shared" ca="1" si="5"/>
        <v>13</v>
      </c>
      <c r="J17" s="358"/>
    </row>
    <row r="18" spans="1:10" s="8" customFormat="1" ht="16.8" x14ac:dyDescent="0.3">
      <c r="A18" s="111" t="s">
        <v>39</v>
      </c>
      <c r="B18" s="88">
        <v>0</v>
      </c>
      <c r="C18" s="112" t="s">
        <v>21</v>
      </c>
      <c r="D18" s="113" t="str">
        <f>IF(C18="Str",'Personal File'!$C$8,IF(C18="Dex",'Personal File'!$C$9,IF(C18="Con",'Personal File'!$C$10,IF(C18="Int",'Personal File'!$C$11,IF(C18="Wis",'Personal File'!$C$12,IF(C18="Cha",'Personal File'!$C$13))))))</f>
        <v>+3</v>
      </c>
      <c r="E18" s="114" t="str">
        <f t="shared" si="7"/>
        <v>Cha (+3)</v>
      </c>
      <c r="F18" s="108" t="s">
        <v>54</v>
      </c>
      <c r="G18" s="108">
        <f t="shared" si="1"/>
        <v>3</v>
      </c>
      <c r="H18" s="92">
        <f t="shared" ca="1" si="8"/>
        <v>20</v>
      </c>
      <c r="I18" s="108">
        <f t="shared" ca="1" si="5"/>
        <v>23</v>
      </c>
      <c r="J18" s="166"/>
    </row>
    <row r="19" spans="1:10" s="8" customFormat="1" ht="16.8" x14ac:dyDescent="0.3">
      <c r="A19" s="111" t="s">
        <v>10</v>
      </c>
      <c r="B19" s="88">
        <v>0</v>
      </c>
      <c r="C19" s="112" t="s">
        <v>21</v>
      </c>
      <c r="D19" s="113" t="str">
        <f>IF(C19="Str",'Personal File'!$C$8,IF(C19="Dex",'Personal File'!$C$9,IF(C19="Con",'Personal File'!$C$10,IF(C19="Int",'Personal File'!$C$11,IF(C19="Wis",'Personal File'!$C$12,IF(C19="Cha",'Personal File'!$C$13))))))</f>
        <v>+3</v>
      </c>
      <c r="E19" s="113" t="str">
        <f t="shared" si="7"/>
        <v>Cha (+3)</v>
      </c>
      <c r="F19" s="108" t="s">
        <v>54</v>
      </c>
      <c r="G19" s="108">
        <f t="shared" si="1"/>
        <v>3</v>
      </c>
      <c r="H19" s="92">
        <f t="shared" ca="1" si="8"/>
        <v>14</v>
      </c>
      <c r="I19" s="108">
        <f t="shared" ca="1" si="5"/>
        <v>17</v>
      </c>
      <c r="J19" s="166"/>
    </row>
    <row r="20" spans="1:10" s="8" customFormat="1" ht="16.8" x14ac:dyDescent="0.3">
      <c r="A20" s="381" t="s">
        <v>40</v>
      </c>
      <c r="B20" s="118">
        <v>4</v>
      </c>
      <c r="C20" s="382" t="s">
        <v>24</v>
      </c>
      <c r="D20" s="383" t="str">
        <f>IF(C20="Str",'Personal File'!$C$8,IF(C20="Dex",'Personal File'!$C$9,IF(C20="Con",'Personal File'!$C$10,IF(C20="Int",'Personal File'!$C$11,IF(C20="Wis",'Personal File'!$C$12,IF(C20="Cha",'Personal File'!$C$13))))))</f>
        <v>+3</v>
      </c>
      <c r="E20" s="383" t="str">
        <f t="shared" si="7"/>
        <v>Wis (+3)</v>
      </c>
      <c r="F20" s="119" t="s">
        <v>130</v>
      </c>
      <c r="G20" s="119">
        <f t="shared" si="1"/>
        <v>9</v>
      </c>
      <c r="H20" s="92">
        <f t="shared" ca="1" si="8"/>
        <v>2</v>
      </c>
      <c r="I20" s="119">
        <f t="shared" ca="1" si="5"/>
        <v>11</v>
      </c>
      <c r="J20" s="357"/>
    </row>
    <row r="21" spans="1:10" s="8" customFormat="1" ht="16.8" x14ac:dyDescent="0.3">
      <c r="A21" s="109" t="s">
        <v>41</v>
      </c>
      <c r="B21" s="88">
        <v>0</v>
      </c>
      <c r="C21" s="110" t="s">
        <v>25</v>
      </c>
      <c r="D21" s="94" t="str">
        <f>IF(C21="Str",'Personal File'!$C$8,IF(C21="Dex",'Personal File'!$C$9,IF(C21="Con",'Personal File'!$C$10,IF(C21="Int",'Personal File'!$C$11,IF(C21="Wis",'Personal File'!$C$12,IF(C21="Cha",'Personal File'!$C$13))))))</f>
        <v>+1</v>
      </c>
      <c r="E21" s="94" t="str">
        <f t="shared" si="7"/>
        <v>Dex (+1)</v>
      </c>
      <c r="F21" s="372">
        <f>SUM(Martial!$D$17:$D$20)</f>
        <v>-5</v>
      </c>
      <c r="G21" s="108">
        <f t="shared" si="1"/>
        <v>-4</v>
      </c>
      <c r="H21" s="92">
        <f t="shared" ca="1" si="8"/>
        <v>19</v>
      </c>
      <c r="I21" s="108">
        <f t="shared" ca="1" si="5"/>
        <v>15</v>
      </c>
      <c r="J21" s="358"/>
    </row>
    <row r="22" spans="1:10" s="8" customFormat="1" ht="16.8" x14ac:dyDescent="0.3">
      <c r="A22" s="127" t="s">
        <v>42</v>
      </c>
      <c r="B22" s="118">
        <v>3</v>
      </c>
      <c r="C22" s="502" t="s">
        <v>21</v>
      </c>
      <c r="D22" s="503" t="str">
        <f>IF(C22="Str",'Personal File'!$C$8,IF(C22="Dex",'Personal File'!$C$9,IF(C22="Con",'Personal File'!$C$10,IF(C22="Int",'Personal File'!$C$11,IF(C22="Wis",'Personal File'!$C$12,IF(C22="Cha",'Personal File'!$C$13))))))</f>
        <v>+3</v>
      </c>
      <c r="E22" s="129" t="str">
        <f t="shared" si="7"/>
        <v>Cha (+3)</v>
      </c>
      <c r="F22" s="119" t="s">
        <v>54</v>
      </c>
      <c r="G22" s="119">
        <f t="shared" si="1"/>
        <v>6</v>
      </c>
      <c r="H22" s="92">
        <f t="shared" ca="1" si="8"/>
        <v>10</v>
      </c>
      <c r="I22" s="119">
        <f t="shared" ca="1" si="5"/>
        <v>16</v>
      </c>
      <c r="J22" s="357"/>
    </row>
    <row r="23" spans="1:10" s="8" customFormat="1" ht="16.8" x14ac:dyDescent="0.3">
      <c r="A23" s="115" t="s">
        <v>43</v>
      </c>
      <c r="B23" s="88">
        <v>0</v>
      </c>
      <c r="C23" s="116" t="s">
        <v>26</v>
      </c>
      <c r="D23" s="117" t="str">
        <f>IF(C23="Str",'Personal File'!$C$8,IF(C23="Dex",'Personal File'!$C$9,IF(C23="Con",'Personal File'!$C$10,IF(C23="Int",'Personal File'!$C$11,IF(C23="Wis",'Personal File'!$C$12,IF(C23="Cha",'Personal File'!$C$13))))))</f>
        <v>+5</v>
      </c>
      <c r="E23" s="117" t="str">
        <f t="shared" si="7"/>
        <v>Str (+5)</v>
      </c>
      <c r="F23" s="372">
        <f>SUM(Martial!$D$17:$D$20)</f>
        <v>-5</v>
      </c>
      <c r="G23" s="108">
        <f t="shared" si="1"/>
        <v>0</v>
      </c>
      <c r="H23" s="92">
        <f t="shared" ca="1" si="8"/>
        <v>6</v>
      </c>
      <c r="I23" s="108">
        <f t="shared" ca="1" si="5"/>
        <v>6</v>
      </c>
      <c r="J23" s="166"/>
    </row>
    <row r="24" spans="1:10" s="8" customFormat="1" ht="16.8" x14ac:dyDescent="0.3">
      <c r="A24" s="140" t="s">
        <v>141</v>
      </c>
      <c r="B24" s="118">
        <v>1</v>
      </c>
      <c r="C24" s="141" t="s">
        <v>23</v>
      </c>
      <c r="D24" s="142" t="str">
        <f>IF(C24="Str",'Personal File'!$C$8,IF(C24="Dex",'Personal File'!$C$9,IF(C24="Con",'Personal File'!$C$10,IF(C24="Int",'Personal File'!$C$11,IF(C24="Wis",'Personal File'!$C$12,IF(C24="Cha",'Personal File'!$C$13))))))</f>
        <v>+0</v>
      </c>
      <c r="E24" s="142" t="str">
        <f>CONCATENATE(C24," (",D24,")")</f>
        <v>Int (+0)</v>
      </c>
      <c r="F24" s="119" t="s">
        <v>54</v>
      </c>
      <c r="G24" s="119">
        <f t="shared" ref="G24" si="9">B24+D24+F24</f>
        <v>1</v>
      </c>
      <c r="H24" s="92">
        <f t="shared" ca="1" si="8"/>
        <v>5</v>
      </c>
      <c r="I24" s="119">
        <f t="shared" ref="I24" ca="1" si="10">SUM(G24:H24)</f>
        <v>6</v>
      </c>
      <c r="J24" s="120"/>
    </row>
    <row r="25" spans="1:10" s="8" customFormat="1" ht="16.8" x14ac:dyDescent="0.3">
      <c r="A25" s="140" t="s">
        <v>75</v>
      </c>
      <c r="B25" s="118">
        <v>4</v>
      </c>
      <c r="C25" s="141" t="s">
        <v>23</v>
      </c>
      <c r="D25" s="142" t="str">
        <f>IF(C25="Str",'Personal File'!$C$8,IF(C25="Dex",'Personal File'!$C$9,IF(C25="Con",'Personal File'!$C$10,IF(C25="Int",'Personal File'!$C$11,IF(C25="Wis",'Personal File'!$C$12,IF(C25="Cha",'Personal File'!$C$13))))))</f>
        <v>+0</v>
      </c>
      <c r="E25" s="142" t="str">
        <f>CONCATENATE(C25," (",D25,")")</f>
        <v>Int (+0)</v>
      </c>
      <c r="F25" s="119" t="s">
        <v>54</v>
      </c>
      <c r="G25" s="119">
        <f t="shared" ref="G25" si="11">B25+D25+F25</f>
        <v>4</v>
      </c>
      <c r="H25" s="92">
        <f t="shared" ca="1" si="8"/>
        <v>2</v>
      </c>
      <c r="I25" s="119">
        <f t="shared" ref="I25" ca="1" si="12">SUM(G25:H25)</f>
        <v>6</v>
      </c>
      <c r="J25" s="120"/>
    </row>
    <row r="26" spans="1:10" s="8" customFormat="1" ht="16.8" x14ac:dyDescent="0.3">
      <c r="A26" s="137" t="s">
        <v>44</v>
      </c>
      <c r="B26" s="88">
        <v>0</v>
      </c>
      <c r="C26" s="138" t="s">
        <v>24</v>
      </c>
      <c r="D26" s="139" t="str">
        <f>IF(C26="Str",'Personal File'!$C$8,IF(C26="Dex",'Personal File'!$C$9,IF(C26="Con",'Personal File'!$C$10,IF(C26="Int",'Personal File'!$C$11,IF(C26="Wis",'Personal File'!$C$12,IF(C26="Cha",'Personal File'!$C$13))))))</f>
        <v>+3</v>
      </c>
      <c r="E26" s="143" t="str">
        <f t="shared" si="7"/>
        <v>Wis (+3)</v>
      </c>
      <c r="F26" s="108" t="s">
        <v>54</v>
      </c>
      <c r="G26" s="108">
        <f t="shared" si="1"/>
        <v>3</v>
      </c>
      <c r="H26" s="92">
        <f t="shared" ca="1" si="8"/>
        <v>7</v>
      </c>
      <c r="I26" s="108">
        <f t="shared" ca="1" si="5"/>
        <v>10</v>
      </c>
      <c r="J26" s="97"/>
    </row>
    <row r="27" spans="1:10" s="8" customFormat="1" ht="16.8" x14ac:dyDescent="0.3">
      <c r="A27" s="109" t="s">
        <v>11</v>
      </c>
      <c r="B27" s="88">
        <v>0</v>
      </c>
      <c r="C27" s="110" t="s">
        <v>25</v>
      </c>
      <c r="D27" s="94" t="str">
        <f>IF(C27="Str",'Personal File'!$C$8,IF(C27="Dex",'Personal File'!$C$9,IF(C27="Con",'Personal File'!$C$10,IF(C27="Int",'Personal File'!$C$11,IF(C27="Wis",'Personal File'!$C$12,IF(C27="Cha",'Personal File'!$C$13))))))</f>
        <v>+1</v>
      </c>
      <c r="E27" s="94" t="str">
        <f t="shared" si="7"/>
        <v>Dex (+1)</v>
      </c>
      <c r="F27" s="372">
        <f>SUM(Martial!$D$17:$D$20)</f>
        <v>-5</v>
      </c>
      <c r="G27" s="108">
        <f t="shared" si="1"/>
        <v>-4</v>
      </c>
      <c r="H27" s="92">
        <f t="shared" ca="1" si="8"/>
        <v>12</v>
      </c>
      <c r="I27" s="108">
        <f t="shared" ca="1" si="5"/>
        <v>8</v>
      </c>
      <c r="J27" s="97"/>
    </row>
    <row r="28" spans="1:10" s="8" customFormat="1" ht="16.8" x14ac:dyDescent="0.3">
      <c r="A28" s="144" t="s">
        <v>45</v>
      </c>
      <c r="B28" s="122">
        <v>0</v>
      </c>
      <c r="C28" s="145" t="s">
        <v>25</v>
      </c>
      <c r="D28" s="146" t="str">
        <f>IF(C28="Str",'Personal File'!$C$8,IF(C28="Dex",'Personal File'!$C$9,IF(C28="Con",'Personal File'!$C$10,IF(C28="Int",'Personal File'!$C$11,IF(C28="Wis",'Personal File'!$C$12,IF(C28="Cha",'Personal File'!$C$13))))))</f>
        <v>+1</v>
      </c>
      <c r="E28" s="146" t="str">
        <f t="shared" si="7"/>
        <v>Dex (+1)</v>
      </c>
      <c r="F28" s="125" t="s">
        <v>54</v>
      </c>
      <c r="G28" s="125">
        <f t="shared" si="1"/>
        <v>1</v>
      </c>
      <c r="H28" s="92">
        <f t="shared" ca="1" si="8"/>
        <v>3</v>
      </c>
      <c r="I28" s="125">
        <f t="shared" ca="1" si="5"/>
        <v>4</v>
      </c>
      <c r="J28" s="126"/>
    </row>
    <row r="29" spans="1:10" ht="16.8" x14ac:dyDescent="0.3">
      <c r="A29" s="111" t="s">
        <v>76</v>
      </c>
      <c r="B29" s="88">
        <v>0</v>
      </c>
      <c r="C29" s="112" t="s">
        <v>21</v>
      </c>
      <c r="D29" s="113" t="str">
        <f>IF(C29="Str",'Personal File'!$C$8,IF(C29="Dex",'Personal File'!$C$9,IF(C29="Con",'Personal File'!$C$10,IF(C29="Int",'Personal File'!$C$11,IF(C29="Wis",'Personal File'!$C$12,IF(C29="Cha",'Personal File'!$C$13))))))</f>
        <v>+3</v>
      </c>
      <c r="E29" s="113" t="str">
        <f t="shared" si="7"/>
        <v>Cha (+3)</v>
      </c>
      <c r="F29" s="108" t="s">
        <v>54</v>
      </c>
      <c r="G29" s="108">
        <f t="shared" si="1"/>
        <v>3</v>
      </c>
      <c r="H29" s="92">
        <f t="shared" ca="1" si="8"/>
        <v>10</v>
      </c>
      <c r="I29" s="108">
        <f t="shared" ca="1" si="5"/>
        <v>13</v>
      </c>
      <c r="J29" s="97"/>
    </row>
    <row r="30" spans="1:10" ht="16.8" x14ac:dyDescent="0.3">
      <c r="A30" s="147" t="s">
        <v>46</v>
      </c>
      <c r="B30" s="122">
        <v>0</v>
      </c>
      <c r="C30" s="148" t="s">
        <v>24</v>
      </c>
      <c r="D30" s="149" t="str">
        <f>IF(C30="Str",'Personal File'!$C$8,IF(C30="Dex",'Personal File'!$C$9,IF(C30="Con",'Personal File'!$C$10,IF(C30="Int",'Personal File'!$C$11,IF(C30="Wis",'Personal File'!$C$12,IF(C30="Cha",'Personal File'!$C$13))))))</f>
        <v>+3</v>
      </c>
      <c r="E30" s="149" t="str">
        <f t="shared" si="7"/>
        <v>Wis (+3)</v>
      </c>
      <c r="F30" s="125" t="s">
        <v>54</v>
      </c>
      <c r="G30" s="125">
        <f t="shared" si="1"/>
        <v>3</v>
      </c>
      <c r="H30" s="92">
        <f t="shared" ca="1" si="8"/>
        <v>9</v>
      </c>
      <c r="I30" s="125">
        <f t="shared" ca="1" si="5"/>
        <v>12</v>
      </c>
      <c r="J30" s="126"/>
    </row>
    <row r="31" spans="1:10" ht="16.8" x14ac:dyDescent="0.3">
      <c r="A31" s="150" t="s">
        <v>12</v>
      </c>
      <c r="B31" s="151">
        <v>6</v>
      </c>
      <c r="C31" s="152" t="s">
        <v>25</v>
      </c>
      <c r="D31" s="153" t="str">
        <f>IF(C31="Str",'Personal File'!$C$8,IF(C31="Dex",'Personal File'!$C$9,IF(C31="Con",'Personal File'!$C$10,IF(C31="Int",'Personal File'!$C$11,IF(C31="Wis",'Personal File'!$C$12,IF(C31="Cha",'Personal File'!$C$13))))))</f>
        <v>+1</v>
      </c>
      <c r="E31" s="154" t="str">
        <f t="shared" si="7"/>
        <v>Dex (+1)</v>
      </c>
      <c r="F31" s="155" t="s">
        <v>54</v>
      </c>
      <c r="G31" s="155">
        <f t="shared" si="1"/>
        <v>7</v>
      </c>
      <c r="H31" s="92">
        <f t="shared" ca="1" si="8"/>
        <v>9</v>
      </c>
      <c r="I31" s="155">
        <f t="shared" ca="1" si="5"/>
        <v>16</v>
      </c>
      <c r="J31" s="437" t="s">
        <v>213</v>
      </c>
    </row>
    <row r="32" spans="1:10" ht="16.8" x14ac:dyDescent="0.3">
      <c r="A32" s="104" t="s">
        <v>13</v>
      </c>
      <c r="B32" s="88">
        <v>0</v>
      </c>
      <c r="C32" s="105" t="s">
        <v>23</v>
      </c>
      <c r="D32" s="106" t="str">
        <f>IF(C32="Str",'Personal File'!$C$8,IF(C32="Dex",'Personal File'!$C$9,IF(C32="Con",'Personal File'!$C$10,IF(C32="Int",'Personal File'!$C$11,IF(C32="Wis",'Personal File'!$C$12,IF(C32="Cha",'Personal File'!$C$13))))))</f>
        <v>+0</v>
      </c>
      <c r="E32" s="106" t="str">
        <f t="shared" si="7"/>
        <v>Int (+0)</v>
      </c>
      <c r="F32" s="108" t="s">
        <v>54</v>
      </c>
      <c r="G32" s="108">
        <f t="shared" si="1"/>
        <v>0</v>
      </c>
      <c r="H32" s="92">
        <f t="shared" ca="1" si="8"/>
        <v>7</v>
      </c>
      <c r="I32" s="108">
        <f t="shared" ca="1" si="5"/>
        <v>7</v>
      </c>
      <c r="J32" s="97"/>
    </row>
    <row r="33" spans="1:10" ht="16.8" x14ac:dyDescent="0.3">
      <c r="A33" s="157" t="s">
        <v>47</v>
      </c>
      <c r="B33" s="151">
        <v>6</v>
      </c>
      <c r="C33" s="158" t="s">
        <v>24</v>
      </c>
      <c r="D33" s="159" t="str">
        <f>IF(C33="Str",'Personal File'!$C$8,IF(C33="Dex",'Personal File'!$C$9,IF(C33="Con",'Personal File'!$C$10,IF(C33="Int",'Personal File'!$C$11,IF(C33="Wis",'Personal File'!$C$12,IF(C33="Cha",'Personal File'!$C$13))))))</f>
        <v>+3</v>
      </c>
      <c r="E33" s="159" t="str">
        <f t="shared" si="7"/>
        <v>Wis (+3)</v>
      </c>
      <c r="F33" s="155" t="s">
        <v>54</v>
      </c>
      <c r="G33" s="155">
        <f t="shared" si="1"/>
        <v>9</v>
      </c>
      <c r="H33" s="92">
        <f t="shared" ca="1" si="8"/>
        <v>11</v>
      </c>
      <c r="I33" s="155">
        <f t="shared" ca="1" si="5"/>
        <v>20</v>
      </c>
      <c r="J33" s="156"/>
    </row>
    <row r="34" spans="1:10" ht="16.8" x14ac:dyDescent="0.3">
      <c r="A34" s="144" t="s">
        <v>77</v>
      </c>
      <c r="B34" s="122">
        <v>0</v>
      </c>
      <c r="C34" s="145" t="s">
        <v>25</v>
      </c>
      <c r="D34" s="146" t="str">
        <f>IF(C34="Str",'Personal File'!$C$8,IF(C34="Dex",'Personal File'!$C$9,IF(C34="Con",'Personal File'!$C$10,IF(C34="Int",'Personal File'!$C$11,IF(C34="Wis",'Personal File'!$C$12,IF(C34="Cha",'Personal File'!$C$13))))))</f>
        <v>+1</v>
      </c>
      <c r="E34" s="146" t="str">
        <f t="shared" si="7"/>
        <v>Dex (+1)</v>
      </c>
      <c r="F34" s="164">
        <f>SUM(Martial!$D$17:$D$20)</f>
        <v>-5</v>
      </c>
      <c r="G34" s="125">
        <f t="shared" si="1"/>
        <v>-4</v>
      </c>
      <c r="H34" s="92">
        <f t="shared" ca="1" si="8"/>
        <v>12</v>
      </c>
      <c r="I34" s="125">
        <f t="shared" ca="1" si="5"/>
        <v>8</v>
      </c>
      <c r="J34" s="126"/>
    </row>
    <row r="35" spans="1:10" ht="16.8" x14ac:dyDescent="0.3">
      <c r="A35" s="160" t="s">
        <v>74</v>
      </c>
      <c r="B35" s="161">
        <v>0</v>
      </c>
      <c r="C35" s="162" t="s">
        <v>23</v>
      </c>
      <c r="D35" s="163" t="str">
        <f>IF(C35="Str",'Personal File'!$C$8,IF(C35="Dex",'Personal File'!$C$9,IF(C35="Con",'Personal File'!$C$10,IF(C35="Int",'Personal File'!$C$11,IF(C35="Wis",'Personal File'!$C$12,IF(C35="Cha",'Personal File'!$C$13))))))</f>
        <v>+0</v>
      </c>
      <c r="E35" s="163" t="str">
        <f t="shared" si="7"/>
        <v>Int (+0)</v>
      </c>
      <c r="F35" s="164" t="s">
        <v>54</v>
      </c>
      <c r="G35" s="164">
        <f t="shared" si="1"/>
        <v>0</v>
      </c>
      <c r="H35" s="92">
        <f t="shared" ca="1" si="8"/>
        <v>10</v>
      </c>
      <c r="I35" s="164">
        <f t="shared" ca="1" si="5"/>
        <v>10</v>
      </c>
      <c r="J35" s="165"/>
    </row>
    <row r="36" spans="1:10" ht="16.8" x14ac:dyDescent="0.3">
      <c r="A36" s="160" t="s">
        <v>48</v>
      </c>
      <c r="B36" s="161">
        <v>0</v>
      </c>
      <c r="C36" s="162" t="s">
        <v>23</v>
      </c>
      <c r="D36" s="163" t="str">
        <f>IF(C36="Str",'Personal File'!$C$8,IF(C36="Dex",'Personal File'!$C$9,IF(C36="Con",'Personal File'!$C$10,IF(C36="Int",'Personal File'!$C$11,IF(C36="Wis",'Personal File'!$C$12,IF(C36="Cha",'Personal File'!$C$13))))))</f>
        <v>+0</v>
      </c>
      <c r="E36" s="163" t="str">
        <f t="shared" si="7"/>
        <v>Int (+0)</v>
      </c>
      <c r="F36" s="164" t="s">
        <v>54</v>
      </c>
      <c r="G36" s="164">
        <f t="shared" si="1"/>
        <v>0</v>
      </c>
      <c r="H36" s="92">
        <f t="shared" ca="1" si="8"/>
        <v>17</v>
      </c>
      <c r="I36" s="164">
        <f t="shared" ca="1" si="5"/>
        <v>17</v>
      </c>
      <c r="J36" s="165"/>
    </row>
    <row r="37" spans="1:10" ht="16.8" x14ac:dyDescent="0.3">
      <c r="A37" s="137" t="s">
        <v>49</v>
      </c>
      <c r="B37" s="88">
        <v>0</v>
      </c>
      <c r="C37" s="138" t="s">
        <v>24</v>
      </c>
      <c r="D37" s="139" t="str">
        <f>IF(C37="Str",'Personal File'!$C$8,IF(C37="Dex",'Personal File'!$C$9,IF(C37="Con",'Personal File'!$C$10,IF(C37="Int",'Personal File'!$C$11,IF(C37="Wis",'Personal File'!$C$12,IF(C37="Cha",'Personal File'!$C$13))))))</f>
        <v>+3</v>
      </c>
      <c r="E37" s="139" t="str">
        <f t="shared" si="7"/>
        <v>Wis (+3)</v>
      </c>
      <c r="F37" s="108" t="s">
        <v>54</v>
      </c>
      <c r="G37" s="108">
        <f t="shared" si="1"/>
        <v>3</v>
      </c>
      <c r="H37" s="92">
        <f t="shared" ca="1" si="8"/>
        <v>1</v>
      </c>
      <c r="I37" s="108">
        <f t="shared" ca="1" si="5"/>
        <v>4</v>
      </c>
      <c r="J37" s="97"/>
    </row>
    <row r="38" spans="1:10" ht="16.8" x14ac:dyDescent="0.3">
      <c r="A38" s="137" t="s">
        <v>78</v>
      </c>
      <c r="B38" s="88">
        <v>0</v>
      </c>
      <c r="C38" s="138" t="s">
        <v>24</v>
      </c>
      <c r="D38" s="139" t="str">
        <f>IF(C38="Str",'Personal File'!$C$8,IF(C38="Dex",'Personal File'!$C$9,IF(C38="Con",'Personal File'!$C$10,IF(C38="Int",'Personal File'!$C$11,IF(C38="Wis",'Personal File'!$C$12,IF(C38="Cha",'Personal File'!$C$13))))))</f>
        <v>+3</v>
      </c>
      <c r="E38" s="139" t="str">
        <f t="shared" si="7"/>
        <v>Wis (+3)</v>
      </c>
      <c r="F38" s="108" t="s">
        <v>54</v>
      </c>
      <c r="G38" s="108">
        <f t="shared" si="1"/>
        <v>3</v>
      </c>
      <c r="H38" s="92">
        <f t="shared" ca="1" si="8"/>
        <v>12</v>
      </c>
      <c r="I38" s="108">
        <f t="shared" ca="1" si="5"/>
        <v>15</v>
      </c>
      <c r="J38" s="166"/>
    </row>
    <row r="39" spans="1:10" ht="16.8" x14ac:dyDescent="0.3">
      <c r="A39" s="234" t="s">
        <v>14</v>
      </c>
      <c r="B39" s="118">
        <v>1</v>
      </c>
      <c r="C39" s="235" t="s">
        <v>26</v>
      </c>
      <c r="D39" s="236" t="str">
        <f>IF(C39="Str",'Personal File'!$C$8,IF(C39="Dex",'Personal File'!$C$9,IF(C39="Con",'Personal File'!$C$10,IF(C39="Int",'Personal File'!$C$11,IF(C39="Wis",'Personal File'!$C$12,IF(C39="Cha",'Personal File'!$C$13))))))</f>
        <v>+5</v>
      </c>
      <c r="E39" s="236" t="str">
        <f t="shared" si="7"/>
        <v>Str (+5)</v>
      </c>
      <c r="F39" s="119" t="s">
        <v>54</v>
      </c>
      <c r="G39" s="119">
        <f t="shared" si="1"/>
        <v>6</v>
      </c>
      <c r="H39" s="92">
        <f t="shared" ca="1" si="8"/>
        <v>18</v>
      </c>
      <c r="I39" s="119">
        <f t="shared" ca="1" si="5"/>
        <v>24</v>
      </c>
      <c r="J39" s="120"/>
    </row>
    <row r="40" spans="1:10" ht="16.8" x14ac:dyDescent="0.3">
      <c r="A40" s="167" t="s">
        <v>50</v>
      </c>
      <c r="B40" s="161">
        <v>0</v>
      </c>
      <c r="C40" s="168" t="s">
        <v>25</v>
      </c>
      <c r="D40" s="169" t="str">
        <f>IF(C40="Str",'Personal File'!$C$8,IF(C40="Dex",'Personal File'!$C$9,IF(C40="Con",'Personal File'!$C$10,IF(C40="Int",'Personal File'!$C$11,IF(C40="Wis",'Personal File'!$C$12,IF(C40="Cha",'Personal File'!$C$13))))))</f>
        <v>+1</v>
      </c>
      <c r="E40" s="169" t="str">
        <f t="shared" si="7"/>
        <v>Dex (+1)</v>
      </c>
      <c r="F40" s="164">
        <f>SUM(Martial!$D$17:$D$20)</f>
        <v>-5</v>
      </c>
      <c r="G40" s="164">
        <f t="shared" si="1"/>
        <v>-4</v>
      </c>
      <c r="H40" s="92">
        <f t="shared" ca="1" si="8"/>
        <v>6</v>
      </c>
      <c r="I40" s="164">
        <f t="shared" ca="1" si="5"/>
        <v>2</v>
      </c>
      <c r="J40" s="165"/>
    </row>
    <row r="41" spans="1:10" ht="16.8" x14ac:dyDescent="0.3">
      <c r="A41" s="170" t="s">
        <v>51</v>
      </c>
      <c r="B41" s="122">
        <v>0</v>
      </c>
      <c r="C41" s="171" t="s">
        <v>21</v>
      </c>
      <c r="D41" s="172" t="str">
        <f>IF(C41="Str",'Personal File'!$C$8,IF(C41="Dex",'Personal File'!$C$9,IF(C41="Con",'Personal File'!$C$10,IF(C41="Int",'Personal File'!$C$11,IF(C41="Wis",'Personal File'!$C$12,IF(C41="Cha",'Personal File'!$C$13))))))</f>
        <v>+3</v>
      </c>
      <c r="E41" s="172" t="str">
        <f t="shared" si="7"/>
        <v>Cha (+3)</v>
      </c>
      <c r="F41" s="125" t="s">
        <v>54</v>
      </c>
      <c r="G41" s="125">
        <f t="shared" si="1"/>
        <v>3</v>
      </c>
      <c r="H41" s="92">
        <f t="shared" ca="1" si="8"/>
        <v>10</v>
      </c>
      <c r="I41" s="125">
        <f t="shared" ca="1" si="5"/>
        <v>13</v>
      </c>
      <c r="J41" s="126"/>
    </row>
    <row r="42" spans="1:10" ht="17.399999999999999" thickBot="1" x14ac:dyDescent="0.35">
      <c r="A42" s="173" t="s">
        <v>52</v>
      </c>
      <c r="B42" s="174">
        <v>0</v>
      </c>
      <c r="C42" s="175" t="s">
        <v>25</v>
      </c>
      <c r="D42" s="176" t="str">
        <f>IF(C42="Str",'Personal File'!$C$8,IF(C42="Dex",'Personal File'!$C$9,IF(C42="Con",'Personal File'!$C$10,IF(C42="Int",'Personal File'!$C$11,IF(C42="Wis",'Personal File'!$C$12,IF(C42="Cha",'Personal File'!$C$13))))))</f>
        <v>+1</v>
      </c>
      <c r="E42" s="176" t="str">
        <f t="shared" si="7"/>
        <v>Dex (+1)</v>
      </c>
      <c r="F42" s="177" t="s">
        <v>54</v>
      </c>
      <c r="G42" s="177">
        <f t="shared" si="1"/>
        <v>1</v>
      </c>
      <c r="H42" s="178">
        <f t="shared" ca="1" si="8"/>
        <v>8</v>
      </c>
      <c r="I42" s="177">
        <f t="shared" ca="1" si="5"/>
        <v>9</v>
      </c>
      <c r="J42" s="179"/>
    </row>
    <row r="43" spans="1:10" ht="16.2" thickTop="1" x14ac:dyDescent="0.3">
      <c r="A43" s="226"/>
      <c r="B43" s="227">
        <f>SUM(B6:B42)</f>
        <v>32</v>
      </c>
      <c r="C43" s="228"/>
      <c r="D43" s="228"/>
      <c r="E43" s="227">
        <f>SUM(E44:E57)</f>
        <v>32</v>
      </c>
      <c r="F43" s="229" t="s">
        <v>55</v>
      </c>
      <c r="G43" s="228"/>
      <c r="H43" s="228"/>
      <c r="I43" s="228"/>
      <c r="J43" s="226"/>
    </row>
    <row r="44" spans="1:10" x14ac:dyDescent="0.3">
      <c r="A44" s="226"/>
      <c r="B44" s="227"/>
      <c r="C44" s="228"/>
      <c r="D44" s="228"/>
      <c r="E44" s="231">
        <f>4*(2+'Personal File'!$C$11)</f>
        <v>8</v>
      </c>
      <c r="F44" s="230" t="s">
        <v>341</v>
      </c>
      <c r="G44" s="228"/>
      <c r="H44" s="228"/>
      <c r="I44" s="228"/>
      <c r="J44" s="226"/>
    </row>
    <row r="45" spans="1:10" x14ac:dyDescent="0.3">
      <c r="A45" s="226"/>
      <c r="B45" s="227"/>
      <c r="C45" s="228"/>
      <c r="D45" s="228"/>
      <c r="E45" s="231">
        <f>2+'Personal File'!$C$11</f>
        <v>2</v>
      </c>
      <c r="F45" s="230" t="s">
        <v>342</v>
      </c>
      <c r="G45" s="228"/>
      <c r="H45" s="228"/>
      <c r="I45" s="228"/>
      <c r="J45" s="226"/>
    </row>
    <row r="46" spans="1:10" x14ac:dyDescent="0.3">
      <c r="A46" s="226"/>
      <c r="B46" s="227"/>
      <c r="C46" s="228"/>
      <c r="D46" s="228"/>
      <c r="E46" s="231">
        <f>2+'Personal File'!$C$11</f>
        <v>2</v>
      </c>
      <c r="F46" s="230" t="s">
        <v>343</v>
      </c>
      <c r="G46" s="228"/>
      <c r="H46" s="228"/>
      <c r="I46" s="228"/>
      <c r="J46" s="226"/>
    </row>
    <row r="47" spans="1:10" x14ac:dyDescent="0.3">
      <c r="A47" s="226"/>
      <c r="B47" s="227"/>
      <c r="C47" s="228"/>
      <c r="D47" s="228"/>
      <c r="E47" s="231">
        <f>2+'Personal File'!$C$11</f>
        <v>2</v>
      </c>
      <c r="F47" s="230" t="s">
        <v>344</v>
      </c>
      <c r="G47" s="228"/>
      <c r="H47" s="228"/>
      <c r="I47" s="228"/>
      <c r="J47" s="226"/>
    </row>
    <row r="48" spans="1:10" x14ac:dyDescent="0.3">
      <c r="A48" s="226"/>
      <c r="B48" s="227"/>
      <c r="C48" s="228"/>
      <c r="D48" s="228"/>
      <c r="E48" s="231">
        <f>2+'Personal File'!$C$11</f>
        <v>2</v>
      </c>
      <c r="F48" s="230" t="s">
        <v>345</v>
      </c>
      <c r="G48" s="228"/>
      <c r="H48" s="228"/>
      <c r="I48" s="228"/>
      <c r="J48" s="226"/>
    </row>
    <row r="49" spans="1:10" x14ac:dyDescent="0.3">
      <c r="A49" s="226"/>
      <c r="B49" s="227"/>
      <c r="C49" s="228"/>
      <c r="D49" s="228"/>
      <c r="E49" s="231">
        <f>2+'Personal File'!$C$11</f>
        <v>2</v>
      </c>
      <c r="F49" s="230" t="s">
        <v>346</v>
      </c>
      <c r="G49" s="228"/>
      <c r="H49" s="228"/>
      <c r="I49" s="228"/>
      <c r="J49" s="226"/>
    </row>
    <row r="50" spans="1:10" x14ac:dyDescent="0.3">
      <c r="A50" s="226"/>
      <c r="B50" s="227"/>
      <c r="C50" s="228"/>
      <c r="D50" s="228"/>
      <c r="E50" s="231">
        <f>2+'Personal File'!$C$11</f>
        <v>2</v>
      </c>
      <c r="F50" s="230" t="s">
        <v>347</v>
      </c>
      <c r="G50" s="228"/>
      <c r="H50" s="228"/>
      <c r="I50" s="228"/>
      <c r="J50" s="226"/>
    </row>
    <row r="51" spans="1:10" x14ac:dyDescent="0.3">
      <c r="A51" s="226"/>
      <c r="B51" s="227"/>
      <c r="C51" s="228"/>
      <c r="D51" s="228"/>
      <c r="E51" s="231">
        <f>2+'Personal File'!$C$11</f>
        <v>2</v>
      </c>
      <c r="F51" s="230" t="s">
        <v>348</v>
      </c>
      <c r="G51" s="228"/>
      <c r="H51" s="228"/>
      <c r="I51" s="228"/>
      <c r="J51" s="226"/>
    </row>
    <row r="52" spans="1:10" x14ac:dyDescent="0.3">
      <c r="A52" s="226"/>
      <c r="B52" s="227"/>
      <c r="C52" s="228"/>
      <c r="D52" s="228"/>
      <c r="E52" s="231">
        <f>2+'Personal File'!$C$11</f>
        <v>2</v>
      </c>
      <c r="F52" s="230" t="s">
        <v>349</v>
      </c>
      <c r="G52" s="228"/>
      <c r="H52" s="228"/>
      <c r="I52" s="228"/>
      <c r="J52" s="226"/>
    </row>
    <row r="53" spans="1:10" x14ac:dyDescent="0.3">
      <c r="A53" s="226"/>
      <c r="B53" s="227"/>
      <c r="C53" s="228"/>
      <c r="D53" s="228"/>
      <c r="E53" s="231">
        <f>2+'Personal File'!$C$11</f>
        <v>2</v>
      </c>
      <c r="F53" s="230" t="s">
        <v>350</v>
      </c>
      <c r="G53" s="228"/>
      <c r="H53" s="228"/>
      <c r="I53" s="228"/>
      <c r="J53" s="226"/>
    </row>
    <row r="54" spans="1:10" x14ac:dyDescent="0.3">
      <c r="A54" s="226"/>
      <c r="B54" s="227"/>
      <c r="C54" s="228"/>
      <c r="D54" s="228"/>
      <c r="E54" s="231">
        <f>2+'Personal File'!$C$11</f>
        <v>2</v>
      </c>
      <c r="F54" s="230" t="s">
        <v>351</v>
      </c>
      <c r="G54" s="228"/>
      <c r="H54" s="228"/>
      <c r="I54" s="228"/>
      <c r="J54" s="226"/>
    </row>
    <row r="55" spans="1:10" x14ac:dyDescent="0.3">
      <c r="A55" s="226"/>
      <c r="B55" s="227"/>
      <c r="C55" s="228"/>
      <c r="D55" s="228"/>
      <c r="E55" s="231">
        <f>2+'Personal File'!$C$11</f>
        <v>2</v>
      </c>
      <c r="F55" s="230" t="s">
        <v>352</v>
      </c>
      <c r="G55" s="228"/>
      <c r="H55" s="228"/>
      <c r="I55" s="228"/>
      <c r="J55" s="226"/>
    </row>
    <row r="56" spans="1:10" x14ac:dyDescent="0.3">
      <c r="A56" s="226"/>
      <c r="B56" s="227"/>
      <c r="C56" s="228"/>
      <c r="D56" s="228"/>
      <c r="E56" s="231">
        <f>2+'Personal File'!$C$11</f>
        <v>2</v>
      </c>
      <c r="F56" s="230" t="s">
        <v>353</v>
      </c>
      <c r="G56" s="228"/>
      <c r="H56" s="228"/>
      <c r="I56" s="228"/>
      <c r="J56" s="226"/>
    </row>
    <row r="57" spans="1:10" x14ac:dyDescent="0.3">
      <c r="A57" s="226"/>
      <c r="B57" s="227"/>
      <c r="C57" s="228"/>
      <c r="D57" s="228"/>
      <c r="E57" s="231"/>
      <c r="F57" s="230"/>
      <c r="G57" s="228"/>
      <c r="H57" s="228"/>
      <c r="I57" s="228"/>
      <c r="J57" s="226"/>
    </row>
    <row r="58" spans="1:10" x14ac:dyDescent="0.3">
      <c r="A58" s="232"/>
      <c r="B58" s="232"/>
      <c r="C58" s="233"/>
      <c r="D58" s="233"/>
      <c r="E58" s="233"/>
      <c r="F58" s="233"/>
      <c r="G58" s="233"/>
      <c r="H58" s="233"/>
      <c r="I58" s="233"/>
      <c r="J58" s="232"/>
    </row>
    <row r="59" spans="1:10" x14ac:dyDescent="0.3">
      <c r="A59" s="232"/>
      <c r="B59" s="232"/>
      <c r="C59" s="233"/>
      <c r="D59" s="233"/>
      <c r="E59" s="233"/>
      <c r="F59" s="233"/>
      <c r="G59" s="233"/>
      <c r="H59" s="233"/>
      <c r="I59" s="233"/>
      <c r="J59" s="232"/>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showGridLines="0" workbookViewId="0">
      <pane ySplit="2" topLeftCell="A3" activePane="bottomLeft" state="frozen"/>
      <selection pane="bottomLeft" activeCell="A3" sqref="A3"/>
    </sheetView>
  </sheetViews>
  <sheetFormatPr defaultColWidth="13" defaultRowHeight="15.6" x14ac:dyDescent="0.3"/>
  <cols>
    <col min="1" max="1" width="26.296875" style="84" bestFit="1" customWidth="1"/>
    <col min="2" max="2" width="6.19921875" style="84" bestFit="1" customWidth="1"/>
    <col min="3" max="3" width="13.59765625" style="83" bestFit="1" customWidth="1"/>
    <col min="4" max="4" width="12.5" style="83" bestFit="1" customWidth="1"/>
    <col min="5" max="5" width="7.296875" style="83" bestFit="1" customWidth="1"/>
    <col min="6" max="7" width="13.19921875" style="83" bestFit="1" customWidth="1"/>
    <col min="8" max="8" width="21.69921875" style="84" bestFit="1" customWidth="1"/>
    <col min="9" max="9" width="5.5" style="73" bestFit="1" customWidth="1"/>
    <col min="10" max="16384" width="13" style="73"/>
  </cols>
  <sheetData>
    <row r="1" spans="1:9" ht="23.4" thickBot="1" x14ac:dyDescent="0.35">
      <c r="A1" s="249" t="s">
        <v>311</v>
      </c>
      <c r="B1" s="181"/>
      <c r="C1" s="181"/>
      <c r="D1" s="181"/>
      <c r="E1" s="181"/>
      <c r="F1" s="181"/>
      <c r="G1" s="181"/>
      <c r="H1" s="181"/>
    </row>
    <row r="2" spans="1:9" s="14" customFormat="1" ht="16.8" x14ac:dyDescent="0.3">
      <c r="A2" s="182" t="s">
        <v>62</v>
      </c>
      <c r="B2" s="183" t="s">
        <v>0</v>
      </c>
      <c r="C2" s="183" t="s">
        <v>83</v>
      </c>
      <c r="D2" s="184" t="s">
        <v>84</v>
      </c>
      <c r="E2" s="184" t="s">
        <v>85</v>
      </c>
      <c r="F2" s="183" t="s">
        <v>86</v>
      </c>
      <c r="G2" s="183" t="s">
        <v>87</v>
      </c>
      <c r="H2" s="183" t="s">
        <v>199</v>
      </c>
      <c r="I2" s="185" t="s">
        <v>200</v>
      </c>
    </row>
    <row r="3" spans="1:9" ht="16.8" x14ac:dyDescent="0.3">
      <c r="A3" s="391" t="s">
        <v>265</v>
      </c>
      <c r="B3" s="237">
        <v>1</v>
      </c>
      <c r="C3" s="238" t="s">
        <v>100</v>
      </c>
      <c r="D3" s="239" t="s">
        <v>90</v>
      </c>
      <c r="E3" s="317" t="s">
        <v>91</v>
      </c>
      <c r="F3" s="240" t="s">
        <v>249</v>
      </c>
      <c r="G3" s="240" t="s">
        <v>93</v>
      </c>
      <c r="H3" s="240" t="s">
        <v>266</v>
      </c>
      <c r="I3" s="131">
        <v>125</v>
      </c>
    </row>
    <row r="4" spans="1:9" ht="16.8" x14ac:dyDescent="0.3">
      <c r="A4" s="391" t="s">
        <v>312</v>
      </c>
      <c r="B4" s="237">
        <v>1</v>
      </c>
      <c r="C4" s="238" t="s">
        <v>169</v>
      </c>
      <c r="D4" s="239" t="s">
        <v>109</v>
      </c>
      <c r="E4" s="317" t="s">
        <v>91</v>
      </c>
      <c r="F4" s="240" t="s">
        <v>110</v>
      </c>
      <c r="G4" s="240" t="s">
        <v>96</v>
      </c>
      <c r="H4" s="240" t="s">
        <v>201</v>
      </c>
      <c r="I4" s="241">
        <v>205</v>
      </c>
    </row>
    <row r="5" spans="1:9" ht="16.8" x14ac:dyDescent="0.3">
      <c r="A5" s="391" t="s">
        <v>313</v>
      </c>
      <c r="B5" s="237">
        <v>1</v>
      </c>
      <c r="C5" s="238" t="s">
        <v>168</v>
      </c>
      <c r="D5" s="239" t="s">
        <v>111</v>
      </c>
      <c r="E5" s="317" t="s">
        <v>91</v>
      </c>
      <c r="F5" s="240" t="s">
        <v>95</v>
      </c>
      <c r="G5" s="240" t="s">
        <v>93</v>
      </c>
      <c r="H5" s="240" t="s">
        <v>201</v>
      </c>
      <c r="I5" s="131">
        <v>205</v>
      </c>
    </row>
    <row r="6" spans="1:9" ht="16.8" x14ac:dyDescent="0.3">
      <c r="A6" s="391" t="s">
        <v>314</v>
      </c>
      <c r="B6" s="237">
        <v>1</v>
      </c>
      <c r="C6" s="238" t="s">
        <v>168</v>
      </c>
      <c r="D6" s="239" t="s">
        <v>90</v>
      </c>
      <c r="E6" s="239" t="s">
        <v>91</v>
      </c>
      <c r="F6" s="240" t="s">
        <v>95</v>
      </c>
      <c r="G6" s="240" t="s">
        <v>96</v>
      </c>
      <c r="H6" s="240" t="s">
        <v>201</v>
      </c>
      <c r="I6" s="241">
        <v>205</v>
      </c>
    </row>
    <row r="7" spans="1:9" ht="16.8" x14ac:dyDescent="0.3">
      <c r="A7" s="391" t="s">
        <v>236</v>
      </c>
      <c r="B7" s="237">
        <v>1</v>
      </c>
      <c r="C7" s="238" t="s">
        <v>168</v>
      </c>
      <c r="D7" s="453" t="s">
        <v>90</v>
      </c>
      <c r="E7" s="317" t="s">
        <v>91</v>
      </c>
      <c r="F7" s="454" t="s">
        <v>104</v>
      </c>
      <c r="G7" s="240" t="s">
        <v>101</v>
      </c>
      <c r="H7" s="240" t="s">
        <v>245</v>
      </c>
      <c r="I7" s="97">
        <v>144</v>
      </c>
    </row>
    <row r="8" spans="1:9" ht="16.8" x14ac:dyDescent="0.3">
      <c r="A8" s="391" t="s">
        <v>88</v>
      </c>
      <c r="B8" s="237">
        <v>1</v>
      </c>
      <c r="C8" s="238" t="s">
        <v>89</v>
      </c>
      <c r="D8" s="239" t="s">
        <v>90</v>
      </c>
      <c r="E8" s="317" t="s">
        <v>91</v>
      </c>
      <c r="F8" s="240" t="s">
        <v>92</v>
      </c>
      <c r="G8" s="240" t="s">
        <v>93</v>
      </c>
      <c r="H8" s="240" t="s">
        <v>201</v>
      </c>
      <c r="I8" s="131">
        <v>215</v>
      </c>
    </row>
    <row r="9" spans="1:9" ht="16.8" x14ac:dyDescent="0.3">
      <c r="A9" s="391" t="s">
        <v>310</v>
      </c>
      <c r="B9" s="237">
        <v>1</v>
      </c>
      <c r="C9" s="238" t="s">
        <v>334</v>
      </c>
      <c r="D9" s="239" t="s">
        <v>90</v>
      </c>
      <c r="E9" s="317" t="s">
        <v>91</v>
      </c>
      <c r="F9" s="240" t="s">
        <v>95</v>
      </c>
      <c r="G9" s="240" t="s">
        <v>93</v>
      </c>
      <c r="H9" s="240" t="s">
        <v>201</v>
      </c>
      <c r="I9" s="131">
        <v>216</v>
      </c>
    </row>
    <row r="10" spans="1:9" ht="16.8" x14ac:dyDescent="0.3">
      <c r="A10" s="391" t="s">
        <v>97</v>
      </c>
      <c r="B10" s="237">
        <v>1</v>
      </c>
      <c r="C10" s="238" t="s">
        <v>98</v>
      </c>
      <c r="D10" s="239" t="s">
        <v>90</v>
      </c>
      <c r="E10" s="317" t="s">
        <v>91</v>
      </c>
      <c r="F10" s="240" t="s">
        <v>92</v>
      </c>
      <c r="G10" s="240" t="s">
        <v>93</v>
      </c>
      <c r="H10" s="240" t="s">
        <v>201</v>
      </c>
      <c r="I10" s="131">
        <v>219</v>
      </c>
    </row>
    <row r="11" spans="1:9" ht="16.8" x14ac:dyDescent="0.3">
      <c r="A11" s="391" t="s">
        <v>118</v>
      </c>
      <c r="B11" s="237">
        <v>1</v>
      </c>
      <c r="C11" s="238" t="s">
        <v>98</v>
      </c>
      <c r="D11" s="239" t="s">
        <v>107</v>
      </c>
      <c r="E11" s="392" t="s">
        <v>91</v>
      </c>
      <c r="F11" s="240" t="s">
        <v>172</v>
      </c>
      <c r="G11" s="240" t="s">
        <v>93</v>
      </c>
      <c r="H11" s="240" t="s">
        <v>201</v>
      </c>
      <c r="I11" s="131">
        <v>220</v>
      </c>
    </row>
    <row r="12" spans="1:9" ht="16.8" x14ac:dyDescent="0.3">
      <c r="A12" s="391" t="s">
        <v>113</v>
      </c>
      <c r="B12" s="237">
        <v>1</v>
      </c>
      <c r="C12" s="238" t="s">
        <v>100</v>
      </c>
      <c r="D12" s="239" t="s">
        <v>109</v>
      </c>
      <c r="E12" s="317" t="s">
        <v>91</v>
      </c>
      <c r="F12" s="240" t="s">
        <v>104</v>
      </c>
      <c r="G12" s="240" t="s">
        <v>99</v>
      </c>
      <c r="H12" s="240" t="s">
        <v>201</v>
      </c>
      <c r="I12" s="241">
        <v>224</v>
      </c>
    </row>
    <row r="13" spans="1:9" ht="16.8" x14ac:dyDescent="0.3">
      <c r="A13" s="391" t="s">
        <v>132</v>
      </c>
      <c r="B13" s="237">
        <v>1</v>
      </c>
      <c r="C13" s="238" t="s">
        <v>100</v>
      </c>
      <c r="D13" s="239" t="s">
        <v>90</v>
      </c>
      <c r="E13" s="239" t="s">
        <v>91</v>
      </c>
      <c r="F13" s="240" t="s">
        <v>104</v>
      </c>
      <c r="G13" s="240" t="s">
        <v>123</v>
      </c>
      <c r="H13" s="240" t="s">
        <v>202</v>
      </c>
      <c r="I13" s="241">
        <v>163</v>
      </c>
    </row>
    <row r="14" spans="1:9" ht="16.8" x14ac:dyDescent="0.3">
      <c r="A14" s="391" t="s">
        <v>114</v>
      </c>
      <c r="B14" s="237">
        <v>1</v>
      </c>
      <c r="C14" s="238" t="s">
        <v>106</v>
      </c>
      <c r="D14" s="239" t="s">
        <v>90</v>
      </c>
      <c r="E14" s="317" t="s">
        <v>91</v>
      </c>
      <c r="F14" s="240" t="s">
        <v>95</v>
      </c>
      <c r="G14" s="240" t="s">
        <v>115</v>
      </c>
      <c r="H14" s="240" t="s">
        <v>201</v>
      </c>
      <c r="I14" s="131">
        <v>226</v>
      </c>
    </row>
    <row r="15" spans="1:9" ht="16.8" x14ac:dyDescent="0.3">
      <c r="A15" s="391" t="s">
        <v>255</v>
      </c>
      <c r="B15" s="237">
        <v>1</v>
      </c>
      <c r="C15" s="238" t="s">
        <v>89</v>
      </c>
      <c r="D15" s="239" t="s">
        <v>246</v>
      </c>
      <c r="E15" s="317" t="s">
        <v>91</v>
      </c>
      <c r="F15" s="240" t="s">
        <v>95</v>
      </c>
      <c r="G15" s="240" t="s">
        <v>231</v>
      </c>
      <c r="H15" s="240" t="s">
        <v>202</v>
      </c>
      <c r="I15" s="131">
        <v>166</v>
      </c>
    </row>
    <row r="16" spans="1:9" ht="16.8" x14ac:dyDescent="0.3">
      <c r="A16" s="391" t="s">
        <v>237</v>
      </c>
      <c r="B16" s="237">
        <v>1</v>
      </c>
      <c r="C16" s="238" t="s">
        <v>98</v>
      </c>
      <c r="D16" s="453" t="s">
        <v>246</v>
      </c>
      <c r="E16" s="317" t="s">
        <v>177</v>
      </c>
      <c r="F16" s="454" t="s">
        <v>104</v>
      </c>
      <c r="G16" s="240" t="s">
        <v>112</v>
      </c>
      <c r="H16" s="240" t="s">
        <v>245</v>
      </c>
      <c r="I16" s="97">
        <v>150</v>
      </c>
    </row>
    <row r="17" spans="1:9" ht="16.8" x14ac:dyDescent="0.3">
      <c r="A17" s="391" t="s">
        <v>129</v>
      </c>
      <c r="B17" s="237">
        <v>1</v>
      </c>
      <c r="C17" s="238" t="s">
        <v>89</v>
      </c>
      <c r="D17" s="239" t="s">
        <v>90</v>
      </c>
      <c r="E17" s="239" t="s">
        <v>91</v>
      </c>
      <c r="F17" s="240" t="s">
        <v>95</v>
      </c>
      <c r="G17" s="240" t="s">
        <v>93</v>
      </c>
      <c r="H17" s="240" t="s">
        <v>201</v>
      </c>
      <c r="I17" s="131">
        <v>272</v>
      </c>
    </row>
    <row r="18" spans="1:9" ht="16.8" x14ac:dyDescent="0.3">
      <c r="A18" s="391" t="s">
        <v>116</v>
      </c>
      <c r="B18" s="237">
        <v>1</v>
      </c>
      <c r="C18" s="238" t="s">
        <v>168</v>
      </c>
      <c r="D18" s="239" t="s">
        <v>117</v>
      </c>
      <c r="E18" s="317" t="s">
        <v>91</v>
      </c>
      <c r="F18" s="240" t="s">
        <v>95</v>
      </c>
      <c r="G18" s="240" t="s">
        <v>96</v>
      </c>
      <c r="H18" s="240" t="s">
        <v>201</v>
      </c>
      <c r="I18" s="456">
        <v>251</v>
      </c>
    </row>
    <row r="19" spans="1:9" ht="16.8" x14ac:dyDescent="0.3">
      <c r="A19" s="391" t="s">
        <v>316</v>
      </c>
      <c r="B19" s="237">
        <v>1</v>
      </c>
      <c r="C19" s="238" t="s">
        <v>106</v>
      </c>
      <c r="D19" s="239" t="s">
        <v>107</v>
      </c>
      <c r="E19" s="239" t="s">
        <v>91</v>
      </c>
      <c r="F19" s="240" t="s">
        <v>95</v>
      </c>
      <c r="G19" s="240" t="s">
        <v>96</v>
      </c>
      <c r="H19" s="240" t="s">
        <v>201</v>
      </c>
      <c r="I19" s="131">
        <v>266</v>
      </c>
    </row>
    <row r="20" spans="1:9" ht="16.8" x14ac:dyDescent="0.3">
      <c r="A20" s="391" t="s">
        <v>215</v>
      </c>
      <c r="B20" s="237">
        <v>1</v>
      </c>
      <c r="C20" s="238" t="s">
        <v>106</v>
      </c>
      <c r="D20" s="239" t="s">
        <v>107</v>
      </c>
      <c r="E20" s="239" t="s">
        <v>91</v>
      </c>
      <c r="F20" s="240" t="s">
        <v>95</v>
      </c>
      <c r="G20" s="240" t="s">
        <v>96</v>
      </c>
      <c r="H20" s="240" t="s">
        <v>201</v>
      </c>
      <c r="I20" s="131">
        <v>266</v>
      </c>
    </row>
    <row r="21" spans="1:9" ht="16.8" x14ac:dyDescent="0.3">
      <c r="A21" s="391" t="s">
        <v>102</v>
      </c>
      <c r="B21" s="237">
        <v>1</v>
      </c>
      <c r="C21" s="238" t="s">
        <v>94</v>
      </c>
      <c r="D21" s="239" t="s">
        <v>103</v>
      </c>
      <c r="E21" s="239" t="s">
        <v>91</v>
      </c>
      <c r="F21" s="240" t="s">
        <v>104</v>
      </c>
      <c r="G21" s="240" t="s">
        <v>101</v>
      </c>
      <c r="H21" s="240" t="s">
        <v>201</v>
      </c>
      <c r="I21" s="131">
        <v>269</v>
      </c>
    </row>
    <row r="22" spans="1:9" ht="16.8" x14ac:dyDescent="0.3">
      <c r="A22" s="391" t="s">
        <v>238</v>
      </c>
      <c r="B22" s="237">
        <v>1</v>
      </c>
      <c r="C22" s="452" t="s">
        <v>106</v>
      </c>
      <c r="D22" s="453" t="s">
        <v>109</v>
      </c>
      <c r="E22" s="317" t="s">
        <v>91</v>
      </c>
      <c r="F22" s="454" t="s">
        <v>95</v>
      </c>
      <c r="G22" s="454" t="s">
        <v>101</v>
      </c>
      <c r="H22" s="454" t="s">
        <v>247</v>
      </c>
      <c r="I22" s="131">
        <v>104</v>
      </c>
    </row>
    <row r="23" spans="1:9" ht="16.8" x14ac:dyDescent="0.3">
      <c r="A23" s="391" t="s">
        <v>105</v>
      </c>
      <c r="B23" s="237">
        <v>1</v>
      </c>
      <c r="C23" s="238" t="s">
        <v>106</v>
      </c>
      <c r="D23" s="239" t="s">
        <v>107</v>
      </c>
      <c r="E23" s="239" t="s">
        <v>91</v>
      </c>
      <c r="F23" s="240" t="s">
        <v>95</v>
      </c>
      <c r="G23" s="240" t="s">
        <v>99</v>
      </c>
      <c r="H23" s="240" t="s">
        <v>201</v>
      </c>
      <c r="I23" s="131">
        <v>272</v>
      </c>
    </row>
    <row r="24" spans="1:9" ht="16.8" x14ac:dyDescent="0.3">
      <c r="A24" s="391" t="s">
        <v>176</v>
      </c>
      <c r="B24" s="237">
        <v>1</v>
      </c>
      <c r="C24" s="238" t="s">
        <v>168</v>
      </c>
      <c r="D24" s="239" t="s">
        <v>90</v>
      </c>
      <c r="E24" s="392" t="s">
        <v>177</v>
      </c>
      <c r="F24" s="240" t="s">
        <v>104</v>
      </c>
      <c r="G24" s="240" t="s">
        <v>112</v>
      </c>
      <c r="H24" s="240" t="s">
        <v>204</v>
      </c>
      <c r="I24" s="131">
        <v>176</v>
      </c>
    </row>
    <row r="25" spans="1:9" ht="16.8" x14ac:dyDescent="0.3">
      <c r="A25" s="391" t="s">
        <v>264</v>
      </c>
      <c r="B25" s="237">
        <v>1</v>
      </c>
      <c r="C25" s="238" t="s">
        <v>168</v>
      </c>
      <c r="D25" s="239" t="s">
        <v>90</v>
      </c>
      <c r="E25" s="317" t="s">
        <v>91</v>
      </c>
      <c r="F25" s="240" t="s">
        <v>104</v>
      </c>
      <c r="G25" s="240" t="s">
        <v>262</v>
      </c>
      <c r="H25" s="240" t="s">
        <v>263</v>
      </c>
      <c r="I25" s="131">
        <v>72</v>
      </c>
    </row>
    <row r="26" spans="1:9" ht="16.8" x14ac:dyDescent="0.3">
      <c r="A26" s="391" t="s">
        <v>124</v>
      </c>
      <c r="B26" s="237">
        <v>1</v>
      </c>
      <c r="C26" s="238" t="s">
        <v>89</v>
      </c>
      <c r="D26" s="239" t="s">
        <v>90</v>
      </c>
      <c r="E26" s="392" t="s">
        <v>91</v>
      </c>
      <c r="F26" s="240" t="s">
        <v>173</v>
      </c>
      <c r="G26" s="240" t="s">
        <v>123</v>
      </c>
      <c r="H26" s="240" t="s">
        <v>203</v>
      </c>
      <c r="I26" s="131">
        <v>128</v>
      </c>
    </row>
    <row r="27" spans="1:9" ht="16.8" x14ac:dyDescent="0.3">
      <c r="A27" s="391" t="s">
        <v>235</v>
      </c>
      <c r="B27" s="237">
        <v>1</v>
      </c>
      <c r="C27" s="238" t="s">
        <v>168</v>
      </c>
      <c r="D27" s="239" t="s">
        <v>90</v>
      </c>
      <c r="E27" s="317" t="s">
        <v>91</v>
      </c>
      <c r="F27" s="240" t="s">
        <v>95</v>
      </c>
      <c r="G27" s="240" t="s">
        <v>231</v>
      </c>
      <c r="H27" s="240" t="s">
        <v>202</v>
      </c>
      <c r="I27" s="131">
        <v>184</v>
      </c>
    </row>
    <row r="28" spans="1:9" ht="16.8" x14ac:dyDescent="0.3">
      <c r="A28" s="247" t="s">
        <v>108</v>
      </c>
      <c r="B28" s="242">
        <v>1</v>
      </c>
      <c r="C28" s="243" t="s">
        <v>168</v>
      </c>
      <c r="D28" s="244" t="s">
        <v>109</v>
      </c>
      <c r="E28" s="244" t="s">
        <v>91</v>
      </c>
      <c r="F28" s="245" t="s">
        <v>95</v>
      </c>
      <c r="G28" s="245" t="s">
        <v>99</v>
      </c>
      <c r="H28" s="245" t="s">
        <v>201</v>
      </c>
      <c r="I28" s="246">
        <v>298</v>
      </c>
    </row>
    <row r="29" spans="1:9" ht="16.8" x14ac:dyDescent="0.3">
      <c r="A29" s="391" t="s">
        <v>239</v>
      </c>
      <c r="B29" s="237">
        <v>2</v>
      </c>
      <c r="C29" s="238" t="s">
        <v>168</v>
      </c>
      <c r="D29" s="453" t="s">
        <v>111</v>
      </c>
      <c r="E29" s="458" t="s">
        <v>91</v>
      </c>
      <c r="F29" s="454" t="s">
        <v>95</v>
      </c>
      <c r="G29" s="454" t="s">
        <v>123</v>
      </c>
      <c r="H29" s="454" t="s">
        <v>248</v>
      </c>
      <c r="I29" s="97">
        <v>48</v>
      </c>
    </row>
    <row r="30" spans="1:9" ht="16.8" x14ac:dyDescent="0.3">
      <c r="A30" s="391" t="s">
        <v>315</v>
      </c>
      <c r="B30" s="237">
        <v>2</v>
      </c>
      <c r="C30" s="238" t="s">
        <v>98</v>
      </c>
      <c r="D30" s="239" t="s">
        <v>90</v>
      </c>
      <c r="E30" s="317" t="s">
        <v>91</v>
      </c>
      <c r="F30" s="240" t="s">
        <v>249</v>
      </c>
      <c r="G30" s="240" t="s">
        <v>8</v>
      </c>
      <c r="H30" s="240" t="s">
        <v>250</v>
      </c>
      <c r="I30" s="131">
        <v>81</v>
      </c>
    </row>
    <row r="31" spans="1:9" ht="16.8" x14ac:dyDescent="0.3">
      <c r="A31" s="391" t="s">
        <v>178</v>
      </c>
      <c r="B31" s="237">
        <v>2</v>
      </c>
      <c r="C31" s="238" t="s">
        <v>168</v>
      </c>
      <c r="D31" s="239" t="s">
        <v>107</v>
      </c>
      <c r="E31" s="317" t="s">
        <v>91</v>
      </c>
      <c r="F31" s="240" t="s">
        <v>95</v>
      </c>
      <c r="G31" s="240" t="s">
        <v>96</v>
      </c>
      <c r="H31" s="240" t="s">
        <v>201</v>
      </c>
      <c r="I31" s="131">
        <v>207</v>
      </c>
    </row>
    <row r="32" spans="1:9" ht="16.8" x14ac:dyDescent="0.3">
      <c r="A32" s="391" t="s">
        <v>240</v>
      </c>
      <c r="B32" s="237">
        <v>2</v>
      </c>
      <c r="C32" s="459" t="s">
        <v>106</v>
      </c>
      <c r="D32" s="460" t="s">
        <v>90</v>
      </c>
      <c r="E32" s="461" t="s">
        <v>91</v>
      </c>
      <c r="F32" s="461" t="s">
        <v>249</v>
      </c>
      <c r="G32" s="461" t="s">
        <v>101</v>
      </c>
      <c r="H32" s="461" t="s">
        <v>204</v>
      </c>
      <c r="I32" s="455">
        <v>47</v>
      </c>
    </row>
    <row r="33" spans="1:9" ht="16.8" x14ac:dyDescent="0.3">
      <c r="A33" s="391" t="s">
        <v>120</v>
      </c>
      <c r="B33" s="237">
        <v>2</v>
      </c>
      <c r="C33" s="238" t="s">
        <v>89</v>
      </c>
      <c r="D33" s="239" t="s">
        <v>90</v>
      </c>
      <c r="E33" s="392" t="s">
        <v>91</v>
      </c>
      <c r="F33" s="240" t="s">
        <v>104</v>
      </c>
      <c r="G33" s="240" t="s">
        <v>101</v>
      </c>
      <c r="H33" s="240" t="s">
        <v>203</v>
      </c>
      <c r="I33" s="131">
        <v>118</v>
      </c>
    </row>
    <row r="34" spans="1:9" ht="16.8" x14ac:dyDescent="0.3">
      <c r="A34" s="391" t="s">
        <v>241</v>
      </c>
      <c r="B34" s="237">
        <v>2</v>
      </c>
      <c r="C34" s="238" t="s">
        <v>168</v>
      </c>
      <c r="D34" s="239" t="s">
        <v>90</v>
      </c>
      <c r="E34" s="317" t="s">
        <v>91</v>
      </c>
      <c r="F34" s="240" t="s">
        <v>95</v>
      </c>
      <c r="G34" s="461" t="s">
        <v>123</v>
      </c>
      <c r="H34" s="461" t="s">
        <v>250</v>
      </c>
      <c r="I34" s="131">
        <v>84</v>
      </c>
    </row>
    <row r="35" spans="1:9" ht="16.8" x14ac:dyDescent="0.3">
      <c r="A35" s="391" t="s">
        <v>218</v>
      </c>
      <c r="B35" s="237">
        <v>2</v>
      </c>
      <c r="C35" s="238" t="s">
        <v>89</v>
      </c>
      <c r="D35" s="239" t="s">
        <v>109</v>
      </c>
      <c r="E35" s="317" t="s">
        <v>91</v>
      </c>
      <c r="F35" s="240" t="s">
        <v>95</v>
      </c>
      <c r="G35" s="240" t="s">
        <v>231</v>
      </c>
      <c r="H35" s="240" t="s">
        <v>201</v>
      </c>
      <c r="I35" s="131">
        <v>217</v>
      </c>
    </row>
    <row r="36" spans="1:9" ht="16.8" x14ac:dyDescent="0.3">
      <c r="A36" s="391" t="s">
        <v>242</v>
      </c>
      <c r="B36" s="237">
        <v>2</v>
      </c>
      <c r="C36" s="238" t="s">
        <v>98</v>
      </c>
      <c r="D36" s="239" t="s">
        <v>109</v>
      </c>
      <c r="E36" s="317" t="s">
        <v>91</v>
      </c>
      <c r="F36" s="240" t="s">
        <v>104</v>
      </c>
      <c r="G36" s="240" t="s">
        <v>231</v>
      </c>
      <c r="H36" s="461" t="s">
        <v>245</v>
      </c>
      <c r="I36" s="131">
        <v>146</v>
      </c>
    </row>
    <row r="37" spans="1:9" ht="16.8" x14ac:dyDescent="0.3">
      <c r="A37" s="391" t="s">
        <v>121</v>
      </c>
      <c r="B37" s="237">
        <v>2</v>
      </c>
      <c r="C37" s="238" t="s">
        <v>168</v>
      </c>
      <c r="D37" s="239" t="s">
        <v>90</v>
      </c>
      <c r="E37" s="392" t="s">
        <v>91</v>
      </c>
      <c r="F37" s="240" t="s">
        <v>104</v>
      </c>
      <c r="G37" s="240" t="s">
        <v>101</v>
      </c>
      <c r="H37" s="240" t="s">
        <v>203</v>
      </c>
      <c r="I37" s="131">
        <v>119</v>
      </c>
    </row>
    <row r="38" spans="1:9" ht="16.8" x14ac:dyDescent="0.3">
      <c r="A38" s="391" t="s">
        <v>219</v>
      </c>
      <c r="B38" s="237">
        <v>2</v>
      </c>
      <c r="C38" s="238" t="s">
        <v>168</v>
      </c>
      <c r="D38" s="239" t="s">
        <v>107</v>
      </c>
      <c r="E38" s="317" t="s">
        <v>91</v>
      </c>
      <c r="F38" s="240" t="s">
        <v>95</v>
      </c>
      <c r="G38" s="240" t="s">
        <v>96</v>
      </c>
      <c r="H38" s="240" t="s">
        <v>201</v>
      </c>
      <c r="I38" s="131">
        <v>225</v>
      </c>
    </row>
    <row r="39" spans="1:9" ht="16.8" x14ac:dyDescent="0.3">
      <c r="A39" s="391" t="s">
        <v>122</v>
      </c>
      <c r="B39" s="237">
        <v>2</v>
      </c>
      <c r="C39" s="238" t="s">
        <v>168</v>
      </c>
      <c r="D39" s="239" t="s">
        <v>90</v>
      </c>
      <c r="E39" s="392" t="s">
        <v>91</v>
      </c>
      <c r="F39" s="240" t="s">
        <v>104</v>
      </c>
      <c r="G39" s="240" t="s">
        <v>123</v>
      </c>
      <c r="H39" s="240" t="s">
        <v>203</v>
      </c>
      <c r="I39" s="131">
        <v>125</v>
      </c>
    </row>
    <row r="40" spans="1:9" ht="16.8" x14ac:dyDescent="0.3">
      <c r="A40" s="391" t="s">
        <v>220</v>
      </c>
      <c r="B40" s="237">
        <v>2</v>
      </c>
      <c r="C40" s="238" t="s">
        <v>168</v>
      </c>
      <c r="D40" s="239" t="s">
        <v>107</v>
      </c>
      <c r="E40" s="317" t="s">
        <v>91</v>
      </c>
      <c r="F40" s="240" t="s">
        <v>95</v>
      </c>
      <c r="G40" s="240" t="s">
        <v>96</v>
      </c>
      <c r="H40" s="240" t="s">
        <v>201</v>
      </c>
      <c r="I40" s="131">
        <v>259</v>
      </c>
    </row>
    <row r="41" spans="1:9" ht="16.8" x14ac:dyDescent="0.3">
      <c r="A41" s="391" t="s">
        <v>221</v>
      </c>
      <c r="B41" s="237">
        <v>2</v>
      </c>
      <c r="C41" s="238" t="s">
        <v>89</v>
      </c>
      <c r="D41" s="239" t="s">
        <v>90</v>
      </c>
      <c r="E41" s="317" t="s">
        <v>91</v>
      </c>
      <c r="F41" s="240" t="s">
        <v>92</v>
      </c>
      <c r="G41" s="240" t="s">
        <v>93</v>
      </c>
      <c r="H41" s="240" t="s">
        <v>201</v>
      </c>
      <c r="I41" s="131">
        <v>271</v>
      </c>
    </row>
    <row r="42" spans="1:9" ht="16.8" x14ac:dyDescent="0.3">
      <c r="A42" s="391" t="s">
        <v>222</v>
      </c>
      <c r="B42" s="237">
        <v>2</v>
      </c>
      <c r="C42" s="238" t="s">
        <v>106</v>
      </c>
      <c r="D42" s="239" t="s">
        <v>109</v>
      </c>
      <c r="E42" s="317" t="s">
        <v>91</v>
      </c>
      <c r="F42" s="240" t="s">
        <v>95</v>
      </c>
      <c r="G42" s="240" t="s">
        <v>101</v>
      </c>
      <c r="H42" s="240" t="s">
        <v>201</v>
      </c>
      <c r="I42" s="131">
        <v>272</v>
      </c>
    </row>
    <row r="43" spans="1:9" ht="16.8" x14ac:dyDescent="0.3">
      <c r="A43" s="391" t="s">
        <v>256</v>
      </c>
      <c r="B43" s="237">
        <v>2</v>
      </c>
      <c r="C43" s="238" t="s">
        <v>106</v>
      </c>
      <c r="D43" s="239" t="s">
        <v>257</v>
      </c>
      <c r="E43" s="317" t="s">
        <v>91</v>
      </c>
      <c r="F43" s="240" t="s">
        <v>95</v>
      </c>
      <c r="G43" s="240" t="s">
        <v>96</v>
      </c>
      <c r="H43" s="240" t="s">
        <v>258</v>
      </c>
      <c r="I43" s="131">
        <v>115</v>
      </c>
    </row>
    <row r="44" spans="1:9" ht="16.8" x14ac:dyDescent="0.3">
      <c r="A44" s="391" t="s">
        <v>223</v>
      </c>
      <c r="B44" s="237">
        <v>2</v>
      </c>
      <c r="C44" s="238" t="s">
        <v>106</v>
      </c>
      <c r="D44" s="239" t="s">
        <v>103</v>
      </c>
      <c r="E44" s="317" t="s">
        <v>91</v>
      </c>
      <c r="F44" s="240" t="s">
        <v>92</v>
      </c>
      <c r="G44" s="240" t="s">
        <v>231</v>
      </c>
      <c r="H44" s="240" t="s">
        <v>201</v>
      </c>
      <c r="I44" s="131">
        <v>278</v>
      </c>
    </row>
    <row r="45" spans="1:9" ht="16.8" x14ac:dyDescent="0.3">
      <c r="A45" s="391" t="s">
        <v>261</v>
      </c>
      <c r="B45" s="237">
        <v>2</v>
      </c>
      <c r="C45" s="238" t="s">
        <v>168</v>
      </c>
      <c r="D45" s="239" t="s">
        <v>90</v>
      </c>
      <c r="E45" s="317" t="s">
        <v>91</v>
      </c>
      <c r="F45" s="240" t="s">
        <v>104</v>
      </c>
      <c r="G45" s="240" t="s">
        <v>262</v>
      </c>
      <c r="H45" s="240" t="s">
        <v>263</v>
      </c>
      <c r="I45" s="131">
        <v>73</v>
      </c>
    </row>
    <row r="46" spans="1:9" ht="16.8" x14ac:dyDescent="0.3">
      <c r="A46" s="391" t="s">
        <v>125</v>
      </c>
      <c r="B46" s="237">
        <v>2</v>
      </c>
      <c r="C46" s="238" t="s">
        <v>89</v>
      </c>
      <c r="D46" s="239" t="s">
        <v>90</v>
      </c>
      <c r="E46" s="392" t="s">
        <v>91</v>
      </c>
      <c r="F46" s="240" t="s">
        <v>104</v>
      </c>
      <c r="G46" s="240" t="s">
        <v>99</v>
      </c>
      <c r="H46" s="240" t="s">
        <v>203</v>
      </c>
      <c r="I46" s="131">
        <v>129</v>
      </c>
    </row>
    <row r="47" spans="1:9" ht="16.8" x14ac:dyDescent="0.3">
      <c r="A47" s="391" t="s">
        <v>126</v>
      </c>
      <c r="B47" s="237">
        <v>2</v>
      </c>
      <c r="C47" s="238" t="s">
        <v>169</v>
      </c>
      <c r="D47" s="239" t="s">
        <v>109</v>
      </c>
      <c r="E47" s="392" t="s">
        <v>91</v>
      </c>
      <c r="F47" s="240" t="s">
        <v>104</v>
      </c>
      <c r="G47" s="240" t="s">
        <v>127</v>
      </c>
      <c r="H47" s="240" t="s">
        <v>203</v>
      </c>
      <c r="I47" s="131">
        <v>129</v>
      </c>
    </row>
    <row r="48" spans="1:9" ht="16.8" x14ac:dyDescent="0.3">
      <c r="A48" s="391" t="s">
        <v>224</v>
      </c>
      <c r="B48" s="237">
        <v>2</v>
      </c>
      <c r="C48" s="238" t="s">
        <v>106</v>
      </c>
      <c r="D48" s="239" t="s">
        <v>90</v>
      </c>
      <c r="E48" s="317" t="s">
        <v>91</v>
      </c>
      <c r="F48" s="240" t="s">
        <v>92</v>
      </c>
      <c r="G48" s="240" t="s">
        <v>115</v>
      </c>
      <c r="H48" s="240" t="s">
        <v>201</v>
      </c>
      <c r="I48" s="131">
        <v>297</v>
      </c>
    </row>
    <row r="49" spans="1:9" ht="16.8" x14ac:dyDescent="0.3">
      <c r="A49" s="391" t="s">
        <v>253</v>
      </c>
      <c r="B49" s="237">
        <v>2</v>
      </c>
      <c r="C49" s="238" t="s">
        <v>106</v>
      </c>
      <c r="D49" s="239" t="s">
        <v>90</v>
      </c>
      <c r="E49" s="317" t="s">
        <v>91</v>
      </c>
      <c r="F49" s="240" t="s">
        <v>104</v>
      </c>
      <c r="G49" s="240" t="s">
        <v>123</v>
      </c>
      <c r="H49" s="240" t="s">
        <v>250</v>
      </c>
      <c r="I49" s="131">
        <v>92</v>
      </c>
    </row>
    <row r="50" spans="1:9" ht="16.8" x14ac:dyDescent="0.3">
      <c r="A50" s="247" t="s">
        <v>225</v>
      </c>
      <c r="B50" s="242">
        <v>2</v>
      </c>
      <c r="C50" s="243" t="s">
        <v>169</v>
      </c>
      <c r="D50" s="244" t="s">
        <v>109</v>
      </c>
      <c r="E50" s="245" t="s">
        <v>91</v>
      </c>
      <c r="F50" s="245" t="s">
        <v>92</v>
      </c>
      <c r="G50" s="245" t="s">
        <v>96</v>
      </c>
      <c r="H50" s="245" t="s">
        <v>201</v>
      </c>
      <c r="I50" s="457">
        <v>303</v>
      </c>
    </row>
    <row r="51" spans="1:9" ht="16.8" x14ac:dyDescent="0.3">
      <c r="A51" s="391" t="s">
        <v>333</v>
      </c>
      <c r="B51" s="237">
        <v>3</v>
      </c>
      <c r="C51" s="238" t="s">
        <v>334</v>
      </c>
      <c r="D51" s="239" t="s">
        <v>90</v>
      </c>
      <c r="E51" s="317" t="s">
        <v>91</v>
      </c>
      <c r="F51" s="240" t="s">
        <v>95</v>
      </c>
      <c r="G51" s="240" t="s">
        <v>93</v>
      </c>
      <c r="H51" s="240" t="s">
        <v>201</v>
      </c>
      <c r="I51" s="131">
        <v>216</v>
      </c>
    </row>
    <row r="52" spans="1:9" ht="16.8" x14ac:dyDescent="0.3">
      <c r="A52" s="391" t="s">
        <v>243</v>
      </c>
      <c r="B52" s="237">
        <v>3</v>
      </c>
      <c r="C52" s="238" t="s">
        <v>168</v>
      </c>
      <c r="D52" s="239" t="s">
        <v>109</v>
      </c>
      <c r="E52" s="317" t="s">
        <v>91</v>
      </c>
      <c r="F52" s="240" t="s">
        <v>95</v>
      </c>
      <c r="G52" s="240" t="s">
        <v>123</v>
      </c>
      <c r="H52" s="240" t="s">
        <v>203</v>
      </c>
      <c r="I52" s="131">
        <v>119</v>
      </c>
    </row>
    <row r="53" spans="1:9" ht="16.8" x14ac:dyDescent="0.3">
      <c r="A53" s="391" t="s">
        <v>226</v>
      </c>
      <c r="B53" s="237">
        <v>3</v>
      </c>
      <c r="C53" s="238" t="s">
        <v>98</v>
      </c>
      <c r="D53" s="239" t="s">
        <v>109</v>
      </c>
      <c r="E53" s="317" t="s">
        <v>91</v>
      </c>
      <c r="F53" s="240" t="s">
        <v>92</v>
      </c>
      <c r="G53" s="240" t="s">
        <v>123</v>
      </c>
      <c r="H53" s="240" t="s">
        <v>201</v>
      </c>
      <c r="I53" s="131">
        <v>221</v>
      </c>
    </row>
    <row r="54" spans="1:9" ht="16.8" x14ac:dyDescent="0.3">
      <c r="A54" s="391" t="s">
        <v>227</v>
      </c>
      <c r="B54" s="237">
        <v>3</v>
      </c>
      <c r="C54" s="238" t="s">
        <v>106</v>
      </c>
      <c r="D54" s="239" t="s">
        <v>90</v>
      </c>
      <c r="E54" s="317" t="s">
        <v>91</v>
      </c>
      <c r="F54" s="240" t="s">
        <v>232</v>
      </c>
      <c r="G54" s="240" t="s">
        <v>93</v>
      </c>
      <c r="H54" s="240" t="s">
        <v>201</v>
      </c>
      <c r="I54" s="131">
        <v>223</v>
      </c>
    </row>
    <row r="55" spans="1:9" ht="16.8" x14ac:dyDescent="0.3">
      <c r="A55" s="391" t="s">
        <v>259</v>
      </c>
      <c r="B55" s="237">
        <v>3</v>
      </c>
      <c r="C55" s="238" t="s">
        <v>168</v>
      </c>
      <c r="D55" s="453" t="s">
        <v>111</v>
      </c>
      <c r="E55" s="317" t="s">
        <v>91</v>
      </c>
      <c r="F55" s="240" t="s">
        <v>95</v>
      </c>
      <c r="G55" s="240" t="s">
        <v>123</v>
      </c>
      <c r="H55" s="240" t="s">
        <v>258</v>
      </c>
      <c r="I55" s="131">
        <v>113</v>
      </c>
    </row>
    <row r="56" spans="1:9" ht="16.8" x14ac:dyDescent="0.3">
      <c r="A56" s="391" t="s">
        <v>260</v>
      </c>
      <c r="B56" s="237">
        <v>3</v>
      </c>
      <c r="C56" s="238" t="s">
        <v>98</v>
      </c>
      <c r="D56" s="239" t="s">
        <v>257</v>
      </c>
      <c r="E56" s="317" t="s">
        <v>91</v>
      </c>
      <c r="F56" s="240" t="s">
        <v>104</v>
      </c>
      <c r="G56" s="240" t="s">
        <v>123</v>
      </c>
      <c r="H56" s="240" t="s">
        <v>258</v>
      </c>
      <c r="I56" s="131">
        <v>113</v>
      </c>
    </row>
    <row r="57" spans="1:9" ht="16.8" x14ac:dyDescent="0.3">
      <c r="A57" s="391" t="s">
        <v>244</v>
      </c>
      <c r="B57" s="237">
        <v>3</v>
      </c>
      <c r="C57" s="238" t="s">
        <v>100</v>
      </c>
      <c r="D57" s="239" t="s">
        <v>251</v>
      </c>
      <c r="E57" s="317" t="s">
        <v>91</v>
      </c>
      <c r="F57" s="240" t="s">
        <v>153</v>
      </c>
      <c r="G57" s="240" t="s">
        <v>93</v>
      </c>
      <c r="H57" s="240" t="s">
        <v>252</v>
      </c>
      <c r="I57" s="131">
        <v>212</v>
      </c>
    </row>
    <row r="58" spans="1:9" ht="16.8" x14ac:dyDescent="0.3">
      <c r="A58" s="391" t="s">
        <v>317</v>
      </c>
      <c r="B58" s="237">
        <v>3</v>
      </c>
      <c r="C58" s="238" t="s">
        <v>106</v>
      </c>
      <c r="D58" s="239" t="s">
        <v>233</v>
      </c>
      <c r="E58" s="317" t="s">
        <v>91</v>
      </c>
      <c r="F58" s="240" t="s">
        <v>234</v>
      </c>
      <c r="G58" s="240" t="s">
        <v>101</v>
      </c>
      <c r="H58" s="240" t="s">
        <v>201</v>
      </c>
      <c r="I58" s="131">
        <v>250</v>
      </c>
    </row>
    <row r="59" spans="1:9" ht="16.8" x14ac:dyDescent="0.3">
      <c r="A59" s="391" t="s">
        <v>216</v>
      </c>
      <c r="B59" s="237">
        <v>3</v>
      </c>
      <c r="C59" s="238" t="s">
        <v>106</v>
      </c>
      <c r="D59" s="239" t="s">
        <v>233</v>
      </c>
      <c r="E59" s="317" t="s">
        <v>91</v>
      </c>
      <c r="F59" s="240" t="s">
        <v>234</v>
      </c>
      <c r="G59" s="240" t="s">
        <v>101</v>
      </c>
      <c r="H59" s="240" t="s">
        <v>201</v>
      </c>
      <c r="I59" s="131">
        <v>250</v>
      </c>
    </row>
    <row r="60" spans="1:9" ht="16.8" x14ac:dyDescent="0.3">
      <c r="A60" s="391" t="s">
        <v>228</v>
      </c>
      <c r="B60" s="237">
        <v>3</v>
      </c>
      <c r="C60" s="452" t="s">
        <v>168</v>
      </c>
      <c r="D60" s="453" t="s">
        <v>117</v>
      </c>
      <c r="E60" s="454" t="s">
        <v>91</v>
      </c>
      <c r="F60" s="454" t="s">
        <v>92</v>
      </c>
      <c r="G60" s="454" t="s">
        <v>231</v>
      </c>
      <c r="H60" s="240" t="s">
        <v>201</v>
      </c>
      <c r="I60" s="455">
        <v>251</v>
      </c>
    </row>
    <row r="61" spans="1:9" ht="16.8" x14ac:dyDescent="0.3">
      <c r="A61" s="391" t="s">
        <v>229</v>
      </c>
      <c r="B61" s="237">
        <v>3</v>
      </c>
      <c r="C61" s="238" t="s">
        <v>89</v>
      </c>
      <c r="D61" s="239" t="s">
        <v>109</v>
      </c>
      <c r="E61" s="317" t="s">
        <v>91</v>
      </c>
      <c r="F61" s="240" t="s">
        <v>153</v>
      </c>
      <c r="G61" s="240" t="s">
        <v>123</v>
      </c>
      <c r="H61" s="240" t="s">
        <v>201</v>
      </c>
      <c r="I61" s="241">
        <v>263</v>
      </c>
    </row>
    <row r="62" spans="1:9" ht="16.8" x14ac:dyDescent="0.3">
      <c r="A62" s="391" t="s">
        <v>230</v>
      </c>
      <c r="B62" s="237">
        <v>3</v>
      </c>
      <c r="C62" s="238" t="s">
        <v>89</v>
      </c>
      <c r="D62" s="239" t="s">
        <v>90</v>
      </c>
      <c r="E62" s="317" t="s">
        <v>91</v>
      </c>
      <c r="F62" s="240" t="s">
        <v>95</v>
      </c>
      <c r="G62" s="240" t="s">
        <v>93</v>
      </c>
      <c r="H62" s="240" t="s">
        <v>201</v>
      </c>
      <c r="I62" s="131">
        <v>270</v>
      </c>
    </row>
    <row r="63" spans="1:9" ht="16.8" x14ac:dyDescent="0.3">
      <c r="A63" s="391" t="s">
        <v>217</v>
      </c>
      <c r="B63" s="237">
        <v>3</v>
      </c>
      <c r="C63" s="238" t="s">
        <v>106</v>
      </c>
      <c r="D63" s="239" t="s">
        <v>90</v>
      </c>
      <c r="E63" s="317" t="s">
        <v>91</v>
      </c>
      <c r="F63" s="240" t="s">
        <v>95</v>
      </c>
      <c r="G63" s="240" t="s">
        <v>93</v>
      </c>
      <c r="H63" s="240" t="s">
        <v>201</v>
      </c>
      <c r="I63" s="131">
        <v>270</v>
      </c>
    </row>
    <row r="64" spans="1:9" ht="16.8" x14ac:dyDescent="0.3">
      <c r="A64" s="391" t="s">
        <v>267</v>
      </c>
      <c r="B64" s="237">
        <v>3</v>
      </c>
      <c r="C64" s="238" t="s">
        <v>106</v>
      </c>
      <c r="D64" s="239" t="s">
        <v>109</v>
      </c>
      <c r="E64" s="317" t="s">
        <v>91</v>
      </c>
      <c r="F64" s="454" t="s">
        <v>95</v>
      </c>
      <c r="G64" s="240" t="s">
        <v>101</v>
      </c>
      <c r="H64" s="240" t="s">
        <v>268</v>
      </c>
      <c r="I64" s="131">
        <v>132</v>
      </c>
    </row>
    <row r="65" spans="1:9" ht="16.8" x14ac:dyDescent="0.3">
      <c r="A65" s="391" t="s">
        <v>198</v>
      </c>
      <c r="B65" s="237">
        <v>3</v>
      </c>
      <c r="C65" s="238" t="s">
        <v>168</v>
      </c>
      <c r="D65" s="239" t="s">
        <v>109</v>
      </c>
      <c r="E65" s="392" t="s">
        <v>91</v>
      </c>
      <c r="F65" s="240" t="s">
        <v>104</v>
      </c>
      <c r="G65" s="240" t="s">
        <v>96</v>
      </c>
      <c r="H65" s="240" t="s">
        <v>204</v>
      </c>
      <c r="I65" s="131">
        <v>177</v>
      </c>
    </row>
    <row r="66" spans="1:9" ht="17.399999999999999" thickBot="1" x14ac:dyDescent="0.35">
      <c r="A66" s="393" t="s">
        <v>128</v>
      </c>
      <c r="B66" s="386">
        <v>3</v>
      </c>
      <c r="C66" s="387" t="s">
        <v>168</v>
      </c>
      <c r="D66" s="388" t="s">
        <v>90</v>
      </c>
      <c r="E66" s="394" t="s">
        <v>91</v>
      </c>
      <c r="F66" s="389" t="s">
        <v>95</v>
      </c>
      <c r="G66" s="389" t="s">
        <v>96</v>
      </c>
      <c r="H66" s="389" t="s">
        <v>203</v>
      </c>
      <c r="I66" s="390">
        <v>129</v>
      </c>
    </row>
    <row r="67" spans="1:9" ht="16.2" thickTop="1" x14ac:dyDescent="0.3"/>
  </sheetData>
  <sortState xmlns:xlrd2="http://schemas.microsoft.com/office/spreadsheetml/2017/richdata2" ref="A3:I57">
    <sortCondition ref="B3:B57"/>
    <sortCondition ref="A3:A57"/>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workbookViewId="0"/>
  </sheetViews>
  <sheetFormatPr defaultColWidth="13" defaultRowHeight="15.6" x14ac:dyDescent="0.3"/>
  <cols>
    <col min="1" max="1" width="20.19921875" style="84" bestFit="1" customWidth="1"/>
    <col min="2" max="2" width="6.19921875" style="84" bestFit="1" customWidth="1"/>
    <col min="3" max="3" width="4.09765625" style="84" bestFit="1" customWidth="1"/>
    <col min="4" max="4" width="6.296875" style="83" bestFit="1" customWidth="1"/>
    <col min="5" max="5" width="1.8984375" style="83" customWidth="1"/>
    <col min="6" max="6" width="19.3984375" style="83" customWidth="1"/>
    <col min="7" max="7" width="3.69921875" style="83" customWidth="1"/>
    <col min="8" max="8" width="3.8984375" style="83" bestFit="1" customWidth="1"/>
    <col min="9" max="9" width="3.59765625" style="83" bestFit="1" customWidth="1"/>
    <col min="10" max="10" width="3.5" style="83" bestFit="1" customWidth="1"/>
    <col min="11" max="16384" width="13" style="73"/>
  </cols>
  <sheetData>
    <row r="1" spans="1:10" ht="24" thickTop="1" thickBot="1" x14ac:dyDescent="0.35">
      <c r="A1" s="70" t="s">
        <v>79</v>
      </c>
      <c r="B1" s="71"/>
      <c r="C1" s="71"/>
      <c r="D1" s="72"/>
      <c r="E1" s="73"/>
      <c r="F1" s="79"/>
      <c r="G1" s="290" t="s">
        <v>165</v>
      </c>
      <c r="H1" s="291"/>
      <c r="I1" s="291"/>
      <c r="J1" s="292"/>
    </row>
    <row r="2" spans="1:10" ht="18" thickTop="1" thickBot="1" x14ac:dyDescent="0.35">
      <c r="A2" s="74" t="s">
        <v>62</v>
      </c>
      <c r="B2" s="75" t="s">
        <v>0</v>
      </c>
      <c r="C2" s="75" t="s">
        <v>82</v>
      </c>
      <c r="D2" s="76" t="s">
        <v>63</v>
      </c>
      <c r="E2" s="77"/>
      <c r="F2" s="79"/>
      <c r="G2" s="293" t="s">
        <v>160</v>
      </c>
      <c r="H2" s="294" t="s">
        <v>161</v>
      </c>
      <c r="I2" s="294" t="s">
        <v>162</v>
      </c>
      <c r="J2" s="295" t="s">
        <v>163</v>
      </c>
    </row>
    <row r="3" spans="1:10" ht="17.399999999999999" thickTop="1" x14ac:dyDescent="0.3">
      <c r="A3" s="297" t="s">
        <v>310</v>
      </c>
      <c r="B3" s="298">
        <v>1</v>
      </c>
      <c r="C3" s="311">
        <f>SUM(10+B3+'Personal File'!$C$13)</f>
        <v>14</v>
      </c>
      <c r="D3" s="299" t="s">
        <v>271</v>
      </c>
      <c r="E3" s="77"/>
      <c r="F3" s="285" t="s">
        <v>166</v>
      </c>
      <c r="G3" s="286">
        <v>1</v>
      </c>
      <c r="H3" s="302">
        <v>0</v>
      </c>
      <c r="I3" s="302">
        <v>0</v>
      </c>
      <c r="J3" s="304">
        <v>0</v>
      </c>
    </row>
    <row r="4" spans="1:10" ht="16.8" x14ac:dyDescent="0.3">
      <c r="A4" s="477" t="s">
        <v>113</v>
      </c>
      <c r="B4" s="308">
        <v>1</v>
      </c>
      <c r="C4" s="312">
        <f>SUM(10+B4+'Personal File'!$C$13)</f>
        <v>14</v>
      </c>
      <c r="D4" s="309" t="s">
        <v>271</v>
      </c>
      <c r="E4" s="77"/>
      <c r="F4" s="287" t="s">
        <v>167</v>
      </c>
      <c r="G4" s="288">
        <v>1</v>
      </c>
      <c r="H4" s="303">
        <v>0</v>
      </c>
      <c r="I4" s="303">
        <v>0</v>
      </c>
      <c r="J4" s="305">
        <v>0</v>
      </c>
    </row>
    <row r="5" spans="1:10" ht="17.399999999999999" thickBot="1" x14ac:dyDescent="0.35">
      <c r="A5" s="477" t="s">
        <v>105</v>
      </c>
      <c r="B5" s="308">
        <v>1</v>
      </c>
      <c r="C5" s="312">
        <f>SUM(10+B5+'Personal File'!$C$13)</f>
        <v>14</v>
      </c>
      <c r="D5" s="309" t="s">
        <v>271</v>
      </c>
      <c r="E5" s="77"/>
      <c r="F5" s="289" t="s">
        <v>164</v>
      </c>
      <c r="G5" s="296">
        <f>SUM(G3:G4)</f>
        <v>2</v>
      </c>
      <c r="H5" s="301">
        <f>SUM(H3:H4)</f>
        <v>0</v>
      </c>
      <c r="I5" s="301">
        <f>SUM(I3:I4)</f>
        <v>0</v>
      </c>
      <c r="J5" s="306">
        <f>SUM(J3:J4)</f>
        <v>0</v>
      </c>
    </row>
    <row r="6" spans="1:10" ht="17.399999999999999" thickTop="1" x14ac:dyDescent="0.3">
      <c r="A6" s="307" t="s">
        <v>316</v>
      </c>
      <c r="B6" s="308">
        <v>1</v>
      </c>
      <c r="C6" s="312">
        <f>SUM(10+B6+'Personal File'!$C$13)</f>
        <v>14</v>
      </c>
      <c r="D6" s="309" t="s">
        <v>325</v>
      </c>
      <c r="E6" s="77"/>
      <c r="F6" s="77"/>
      <c r="G6" s="77"/>
      <c r="H6" s="77"/>
      <c r="I6" s="77"/>
      <c r="J6" s="77"/>
    </row>
    <row r="7" spans="1:10" ht="16.8" x14ac:dyDescent="0.3">
      <c r="A7" s="247" t="s">
        <v>176</v>
      </c>
      <c r="B7" s="98">
        <v>1</v>
      </c>
      <c r="C7" s="313">
        <f>SUM(10+B7+'Personal File'!$C$13)</f>
        <v>14</v>
      </c>
      <c r="D7" s="309" t="s">
        <v>325</v>
      </c>
      <c r="E7" s="77"/>
      <c r="F7" s="84" t="s">
        <v>272</v>
      </c>
      <c r="G7" s="505">
        <f>0.5*SUM('Personal File'!E4:E4)</f>
        <v>6.5</v>
      </c>
      <c r="I7" s="77"/>
      <c r="J7" s="77"/>
    </row>
    <row r="8" spans="1:10" ht="16.8" x14ac:dyDescent="0.3">
      <c r="A8" s="297" t="s">
        <v>280</v>
      </c>
      <c r="B8" s="298">
        <v>2</v>
      </c>
      <c r="C8" s="311">
        <f>SUM(10+B8+'Personal File'!$C$13)</f>
        <v>15</v>
      </c>
      <c r="D8" s="309" t="s">
        <v>271</v>
      </c>
      <c r="E8" s="77"/>
      <c r="I8" s="77"/>
      <c r="J8" s="77"/>
    </row>
    <row r="9" spans="1:10" ht="16.8" x14ac:dyDescent="0.3">
      <c r="A9" s="247" t="s">
        <v>178</v>
      </c>
      <c r="B9" s="98">
        <v>2</v>
      </c>
      <c r="C9" s="313">
        <f>SUM(10+B9+'Personal File'!$C$13)</f>
        <v>15</v>
      </c>
      <c r="D9" s="309" t="s">
        <v>325</v>
      </c>
      <c r="E9" s="77"/>
      <c r="I9" s="77"/>
      <c r="J9" s="77"/>
    </row>
    <row r="10" spans="1:10" ht="17.399999999999999" thickBot="1" x14ac:dyDescent="0.35">
      <c r="A10" s="408" t="s">
        <v>227</v>
      </c>
      <c r="B10" s="409">
        <v>3</v>
      </c>
      <c r="C10" s="410">
        <f>SUM(10+B10+'Personal File'!$C$13)</f>
        <v>16</v>
      </c>
      <c r="D10" s="411" t="s">
        <v>271</v>
      </c>
      <c r="E10" s="77"/>
      <c r="I10" s="77"/>
      <c r="J10" s="77"/>
    </row>
    <row r="11" spans="1:10" ht="16.8" thickTop="1" thickBot="1" x14ac:dyDescent="0.35">
      <c r="E11" s="77"/>
      <c r="I11" s="77"/>
      <c r="J11" s="77"/>
    </row>
    <row r="12" spans="1:10" ht="24" thickTop="1" thickBot="1" x14ac:dyDescent="0.35">
      <c r="A12" s="70" t="s">
        <v>197</v>
      </c>
      <c r="B12" s="71"/>
      <c r="C12" s="71"/>
      <c r="D12" s="72"/>
      <c r="E12" s="77"/>
      <c r="F12" s="349" t="s">
        <v>331</v>
      </c>
      <c r="G12" s="350"/>
      <c r="I12" s="77"/>
      <c r="J12" s="77"/>
    </row>
    <row r="13" spans="1:10" ht="17.399999999999999" thickTop="1" x14ac:dyDescent="0.3">
      <c r="A13" s="74" t="s">
        <v>62</v>
      </c>
      <c r="B13" s="75" t="s">
        <v>0</v>
      </c>
      <c r="C13" s="75" t="s">
        <v>82</v>
      </c>
      <c r="D13" s="76" t="s">
        <v>63</v>
      </c>
      <c r="E13" s="77"/>
      <c r="F13" s="469" t="s">
        <v>184</v>
      </c>
      <c r="G13" s="352">
        <f>'Personal File'!E4-3</f>
        <v>10</v>
      </c>
      <c r="I13" s="77"/>
      <c r="J13" s="77"/>
    </row>
    <row r="14" spans="1:10" ht="16.8" x14ac:dyDescent="0.3">
      <c r="A14" s="297" t="s">
        <v>310</v>
      </c>
      <c r="B14" s="298">
        <v>1</v>
      </c>
      <c r="C14" s="311">
        <f>SUM(10+B14+'Personal File'!$C$13)</f>
        <v>14</v>
      </c>
      <c r="D14" s="299" t="s">
        <v>271</v>
      </c>
      <c r="E14" s="77"/>
      <c r="F14" s="469" t="s">
        <v>185</v>
      </c>
      <c r="G14" s="351">
        <f>3+'Personal File'!$C$13</f>
        <v>6</v>
      </c>
      <c r="I14" s="77"/>
      <c r="J14" s="77"/>
    </row>
    <row r="15" spans="1:10" ht="16.8" x14ac:dyDescent="0.3">
      <c r="A15" s="477" t="s">
        <v>113</v>
      </c>
      <c r="B15" s="308">
        <v>1</v>
      </c>
      <c r="C15" s="312">
        <f>SUM(10+B15+'Personal File'!$C$13)</f>
        <v>14</v>
      </c>
      <c r="D15" s="309" t="s">
        <v>271</v>
      </c>
      <c r="E15" s="77"/>
      <c r="F15" s="470" t="s">
        <v>186</v>
      </c>
      <c r="G15" s="353">
        <f ca="1">RANDBETWEEN(1,20)</f>
        <v>7</v>
      </c>
      <c r="I15" s="77"/>
      <c r="J15" s="77"/>
    </row>
    <row r="16" spans="1:10" ht="16.8" x14ac:dyDescent="0.3">
      <c r="A16" s="477" t="s">
        <v>105</v>
      </c>
      <c r="B16" s="308">
        <v>1</v>
      </c>
      <c r="C16" s="312">
        <f>SUM(10+B16+'Personal File'!$C$13)</f>
        <v>14</v>
      </c>
      <c r="D16" s="309" t="s">
        <v>271</v>
      </c>
      <c r="E16" s="77"/>
      <c r="F16" s="471" t="s">
        <v>187</v>
      </c>
      <c r="G16" s="351">
        <f ca="1">G15+'Personal File'!$C$13+2</f>
        <v>12</v>
      </c>
      <c r="I16" s="77"/>
      <c r="J16" s="77"/>
    </row>
    <row r="17" spans="1:7" ht="16.8" x14ac:dyDescent="0.3">
      <c r="A17" s="307" t="s">
        <v>316</v>
      </c>
      <c r="B17" s="308">
        <v>1</v>
      </c>
      <c r="C17" s="312">
        <f>SUM(10+B17+'Personal File'!$C$13)</f>
        <v>14</v>
      </c>
      <c r="D17" s="309" t="s">
        <v>271</v>
      </c>
      <c r="E17" s="77"/>
      <c r="F17" s="472" t="s">
        <v>188</v>
      </c>
      <c r="G17" s="354">
        <f ca="1">RANDBETWEEN(1,6)+RANDBETWEEN(1,6)</f>
        <v>9</v>
      </c>
    </row>
    <row r="18" spans="1:7" ht="16.8" x14ac:dyDescent="0.3">
      <c r="A18" s="247" t="s">
        <v>176</v>
      </c>
      <c r="B18" s="98">
        <v>1</v>
      </c>
      <c r="C18" s="313">
        <f>SUM(10+B18+'Personal File'!$C$13)</f>
        <v>14</v>
      </c>
      <c r="D18" s="309" t="s">
        <v>271</v>
      </c>
      <c r="E18" s="77"/>
      <c r="F18" s="469" t="s">
        <v>273</v>
      </c>
      <c r="G18" s="351">
        <f ca="1">G13+G17+'Personal File'!C13</f>
        <v>22</v>
      </c>
    </row>
    <row r="19" spans="1:7" ht="17.399999999999999" thickBot="1" x14ac:dyDescent="0.35">
      <c r="A19" s="297" t="s">
        <v>280</v>
      </c>
      <c r="B19" s="298">
        <v>2</v>
      </c>
      <c r="C19" s="311">
        <f>SUM(10+B19+'Personal File'!$C$13)</f>
        <v>15</v>
      </c>
      <c r="D19" s="299" t="s">
        <v>271</v>
      </c>
      <c r="F19" s="473" t="s">
        <v>189</v>
      </c>
      <c r="G19" s="355">
        <v>0</v>
      </c>
    </row>
    <row r="20" spans="1:7" ht="17.399999999999999" thickTop="1" x14ac:dyDescent="0.3">
      <c r="A20" s="247" t="s">
        <v>178</v>
      </c>
      <c r="B20" s="98">
        <v>2</v>
      </c>
      <c r="C20" s="313">
        <f>SUM(10+B20+'Personal File'!$C$13)</f>
        <v>15</v>
      </c>
      <c r="D20" s="80" t="s">
        <v>271</v>
      </c>
    </row>
    <row r="21" spans="1:7" ht="17.399999999999999" thickBot="1" x14ac:dyDescent="0.35">
      <c r="A21" s="408" t="s">
        <v>227</v>
      </c>
      <c r="B21" s="409">
        <v>3</v>
      </c>
      <c r="C21" s="410">
        <f>SUM(10+B21+'Personal File'!$C$13)</f>
        <v>16</v>
      </c>
      <c r="D21" s="411" t="s">
        <v>271</v>
      </c>
    </row>
    <row r="22" spans="1:7" ht="16.2" thickTop="1" x14ac:dyDescent="0.3">
      <c r="A22" s="73"/>
      <c r="B22" s="73"/>
      <c r="C22" s="73"/>
      <c r="D22" s="73"/>
    </row>
  </sheetData>
  <sortState xmlns:xlrd2="http://schemas.microsoft.com/office/spreadsheetml/2017/richdata2" ref="A12:D19">
    <sortCondition ref="B12:B19"/>
    <sortCondition ref="A12:A19"/>
  </sortState>
  <phoneticPr fontId="0" type="noConversion"/>
  <conditionalFormatting sqref="D3:D10">
    <cfRule type="cellIs" dxfId="5" priority="8" stopIfTrue="1" operator="equal">
      <formula>"þ"</formula>
    </cfRule>
  </conditionalFormatting>
  <conditionalFormatting sqref="D14:D21">
    <cfRule type="cellIs" dxfId="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workbookViewId="0"/>
  </sheetViews>
  <sheetFormatPr defaultColWidth="13" defaultRowHeight="15.6" x14ac:dyDescent="0.3"/>
  <cols>
    <col min="1" max="1" width="33.796875" style="83" bestFit="1" customWidth="1"/>
    <col min="2" max="2" width="3" style="73" customWidth="1"/>
    <col min="3" max="3" width="33.59765625" style="73" bestFit="1" customWidth="1"/>
    <col min="4" max="16384" width="13" style="73"/>
  </cols>
  <sheetData>
    <row r="1" spans="1:3" ht="22.2" thickTop="1" thickBot="1" x14ac:dyDescent="0.35">
      <c r="A1" s="413" t="s">
        <v>81</v>
      </c>
      <c r="C1" s="413" t="s">
        <v>170</v>
      </c>
    </row>
    <row r="2" spans="1:3" ht="16.8" x14ac:dyDescent="0.3">
      <c r="A2" s="78" t="s">
        <v>155</v>
      </c>
      <c r="B2" s="79"/>
      <c r="C2" s="82" t="s">
        <v>319</v>
      </c>
    </row>
    <row r="3" spans="1:3" ht="16.8" x14ac:dyDescent="0.3">
      <c r="A3" s="81" t="s">
        <v>174</v>
      </c>
      <c r="C3" s="82" t="str">
        <f>CONCATENATE("Lay on Hands ",('Personal File'!$E$4*'Personal File'!$C$13)," hps")</f>
        <v>Lay on Hands 39 hps</v>
      </c>
    </row>
    <row r="4" spans="1:3" ht="16.8" x14ac:dyDescent="0.3">
      <c r="A4" s="81" t="s">
        <v>175</v>
      </c>
      <c r="C4" s="462" t="s">
        <v>322</v>
      </c>
    </row>
    <row r="5" spans="1:3" ht="16.8" x14ac:dyDescent="0.3">
      <c r="A5" s="81" t="s">
        <v>179</v>
      </c>
      <c r="C5" s="82" t="s">
        <v>329</v>
      </c>
    </row>
    <row r="6" spans="1:3" ht="16.8" x14ac:dyDescent="0.3">
      <c r="A6" s="81" t="s">
        <v>328</v>
      </c>
      <c r="C6" s="310" t="str">
        <f>CONCATENATE("Smite Good ",ROUNDUP(('Personal File'!E4+1+1)/5,0),"/day, ",'Personal File'!C13," Att, +",SUM('Personal File'!E4:E4)," Dmg")</f>
        <v>Smite Good 3/day, +3 Att, +13 Dmg</v>
      </c>
    </row>
    <row r="7" spans="1:3" ht="17.399999999999999" thickBot="1" x14ac:dyDescent="0.35">
      <c r="A7" s="486" t="s">
        <v>279</v>
      </c>
      <c r="C7" s="248" t="s">
        <v>139</v>
      </c>
    </row>
    <row r="8" spans="1:3" ht="18" thickTop="1" thickBot="1" x14ac:dyDescent="0.35">
      <c r="C8" s="248" t="s">
        <v>80</v>
      </c>
    </row>
    <row r="9" spans="1:3" ht="22.2" thickTop="1" thickBot="1" x14ac:dyDescent="0.35">
      <c r="A9" s="436" t="s">
        <v>212</v>
      </c>
      <c r="C9" s="82" t="s">
        <v>332</v>
      </c>
    </row>
    <row r="10" spans="1:3" ht="16.8" x14ac:dyDescent="0.3">
      <c r="A10" s="384" t="s">
        <v>136</v>
      </c>
      <c r="C10" s="504" t="s">
        <v>330</v>
      </c>
    </row>
    <row r="11" spans="1:3" ht="17.399999999999999" thickBot="1" x14ac:dyDescent="0.35">
      <c r="A11" s="385" t="s">
        <v>137</v>
      </c>
      <c r="B11" s="79"/>
      <c r="C11" s="248" t="s">
        <v>131</v>
      </c>
    </row>
    <row r="12" spans="1:3" ht="18" thickTop="1" thickBot="1" x14ac:dyDescent="0.35">
      <c r="C12" s="316" t="s">
        <v>142</v>
      </c>
    </row>
    <row r="13" spans="1:3" ht="22.2" thickTop="1" thickBot="1" x14ac:dyDescent="0.35">
      <c r="A13" s="412" t="s">
        <v>64</v>
      </c>
    </row>
    <row r="14" spans="1:3" ht="22.2" thickTop="1" thickBot="1" x14ac:dyDescent="0.35">
      <c r="A14" s="85" t="s">
        <v>318</v>
      </c>
      <c r="C14" s="499" t="s">
        <v>326</v>
      </c>
    </row>
    <row r="15" spans="1:3" ht="17.399999999999999" thickTop="1" x14ac:dyDescent="0.3">
      <c r="C15" s="500" t="s">
        <v>327</v>
      </c>
    </row>
    <row r="16" spans="1:3" ht="17.399999999999999" thickBot="1" x14ac:dyDescent="0.35">
      <c r="C16" s="501" t="s">
        <v>323</v>
      </c>
    </row>
    <row r="17" spans="1:1" ht="16.2" thickTop="1" x14ac:dyDescent="0.3">
      <c r="A17" s="73"/>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showGridLines="0" zoomScaleNormal="100" workbookViewId="0"/>
  </sheetViews>
  <sheetFormatPr defaultColWidth="13" defaultRowHeight="15.6" x14ac:dyDescent="0.3"/>
  <cols>
    <col min="1" max="1" width="37.796875" style="29" bestFit="1" customWidth="1"/>
    <col min="2" max="2" width="11.296875" style="29" bestFit="1" customWidth="1"/>
    <col min="3" max="3" width="7.09765625" style="29" customWidth="1"/>
    <col min="4" max="4" width="6.296875" style="29" bestFit="1" customWidth="1"/>
    <col min="5" max="5" width="8.3984375" style="29" customWidth="1"/>
    <col min="6" max="6" width="8.3984375" style="29" bestFit="1" customWidth="1"/>
    <col min="7" max="7" width="7.8984375" style="29" bestFit="1" customWidth="1"/>
    <col min="8" max="10" width="5.59765625" style="29" customWidth="1"/>
    <col min="11" max="11" width="22.69921875" style="29" bestFit="1" customWidth="1"/>
    <col min="12" max="12" width="2" style="17" customWidth="1"/>
    <col min="13" max="13" width="5.8984375" style="17" bestFit="1" customWidth="1"/>
    <col min="14" max="16384" width="13" style="17"/>
  </cols>
  <sheetData>
    <row r="1" spans="1:13" ht="23.4" thickBot="1" x14ac:dyDescent="0.35">
      <c r="A1" s="16" t="s">
        <v>196</v>
      </c>
      <c r="B1" s="16"/>
      <c r="C1" s="16"/>
      <c r="D1" s="16"/>
      <c r="E1" s="16"/>
      <c r="F1" s="16"/>
      <c r="G1" s="16"/>
      <c r="H1" s="16"/>
      <c r="I1" s="16"/>
      <c r="J1" s="16"/>
      <c r="K1" s="16"/>
    </row>
    <row r="2" spans="1:13" ht="16.8" thickTop="1" thickBot="1" x14ac:dyDescent="0.35">
      <c r="A2" s="18" t="s">
        <v>2</v>
      </c>
      <c r="B2" s="19" t="s">
        <v>283</v>
      </c>
      <c r="C2" s="19" t="s">
        <v>16</v>
      </c>
      <c r="D2" s="19" t="s">
        <v>17</v>
      </c>
      <c r="E2" s="20" t="s">
        <v>56</v>
      </c>
      <c r="F2" s="19" t="s">
        <v>15</v>
      </c>
      <c r="G2" s="19" t="s">
        <v>18</v>
      </c>
      <c r="H2" s="21" t="s">
        <v>119</v>
      </c>
      <c r="I2" s="22" t="s">
        <v>135</v>
      </c>
      <c r="J2" s="21" t="s">
        <v>70</v>
      </c>
      <c r="K2" s="23" t="s">
        <v>1</v>
      </c>
      <c r="M2" s="255" t="s">
        <v>149</v>
      </c>
    </row>
    <row r="3" spans="1:13" x14ac:dyDescent="0.3">
      <c r="A3" s="327" t="s">
        <v>320</v>
      </c>
      <c r="B3" s="328" t="s">
        <v>282</v>
      </c>
      <c r="C3" s="404" t="str">
        <f>CONCATENATE("+",'Personal File'!$C$8*2," + 1")</f>
        <v>+10 + 1</v>
      </c>
      <c r="D3" s="487">
        <f>1+2</f>
        <v>3</v>
      </c>
      <c r="E3" s="347" t="s">
        <v>183</v>
      </c>
      <c r="F3" s="329" t="s">
        <v>156</v>
      </c>
      <c r="G3" s="345">
        <v>8</v>
      </c>
      <c r="H3" s="345" t="str">
        <f>CONCATENATE("+",'Personal File'!$B$6+'Personal File'!$C$8+D3+1)</f>
        <v>+22</v>
      </c>
      <c r="I3" s="330">
        <f t="shared" ref="I3:I7" ca="1" si="0">RANDBETWEEN(1,20)</f>
        <v>13</v>
      </c>
      <c r="J3" s="331">
        <f t="shared" ref="J3:J7" ca="1" si="1">I3+RIGHT(H3,2)</f>
        <v>35</v>
      </c>
      <c r="K3" s="373" t="s">
        <v>336</v>
      </c>
      <c r="M3" s="332" t="s">
        <v>214</v>
      </c>
    </row>
    <row r="4" spans="1:13" x14ac:dyDescent="0.3">
      <c r="A4" s="338" t="s">
        <v>324</v>
      </c>
      <c r="B4" s="339" t="s">
        <v>282</v>
      </c>
      <c r="C4" s="405" t="str">
        <f>CONCATENATE("+",'Personal File'!$C$8*2," + 1")</f>
        <v>+10 + 1</v>
      </c>
      <c r="D4" s="488">
        <f t="shared" ref="D4:D6" si="2">1+2</f>
        <v>3</v>
      </c>
      <c r="E4" s="399" t="s">
        <v>183</v>
      </c>
      <c r="F4" s="340" t="s">
        <v>156</v>
      </c>
      <c r="G4" s="401"/>
      <c r="H4" s="343" t="str">
        <f t="shared" ref="H4:H5" si="3">CONCATENATE("+",H3-5)</f>
        <v>+17</v>
      </c>
      <c r="I4" s="342">
        <f t="shared" ca="1" si="0"/>
        <v>12</v>
      </c>
      <c r="J4" s="343">
        <f t="shared" ref="J4" ca="1" si="4">I4+RIGHT(H4,2)</f>
        <v>29</v>
      </c>
      <c r="K4" s="400" t="s">
        <v>274</v>
      </c>
      <c r="M4" s="333"/>
    </row>
    <row r="5" spans="1:13" x14ac:dyDescent="0.3">
      <c r="A5" s="338" t="s">
        <v>208</v>
      </c>
      <c r="B5" s="339" t="s">
        <v>282</v>
      </c>
      <c r="C5" s="405" t="str">
        <f>CONCATENATE("+",'Personal File'!$C$8*2," + 1")</f>
        <v>+10 + 1</v>
      </c>
      <c r="D5" s="488">
        <f t="shared" si="2"/>
        <v>3</v>
      </c>
      <c r="E5" s="399" t="s">
        <v>183</v>
      </c>
      <c r="F5" s="340" t="s">
        <v>156</v>
      </c>
      <c r="G5" s="401"/>
      <c r="H5" s="375" t="str">
        <f t="shared" si="3"/>
        <v>+12</v>
      </c>
      <c r="I5" s="342">
        <f t="shared" ca="1" si="0"/>
        <v>5</v>
      </c>
      <c r="J5" s="343">
        <f t="shared" ca="1" si="1"/>
        <v>17</v>
      </c>
      <c r="K5" s="344"/>
      <c r="M5" s="333"/>
    </row>
    <row r="6" spans="1:13" x14ac:dyDescent="0.3">
      <c r="A6" s="318" t="s">
        <v>209</v>
      </c>
      <c r="B6" s="319" t="s">
        <v>282</v>
      </c>
      <c r="C6" s="406" t="str">
        <f>CONCATENATE("+",'Personal File'!$C$8*2," + 1")</f>
        <v>+10 + 1</v>
      </c>
      <c r="D6" s="489">
        <f t="shared" si="2"/>
        <v>3</v>
      </c>
      <c r="E6" s="348" t="s">
        <v>183</v>
      </c>
      <c r="F6" s="320" t="s">
        <v>156</v>
      </c>
      <c r="G6" s="337"/>
      <c r="H6" s="336" t="str">
        <f>CONCATENATE("+",'Personal File'!$B$6+'Personal File'!$C$8+D6+1)</f>
        <v>+22</v>
      </c>
      <c r="I6" s="321">
        <f t="shared" ca="1" si="0"/>
        <v>13</v>
      </c>
      <c r="J6" s="322">
        <f t="shared" ref="J6" ca="1" si="5">I6+RIGHT(H6,2)</f>
        <v>35</v>
      </c>
      <c r="K6" s="323"/>
      <c r="M6" s="333"/>
    </row>
    <row r="7" spans="1:13" ht="16.2" thickBot="1" x14ac:dyDescent="0.35">
      <c r="A7" s="251" t="s">
        <v>180</v>
      </c>
      <c r="B7" s="24" t="s">
        <v>159</v>
      </c>
      <c r="C7" s="25" t="s">
        <v>159</v>
      </c>
      <c r="D7" s="24">
        <v>0</v>
      </c>
      <c r="E7" s="24" t="s">
        <v>159</v>
      </c>
      <c r="F7" s="24" t="s">
        <v>159</v>
      </c>
      <c r="G7" s="26">
        <v>0</v>
      </c>
      <c r="H7" s="27" t="str">
        <f>CONCATENATE("+",'Personal File'!$B$6+'Personal File'!$C$8+D7)</f>
        <v>+18</v>
      </c>
      <c r="I7" s="314">
        <f t="shared" ca="1" si="0"/>
        <v>3</v>
      </c>
      <c r="J7" s="315">
        <f t="shared" ca="1" si="1"/>
        <v>21</v>
      </c>
      <c r="K7" s="28"/>
      <c r="M7" s="334"/>
    </row>
    <row r="8" spans="1:13" ht="16.8" thickTop="1" thickBot="1" x14ac:dyDescent="0.35"/>
    <row r="9" spans="1:13" ht="16.8" thickTop="1" thickBot="1" x14ac:dyDescent="0.35">
      <c r="A9" s="359" t="s">
        <v>4</v>
      </c>
      <c r="B9" s="360" t="s">
        <v>5</v>
      </c>
      <c r="C9" s="360" t="s">
        <v>16</v>
      </c>
      <c r="D9" s="360" t="s">
        <v>17</v>
      </c>
      <c r="E9" s="361" t="s">
        <v>56</v>
      </c>
      <c r="F9" s="360" t="s">
        <v>6</v>
      </c>
      <c r="G9" s="360" t="s">
        <v>18</v>
      </c>
      <c r="H9" s="362" t="s">
        <v>119</v>
      </c>
      <c r="I9" s="363" t="s">
        <v>135</v>
      </c>
      <c r="J9" s="362" t="s">
        <v>70</v>
      </c>
      <c r="K9" s="364" t="s">
        <v>1</v>
      </c>
      <c r="M9" s="255" t="s">
        <v>149</v>
      </c>
    </row>
    <row r="10" spans="1:13" x14ac:dyDescent="0.3">
      <c r="A10" s="338" t="s">
        <v>207</v>
      </c>
      <c r="B10" s="339" t="s">
        <v>276</v>
      </c>
      <c r="C10" s="374" t="s">
        <v>210</v>
      </c>
      <c r="D10" s="374" t="s">
        <v>150</v>
      </c>
      <c r="E10" s="339" t="s">
        <v>154</v>
      </c>
      <c r="F10" s="375" t="s">
        <v>194</v>
      </c>
      <c r="G10" s="341">
        <v>3</v>
      </c>
      <c r="H10" s="324" t="str">
        <f>CONCATENATE("+",'Personal File'!$B$6+'Personal File'!$C$9+D10)</f>
        <v>+15</v>
      </c>
      <c r="I10" s="325">
        <f ca="1">RANDBETWEEN(1,20)</f>
        <v>17</v>
      </c>
      <c r="J10" s="326">
        <f t="shared" ref="J10" ca="1" si="6">I10+RIGHT(H10,2)</f>
        <v>32</v>
      </c>
      <c r="K10" s="376"/>
      <c r="M10" s="346">
        <v>700</v>
      </c>
    </row>
    <row r="11" spans="1:13" x14ac:dyDescent="0.3">
      <c r="A11" s="338" t="s">
        <v>278</v>
      </c>
      <c r="B11" s="339" t="s">
        <v>276</v>
      </c>
      <c r="C11" s="374" t="s">
        <v>210</v>
      </c>
      <c r="D11" s="374" t="s">
        <v>150</v>
      </c>
      <c r="E11" s="339" t="s">
        <v>154</v>
      </c>
      <c r="F11" s="375" t="s">
        <v>194</v>
      </c>
      <c r="G11" s="402"/>
      <c r="H11" s="343" t="str">
        <f t="shared" ref="H11:H13" si="7">CONCATENATE("+",H10-5)</f>
        <v>+10</v>
      </c>
      <c r="I11" s="342">
        <f t="shared" ref="I11:I13" ca="1" si="8">RANDBETWEEN(1,20)</f>
        <v>6</v>
      </c>
      <c r="J11" s="343">
        <f t="shared" ref="J11:J13" ca="1" si="9">I11+RIGHT(H11,2)</f>
        <v>16</v>
      </c>
      <c r="K11" s="376"/>
      <c r="M11" s="403"/>
    </row>
    <row r="12" spans="1:13" x14ac:dyDescent="0.3">
      <c r="A12" s="338" t="s">
        <v>208</v>
      </c>
      <c r="B12" s="339" t="s">
        <v>276</v>
      </c>
      <c r="C12" s="374" t="s">
        <v>210</v>
      </c>
      <c r="D12" s="374" t="s">
        <v>150</v>
      </c>
      <c r="E12" s="339" t="s">
        <v>154</v>
      </c>
      <c r="F12" s="375" t="s">
        <v>194</v>
      </c>
      <c r="G12" s="402"/>
      <c r="H12" s="375" t="str">
        <f t="shared" si="7"/>
        <v>+5</v>
      </c>
      <c r="I12" s="342">
        <f t="shared" ca="1" si="8"/>
        <v>2</v>
      </c>
      <c r="J12" s="343">
        <f t="shared" ca="1" si="9"/>
        <v>7</v>
      </c>
      <c r="K12" s="376"/>
      <c r="M12" s="403"/>
    </row>
    <row r="13" spans="1:13" x14ac:dyDescent="0.3">
      <c r="A13" s="338" t="s">
        <v>209</v>
      </c>
      <c r="B13" s="339" t="s">
        <v>276</v>
      </c>
      <c r="C13" s="374" t="s">
        <v>210</v>
      </c>
      <c r="D13" s="374" t="s">
        <v>150</v>
      </c>
      <c r="E13" s="339" t="s">
        <v>154</v>
      </c>
      <c r="F13" s="375" t="s">
        <v>194</v>
      </c>
      <c r="G13" s="335"/>
      <c r="H13" s="336" t="str">
        <f t="shared" si="7"/>
        <v>+0</v>
      </c>
      <c r="I13" s="321">
        <f t="shared" ca="1" si="8"/>
        <v>10</v>
      </c>
      <c r="J13" s="322">
        <f t="shared" ca="1" si="9"/>
        <v>10</v>
      </c>
      <c r="K13" s="376"/>
      <c r="M13" s="403"/>
    </row>
    <row r="14" spans="1:13" ht="16.2" thickBot="1" x14ac:dyDescent="0.35">
      <c r="A14" s="251" t="s">
        <v>182</v>
      </c>
      <c r="B14" s="24" t="s">
        <v>277</v>
      </c>
      <c r="C14" s="365" t="s">
        <v>210</v>
      </c>
      <c r="D14" s="273" t="s">
        <v>54</v>
      </c>
      <c r="E14" s="366" t="s">
        <v>152</v>
      </c>
      <c r="F14" s="367" t="s">
        <v>153</v>
      </c>
      <c r="G14" s="27">
        <v>6</v>
      </c>
      <c r="H14" s="27" t="str">
        <f>CONCATENATE("+",'Personal File'!$B$6+'Personal File'!$C$9+D14)</f>
        <v>+14</v>
      </c>
      <c r="I14" s="314">
        <f ca="1">RANDBETWEEN(1,20)</f>
        <v>19</v>
      </c>
      <c r="J14" s="315">
        <f t="shared" ref="J14" ca="1" si="10">I14+RIGHT(H14,2)</f>
        <v>33</v>
      </c>
      <c r="K14" s="28"/>
      <c r="M14" s="275">
        <v>3</v>
      </c>
    </row>
    <row r="15" spans="1:13" ht="16.8" thickTop="1" thickBot="1" x14ac:dyDescent="0.35">
      <c r="D15" s="32"/>
      <c r="E15" s="32"/>
      <c r="G15" s="33"/>
      <c r="H15" s="33"/>
      <c r="I15" s="33"/>
      <c r="J15" s="33"/>
    </row>
    <row r="16" spans="1:13" ht="16.8" thickTop="1" thickBot="1" x14ac:dyDescent="0.35">
      <c r="A16" s="18" t="s">
        <v>60</v>
      </c>
      <c r="B16" s="19" t="s">
        <v>9</v>
      </c>
      <c r="C16" s="19" t="s">
        <v>25</v>
      </c>
      <c r="D16" s="19" t="s">
        <v>70</v>
      </c>
      <c r="E16" s="19" t="s">
        <v>71</v>
      </c>
      <c r="F16" s="19" t="s">
        <v>72</v>
      </c>
      <c r="G16" s="19" t="s">
        <v>18</v>
      </c>
      <c r="H16" s="34" t="s">
        <v>1</v>
      </c>
      <c r="I16" s="35"/>
      <c r="J16" s="35"/>
      <c r="K16" s="36"/>
      <c r="M16" s="255" t="s">
        <v>149</v>
      </c>
    </row>
    <row r="17" spans="1:14" x14ac:dyDescent="0.3">
      <c r="A17" s="423" t="s">
        <v>321</v>
      </c>
      <c r="B17" s="424">
        <f>8+3</f>
        <v>11</v>
      </c>
      <c r="C17" s="425">
        <v>8</v>
      </c>
      <c r="D17" s="424">
        <v>-5</v>
      </c>
      <c r="E17" s="426">
        <v>0.35</v>
      </c>
      <c r="F17" s="424" t="s">
        <v>158</v>
      </c>
      <c r="G17" s="427">
        <v>50</v>
      </c>
      <c r="H17" s="463"/>
      <c r="I17" s="464"/>
      <c r="J17" s="464"/>
      <c r="K17" s="465"/>
      <c r="M17" s="262" t="s">
        <v>214</v>
      </c>
    </row>
    <row r="18" spans="1:14" x14ac:dyDescent="0.3">
      <c r="A18" s="428" t="s">
        <v>146</v>
      </c>
      <c r="B18" s="429" t="s">
        <v>159</v>
      </c>
      <c r="C18" s="430" t="s">
        <v>159</v>
      </c>
      <c r="D18" s="429" t="s">
        <v>159</v>
      </c>
      <c r="E18" s="431" t="s">
        <v>159</v>
      </c>
      <c r="F18" s="429" t="s">
        <v>159</v>
      </c>
      <c r="G18" s="432">
        <v>0</v>
      </c>
      <c r="H18" s="433" t="s">
        <v>270</v>
      </c>
      <c r="I18" s="434"/>
      <c r="J18" s="434"/>
      <c r="K18" s="435"/>
      <c r="L18" s="254"/>
      <c r="M18" s="407">
        <v>500</v>
      </c>
      <c r="N18" s="254" t="s">
        <v>339</v>
      </c>
    </row>
    <row r="19" spans="1:14" x14ac:dyDescent="0.3">
      <c r="A19" s="414"/>
      <c r="B19" s="415"/>
      <c r="C19" s="416"/>
      <c r="D19" s="415"/>
      <c r="E19" s="417"/>
      <c r="F19" s="415"/>
      <c r="G19" s="418"/>
      <c r="H19" s="419"/>
      <c r="I19" s="420"/>
      <c r="J19" s="420"/>
      <c r="K19" s="421"/>
      <c r="M19" s="346"/>
    </row>
    <row r="20" spans="1:14" ht="16.2" thickBot="1" x14ac:dyDescent="0.35">
      <c r="A20" s="250"/>
      <c r="B20" s="30"/>
      <c r="C20" s="30"/>
      <c r="D20" s="30"/>
      <c r="E20" s="38"/>
      <c r="F20" s="284"/>
      <c r="G20" s="31"/>
      <c r="H20" s="422"/>
      <c r="I20" s="39"/>
      <c r="J20" s="39"/>
      <c r="K20" s="40"/>
      <c r="M20" s="275"/>
    </row>
    <row r="21" spans="1:14" ht="16.8" thickTop="1" thickBot="1" x14ac:dyDescent="0.35"/>
    <row r="22" spans="1:14" ht="16.8" thickTop="1" thickBot="1" x14ac:dyDescent="0.35">
      <c r="A22" s="41"/>
      <c r="B22" s="33"/>
      <c r="D22" s="42" t="s">
        <v>61</v>
      </c>
      <c r="E22" s="43"/>
      <c r="F22" s="34" t="s">
        <v>3</v>
      </c>
      <c r="G22" s="19" t="s">
        <v>18</v>
      </c>
      <c r="H22" s="21" t="s">
        <v>119</v>
      </c>
      <c r="I22" s="21"/>
      <c r="J22" s="35"/>
      <c r="K22" s="44" t="s">
        <v>1</v>
      </c>
      <c r="M22" s="255" t="s">
        <v>149</v>
      </c>
    </row>
    <row r="23" spans="1:14" x14ac:dyDescent="0.3">
      <c r="A23" s="41"/>
      <c r="B23" s="33"/>
      <c r="D23" s="377" t="s">
        <v>195</v>
      </c>
      <c r="E23" s="45"/>
      <c r="F23" s="46">
        <v>50</v>
      </c>
      <c r="G23" s="47">
        <f>F23/20</f>
        <v>2.5</v>
      </c>
      <c r="H23" s="48" t="s">
        <v>54</v>
      </c>
      <c r="I23" s="48"/>
      <c r="J23" s="37"/>
      <c r="K23" s="49"/>
      <c r="M23" s="262">
        <v>0</v>
      </c>
    </row>
    <row r="24" spans="1:14" ht="16.2" thickBot="1" x14ac:dyDescent="0.35">
      <c r="D24" s="50"/>
      <c r="E24" s="51"/>
      <c r="F24" s="52"/>
      <c r="G24" s="53"/>
      <c r="H24" s="54"/>
      <c r="I24" s="54"/>
      <c r="J24" s="55"/>
      <c r="K24" s="56"/>
      <c r="M24" s="275"/>
    </row>
    <row r="25" spans="1:14" ht="16.8" thickTop="1" thickBot="1" x14ac:dyDescent="0.35"/>
    <row r="26" spans="1:14" ht="16.8" thickTop="1" thickBot="1" x14ac:dyDescent="0.35">
      <c r="D26" s="42" t="s">
        <v>147</v>
      </c>
      <c r="E26" s="35"/>
      <c r="F26" s="35"/>
      <c r="G26" s="35"/>
      <c r="H26" s="253" t="s">
        <v>3</v>
      </c>
      <c r="I26" s="253" t="s">
        <v>0</v>
      </c>
      <c r="J26" s="253" t="s">
        <v>148</v>
      </c>
      <c r="K26" s="36" t="s">
        <v>68</v>
      </c>
      <c r="L26" s="254"/>
      <c r="M26" s="255" t="s">
        <v>149</v>
      </c>
    </row>
    <row r="27" spans="1:14" x14ac:dyDescent="0.3">
      <c r="C27" s="483" t="s">
        <v>337</v>
      </c>
      <c r="D27" s="256" t="s">
        <v>191</v>
      </c>
      <c r="E27" s="257"/>
      <c r="F27" s="257"/>
      <c r="G27" s="258"/>
      <c r="H27" s="259">
        <v>1</v>
      </c>
      <c r="I27" s="260">
        <v>2</v>
      </c>
      <c r="J27" s="260">
        <v>4</v>
      </c>
      <c r="K27" s="261"/>
      <c r="L27" s="254"/>
      <c r="M27" s="262">
        <f>250*H27</f>
        <v>250</v>
      </c>
    </row>
    <row r="28" spans="1:14" x14ac:dyDescent="0.3">
      <c r="D28" s="490" t="s">
        <v>284</v>
      </c>
      <c r="E28" s="491"/>
      <c r="F28" s="491"/>
      <c r="G28" s="492"/>
      <c r="H28" s="493">
        <v>0</v>
      </c>
      <c r="I28" s="319">
        <v>2</v>
      </c>
      <c r="J28" s="319">
        <v>4</v>
      </c>
      <c r="K28" s="494"/>
      <c r="L28" s="254"/>
      <c r="M28" s="346">
        <f>250*H28</f>
        <v>0</v>
      </c>
    </row>
    <row r="29" spans="1:14" x14ac:dyDescent="0.3">
      <c r="C29" s="483" t="s">
        <v>337</v>
      </c>
      <c r="D29" s="263" t="s">
        <v>192</v>
      </c>
      <c r="E29" s="264"/>
      <c r="F29" s="264"/>
      <c r="G29" s="265"/>
      <c r="H29" s="266">
        <v>1</v>
      </c>
      <c r="I29" s="15">
        <v>1</v>
      </c>
      <c r="J29" s="15">
        <v>1</v>
      </c>
      <c r="K29" s="267" t="s">
        <v>193</v>
      </c>
      <c r="L29" s="254"/>
      <c r="M29" s="268">
        <v>750</v>
      </c>
    </row>
    <row r="30" spans="1:14" ht="16.2" thickBot="1" x14ac:dyDescent="0.35">
      <c r="C30" s="483" t="s">
        <v>337</v>
      </c>
      <c r="D30" s="269" t="s">
        <v>211</v>
      </c>
      <c r="E30" s="270"/>
      <c r="F30" s="270"/>
      <c r="G30" s="271"/>
      <c r="H30" s="272" t="s">
        <v>150</v>
      </c>
      <c r="I30" s="273">
        <v>2</v>
      </c>
      <c r="J30" s="273">
        <v>4</v>
      </c>
      <c r="K30" s="274"/>
      <c r="L30" s="254"/>
      <c r="M30" s="275">
        <f>H30*300</f>
        <v>300</v>
      </c>
    </row>
    <row r="31" spans="1:14" ht="16.2" thickTop="1" x14ac:dyDescent="0.3"/>
  </sheetData>
  <phoneticPr fontId="0" type="noConversion"/>
  <conditionalFormatting sqref="I3:I7">
    <cfRule type="cellIs" dxfId="3" priority="13" operator="equal">
      <formula>20</formula>
    </cfRule>
    <cfRule type="cellIs" dxfId="2" priority="14" operator="equal">
      <formula>1</formula>
    </cfRule>
  </conditionalFormatting>
  <conditionalFormatting sqref="I10:I1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showGridLines="0" workbookViewId="0"/>
  </sheetViews>
  <sheetFormatPr defaultColWidth="13" defaultRowHeight="15.6" x14ac:dyDescent="0.3"/>
  <cols>
    <col min="1" max="1" width="27.5" style="29" bestFit="1" customWidth="1"/>
    <col min="2" max="2" width="4.69921875" style="29" bestFit="1" customWidth="1"/>
    <col min="3" max="3" width="4.3984375" style="33" bestFit="1" customWidth="1"/>
    <col min="4" max="4" width="14.5" style="17" bestFit="1" customWidth="1"/>
    <col min="5" max="5" width="15.19921875" style="17" bestFit="1" customWidth="1"/>
    <col min="6" max="6" width="2.69921875" style="17" customWidth="1"/>
    <col min="7" max="7" width="8.296875" style="17" bestFit="1" customWidth="1"/>
    <col min="8" max="16384" width="13" style="17"/>
  </cols>
  <sheetData>
    <row r="1" spans="1:8" ht="23.4" thickBot="1" x14ac:dyDescent="0.35">
      <c r="A1" s="16" t="s">
        <v>65</v>
      </c>
      <c r="B1" s="16"/>
      <c r="C1" s="57"/>
      <c r="D1" s="16"/>
      <c r="E1" s="16"/>
      <c r="F1" s="483"/>
    </row>
    <row r="2" spans="1:8" s="29" customFormat="1" ht="16.8" thickTop="1" thickBot="1" x14ac:dyDescent="0.35">
      <c r="A2" s="58" t="s">
        <v>66</v>
      </c>
      <c r="B2" s="58" t="s">
        <v>3</v>
      </c>
      <c r="C2" s="59" t="s">
        <v>18</v>
      </c>
      <c r="D2" s="60" t="s">
        <v>67</v>
      </c>
      <c r="E2" s="61" t="s">
        <v>68</v>
      </c>
      <c r="F2" s="483"/>
      <c r="G2" s="276" t="s">
        <v>149</v>
      </c>
    </row>
    <row r="3" spans="1:8" x14ac:dyDescent="0.3">
      <c r="A3" s="222" t="s">
        <v>143</v>
      </c>
      <c r="B3" s="371">
        <v>1</v>
      </c>
      <c r="C3" s="63">
        <v>0</v>
      </c>
      <c r="D3" s="64"/>
      <c r="E3" s="65"/>
      <c r="F3" s="483"/>
      <c r="G3" s="277">
        <v>25</v>
      </c>
    </row>
    <row r="4" spans="1:8" x14ac:dyDescent="0.3">
      <c r="A4" s="62" t="s">
        <v>254</v>
      </c>
      <c r="B4" s="369">
        <v>1</v>
      </c>
      <c r="C4" s="67" t="s">
        <v>138</v>
      </c>
      <c r="D4" s="64"/>
      <c r="E4" s="65"/>
      <c r="F4" s="483"/>
      <c r="G4" s="281" t="s">
        <v>159</v>
      </c>
    </row>
    <row r="5" spans="1:8" x14ac:dyDescent="0.3">
      <c r="A5" s="62" t="s">
        <v>133</v>
      </c>
      <c r="B5" s="368">
        <v>1</v>
      </c>
      <c r="C5" s="63">
        <v>0.5</v>
      </c>
      <c r="D5" s="68"/>
      <c r="E5" s="69"/>
      <c r="F5" s="483"/>
      <c r="G5" s="283">
        <v>0.5</v>
      </c>
    </row>
    <row r="6" spans="1:8" x14ac:dyDescent="0.3">
      <c r="A6" s="62" t="s">
        <v>269</v>
      </c>
      <c r="B6" s="368">
        <v>4</v>
      </c>
      <c r="C6" s="252">
        <v>0</v>
      </c>
      <c r="D6" s="68"/>
      <c r="E6" s="69"/>
      <c r="F6" s="483" t="s">
        <v>337</v>
      </c>
      <c r="G6" s="277">
        <f>1000*B6</f>
        <v>4000</v>
      </c>
    </row>
    <row r="7" spans="1:8" x14ac:dyDescent="0.3">
      <c r="A7" s="62" t="s">
        <v>275</v>
      </c>
      <c r="B7" s="481">
        <v>1</v>
      </c>
      <c r="C7" s="481">
        <v>0.5</v>
      </c>
      <c r="D7" s="67"/>
      <c r="E7" s="482"/>
      <c r="F7" s="483" t="s">
        <v>338</v>
      </c>
      <c r="G7" s="484">
        <v>750</v>
      </c>
    </row>
    <row r="8" spans="1:8" x14ac:dyDescent="0.3">
      <c r="A8" s="62" t="s">
        <v>205</v>
      </c>
      <c r="B8" s="368">
        <v>1</v>
      </c>
      <c r="C8" s="252">
        <v>0</v>
      </c>
      <c r="D8" s="68"/>
      <c r="E8" s="69"/>
      <c r="F8" s="483" t="s">
        <v>340</v>
      </c>
      <c r="G8" s="277">
        <v>4000</v>
      </c>
    </row>
    <row r="9" spans="1:8" x14ac:dyDescent="0.3">
      <c r="A9" s="62" t="s">
        <v>190</v>
      </c>
      <c r="B9" s="368">
        <v>1</v>
      </c>
      <c r="C9" s="252">
        <v>1</v>
      </c>
      <c r="D9" s="68"/>
      <c r="E9" s="69"/>
      <c r="F9" s="483"/>
      <c r="G9" s="277">
        <v>4000</v>
      </c>
      <c r="H9" s="254" t="s">
        <v>339</v>
      </c>
    </row>
    <row r="10" spans="1:8" x14ac:dyDescent="0.3">
      <c r="A10" s="62" t="s">
        <v>144</v>
      </c>
      <c r="B10" s="368">
        <v>1</v>
      </c>
      <c r="C10" s="252">
        <v>2</v>
      </c>
      <c r="D10" s="68"/>
      <c r="E10" s="69"/>
      <c r="F10" s="483" t="s">
        <v>337</v>
      </c>
      <c r="G10" s="277">
        <v>4000</v>
      </c>
    </row>
    <row r="11" spans="1:8" ht="16.2" thickBot="1" x14ac:dyDescent="0.35">
      <c r="A11" s="280" t="s">
        <v>145</v>
      </c>
      <c r="B11" s="370">
        <v>1</v>
      </c>
      <c r="C11" s="216">
        <v>0</v>
      </c>
      <c r="D11" s="217"/>
      <c r="E11" s="218"/>
      <c r="F11" s="483" t="s">
        <v>340</v>
      </c>
      <c r="G11" s="278">
        <v>4000</v>
      </c>
    </row>
    <row r="12" spans="1:8" ht="24" thickTop="1" thickBot="1" x14ac:dyDescent="0.35">
      <c r="A12" s="16" t="s">
        <v>69</v>
      </c>
      <c r="B12" s="16"/>
      <c r="C12" s="219"/>
      <c r="D12" s="16"/>
      <c r="E12" s="220"/>
      <c r="F12" s="483"/>
    </row>
    <row r="13" spans="1:8" ht="16.8" thickTop="1" thickBot="1" x14ac:dyDescent="0.35">
      <c r="A13" s="58" t="s">
        <v>66</v>
      </c>
      <c r="B13" s="58" t="s">
        <v>3</v>
      </c>
      <c r="C13" s="59" t="s">
        <v>18</v>
      </c>
      <c r="D13" s="60" t="s">
        <v>67</v>
      </c>
      <c r="E13" s="61" t="s">
        <v>68</v>
      </c>
      <c r="F13" s="483"/>
      <c r="G13" s="276" t="s">
        <v>149</v>
      </c>
    </row>
    <row r="14" spans="1:8" x14ac:dyDescent="0.3">
      <c r="A14" s="66" t="s">
        <v>134</v>
      </c>
      <c r="B14" s="369">
        <v>1</v>
      </c>
      <c r="C14" s="63">
        <v>0</v>
      </c>
      <c r="D14" s="221"/>
      <c r="E14" s="65"/>
      <c r="F14" s="483"/>
      <c r="G14" s="277">
        <v>0</v>
      </c>
    </row>
    <row r="15" spans="1:8" x14ac:dyDescent="0.3">
      <c r="A15" s="398" t="s">
        <v>206</v>
      </c>
      <c r="B15" s="395">
        <v>1</v>
      </c>
      <c r="C15" s="252">
        <v>5</v>
      </c>
      <c r="D15" s="396"/>
      <c r="E15" s="69"/>
      <c r="F15" s="483" t="s">
        <v>337</v>
      </c>
      <c r="G15" s="397">
        <v>3000</v>
      </c>
    </row>
    <row r="16" spans="1:8" ht="16.2" thickBot="1" x14ac:dyDescent="0.35">
      <c r="A16" s="280"/>
      <c r="B16" s="370"/>
      <c r="C16" s="216"/>
      <c r="D16" s="478"/>
      <c r="E16" s="218"/>
      <c r="F16" s="483"/>
      <c r="G16" s="278"/>
    </row>
    <row r="17" spans="5:7" ht="16.2" thickTop="1" x14ac:dyDescent="0.3">
      <c r="F17" s="483"/>
    </row>
    <row r="18" spans="5:7" x14ac:dyDescent="0.3">
      <c r="E18" s="180" t="s">
        <v>157</v>
      </c>
      <c r="F18" s="483"/>
      <c r="G18" s="282">
        <f>SUM(Martial!M3:M30,Equipment!G3:G16)</f>
        <v>26278.5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Lolth</vt:lpstr>
      <vt:lpstr>Spells</vt:lpstr>
      <vt:lpstr>Feats</vt:lpstr>
      <vt:lpstr>Martial</vt:lpstr>
      <vt:lpstr>Equipment</vt:lpstr>
      <vt:lpstr>Feats!OLE_LINK1</vt:lpstr>
      <vt:lpstr>Lolth!Print_Area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2007</dc:creator>
  <cp:lastModifiedBy>Alexis Álvarez</cp:lastModifiedBy>
  <cp:lastPrinted>2007-10-12T15:52:45Z</cp:lastPrinted>
  <dcterms:created xsi:type="dcterms:W3CDTF">2000-10-24T15:39:59Z</dcterms:created>
  <dcterms:modified xsi:type="dcterms:W3CDTF">2023-11-04T10:26:04Z</dcterms:modified>
</cp:coreProperties>
</file>